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81" i="9" l="1"/>
  <c r="C88" i="9"/>
  <c r="C75" i="9" l="1"/>
  <c r="N19" i="1"/>
  <c r="N6" i="1"/>
  <c r="M80" i="9" l="1"/>
  <c r="C66" i="9" s="1"/>
  <c r="E104" i="21"/>
  <c r="F104" i="21" s="1"/>
  <c r="G104" i="21" s="1"/>
  <c r="H104" i="21" s="1"/>
  <c r="I104" i="21" s="1"/>
  <c r="D104" i="21"/>
  <c r="T7" i="31" l="1"/>
  <c r="E9" i="31"/>
  <c r="D9" i="31"/>
  <c r="C9" i="31"/>
  <c r="T5" i="31"/>
  <c r="D4" i="31"/>
  <c r="E4" i="31"/>
  <c r="C4" i="31"/>
  <c r="J3" i="31"/>
  <c r="D3" i="31"/>
  <c r="E3" i="31"/>
  <c r="F3" i="31"/>
  <c r="G3" i="31"/>
  <c r="H3" i="31"/>
  <c r="I3" i="31"/>
  <c r="C3" i="31"/>
  <c r="A25" i="31"/>
  <c r="K75" i="9" s="1"/>
  <c r="A26" i="31"/>
  <c r="K76" i="9" s="1"/>
  <c r="A27" i="31"/>
  <c r="K77" i="9" s="1"/>
  <c r="A28" i="31"/>
  <c r="K78" i="9" s="1"/>
  <c r="A29" i="31"/>
  <c r="K79" i="9" s="1"/>
  <c r="A24" i="31"/>
  <c r="K74" i="9" s="1"/>
  <c r="B25" i="31"/>
  <c r="B26" i="31"/>
  <c r="B27" i="31"/>
  <c r="B28" i="31"/>
  <c r="B29" i="31"/>
  <c r="B24" i="31"/>
  <c r="J49" i="67"/>
  <c r="I33" i="21"/>
  <c r="G33" i="21"/>
  <c r="E33" i="21"/>
  <c r="I27" i="21"/>
  <c r="G27" i="21"/>
  <c r="E27" i="21"/>
  <c r="D3" i="78"/>
  <c r="D4" i="78"/>
  <c r="E47" i="21" s="1"/>
  <c r="D5" i="78"/>
  <c r="G47" i="21" s="1"/>
  <c r="D6" i="78"/>
  <c r="I47" i="21" s="1"/>
  <c r="D7" i="78"/>
  <c r="D8" i="78"/>
  <c r="D2" i="78"/>
  <c r="D91" i="21"/>
  <c r="E91" i="21" s="1"/>
  <c r="F122" i="21"/>
  <c r="F5" i="31" s="1"/>
  <c r="D122" i="21"/>
  <c r="D5" i="31" s="1"/>
  <c r="E122" i="21"/>
  <c r="E5" i="31" s="1"/>
  <c r="C122" i="21"/>
  <c r="C5" i="31" s="1"/>
  <c r="G116" i="21"/>
  <c r="F116" i="21"/>
  <c r="E116" i="21"/>
  <c r="D116" i="21"/>
  <c r="C116" i="21"/>
  <c r="D59" i="21"/>
  <c r="F59" i="21" s="1"/>
  <c r="G59" i="21" s="1"/>
  <c r="C6" i="21"/>
  <c r="I6" i="21" s="1"/>
  <c r="I5" i="21"/>
  <c r="G5" i="21"/>
  <c r="E5" i="21"/>
  <c r="B35" i="1"/>
  <c r="Y6" i="1"/>
  <c r="F20" i="6"/>
  <c r="F19" i="6"/>
  <c r="C33" i="21" s="1"/>
  <c r="C19" i="6"/>
  <c r="B7" i="4"/>
  <c r="D3" i="4"/>
  <c r="I59" i="21" l="1"/>
  <c r="J59" i="21" s="1"/>
  <c r="K59" i="21" s="1"/>
  <c r="L59" i="21" s="1"/>
  <c r="H59" i="21"/>
  <c r="C37" i="21"/>
  <c r="E37" i="21" s="1"/>
  <c r="G37" i="21" s="1"/>
  <c r="I37" i="21" s="1"/>
  <c r="E6" i="21"/>
  <c r="E59" i="21"/>
  <c r="T9" i="31"/>
  <c r="G6" i="21"/>
  <c r="F4" i="31"/>
  <c r="G4" i="31"/>
  <c r="I4" i="31" l="1"/>
  <c r="H4" i="3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c r="N16" i="71"/>
  <c r="Q16" i="71"/>
  <c r="P16" i="71"/>
  <c r="O16" i="71"/>
  <c r="C16" i="71"/>
  <c r="C15" i="71"/>
  <c r="Q17" i="71"/>
  <c r="F16" i="71"/>
  <c r="F15" i="71"/>
  <c r="F14" i="71"/>
  <c r="P17" i="71"/>
  <c r="O17" i="71"/>
  <c r="N17" i="71"/>
  <c r="B16" i="71"/>
  <c r="B15" i="71" s="1"/>
  <c r="B14" i="71" s="1"/>
  <c r="B13" i="71" s="1"/>
  <c r="B12" i="71" s="1"/>
  <c r="B11" i="71" s="1"/>
  <c r="B10" i="71" s="1"/>
  <c r="B9" i="71" s="1"/>
  <c r="A2" i="53"/>
  <c r="B19" i="72" s="1"/>
  <c r="K59" i="67"/>
  <c r="P61" i="67" s="1"/>
  <c r="K59" i="15"/>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9" i="71"/>
  <c r="Y19" i="71" s="1"/>
  <c r="Z19" i="71" s="1"/>
  <c r="P19" i="71"/>
  <c r="Q19" i="71"/>
  <c r="N19"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s="1"/>
  <c r="AH9" i="43"/>
  <c r="AH10" i="43" s="1"/>
  <c r="AH12" i="43"/>
  <c r="AG9" i="43"/>
  <c r="AF9" i="43"/>
  <c r="AF12" i="43" s="1"/>
  <c r="AE9" i="43"/>
  <c r="AE12" i="43" s="1"/>
  <c r="AD9" i="43"/>
  <c r="AD12" i="43" s="1"/>
  <c r="AC9" i="43"/>
  <c r="AB9" i="43"/>
  <c r="AB12" i="43" s="1"/>
  <c r="AA9" i="43"/>
  <c r="AA12" i="43" s="1"/>
  <c r="Z9" i="43"/>
  <c r="Z10" i="43" s="1"/>
  <c r="Z12"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1" i="71"/>
  <c r="F80" i="71"/>
  <c r="E80" i="71"/>
  <c r="E79" i="71"/>
  <c r="E78" i="71" s="1"/>
  <c r="C80" i="71"/>
  <c r="D80" i="71" s="1"/>
  <c r="B80" i="71"/>
  <c r="B79" i="71" s="1"/>
  <c r="B78" i="71" s="1"/>
  <c r="F79" i="71"/>
  <c r="F78" i="71" s="1"/>
  <c r="D77" i="71"/>
  <c r="F76" i="71"/>
  <c r="F75" i="71" s="1"/>
  <c r="E76" i="71"/>
  <c r="E75" i="71"/>
  <c r="E74" i="71"/>
  <c r="C76" i="71"/>
  <c r="D76" i="71" s="1"/>
  <c r="B76" i="71"/>
  <c r="B75" i="71" s="1"/>
  <c r="B74" i="71" s="1"/>
  <c r="F74"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s="1"/>
  <c r="Q62" i="71"/>
  <c r="P62" i="71"/>
  <c r="O62" i="71"/>
  <c r="N62" i="71"/>
  <c r="Q61" i="71"/>
  <c r="P61" i="71"/>
  <c r="O61" i="71"/>
  <c r="N61" i="71"/>
  <c r="D61" i="71"/>
  <c r="F60" i="71"/>
  <c r="V60" i="71"/>
  <c r="E60" i="71"/>
  <c r="P60" i="71"/>
  <c r="C60" i="71"/>
  <c r="C59" i="71" s="1"/>
  <c r="C58" i="71" s="1"/>
  <c r="O58" i="71" s="1"/>
  <c r="B60" i="71"/>
  <c r="F59" i="71"/>
  <c r="D57" i="71"/>
  <c r="Q56" i="71"/>
  <c r="P56" i="71"/>
  <c r="O56" i="71"/>
  <c r="N56" i="71"/>
  <c r="Q55" i="71"/>
  <c r="P55" i="71"/>
  <c r="O55" i="71"/>
  <c r="N55" i="71"/>
  <c r="Q54" i="71"/>
  <c r="P54" i="71"/>
  <c r="O54" i="71"/>
  <c r="N54" i="71"/>
  <c r="Q53" i="71"/>
  <c r="F54" i="71" s="1"/>
  <c r="F55" i="71" s="1"/>
  <c r="F56" i="71" s="1"/>
  <c r="V56" i="71" s="1"/>
  <c r="P53" i="71"/>
  <c r="E54" i="71" s="1"/>
  <c r="O53" i="71"/>
  <c r="C54" i="71"/>
  <c r="C55" i="71" s="1"/>
  <c r="D55" i="71" s="1"/>
  <c r="N53" i="71"/>
  <c r="B54" i="71" s="1"/>
  <c r="B55" i="71"/>
  <c r="B56" i="71" s="1"/>
  <c r="S56" i="71"/>
  <c r="D53" i="71"/>
  <c r="Q52" i="71"/>
  <c r="P52" i="71"/>
  <c r="O52" i="71"/>
  <c r="N52" i="71"/>
  <c r="Q51" i="71"/>
  <c r="P51" i="71"/>
  <c r="O51" i="71"/>
  <c r="N51" i="71"/>
  <c r="Q50" i="71"/>
  <c r="P50" i="71"/>
  <c r="O50" i="71"/>
  <c r="N50" i="71"/>
  <c r="Q49" i="71"/>
  <c r="F50" i="71" s="1"/>
  <c r="F51" i="71"/>
  <c r="F52" i="71" s="1"/>
  <c r="V52" i="71"/>
  <c r="P49" i="71"/>
  <c r="E50" i="71" s="1"/>
  <c r="O49" i="71"/>
  <c r="C50" i="7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C48" i="71" s="1"/>
  <c r="N45" i="71"/>
  <c r="B46" i="71" s="1"/>
  <c r="B47" i="7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c r="C43" i="71" s="1"/>
  <c r="C44" i="71" s="1"/>
  <c r="D44" i="71" s="1"/>
  <c r="N41" i="71"/>
  <c r="B42" i="71"/>
  <c r="B43" i="71"/>
  <c r="B44" i="71"/>
  <c r="S44" i="71" s="1"/>
  <c r="D41" i="71"/>
  <c r="T40" i="71"/>
  <c r="Q40" i="71"/>
  <c r="P40" i="71"/>
  <c r="O40" i="71"/>
  <c r="N40" i="71"/>
  <c r="D40" i="71"/>
  <c r="Q39" i="71"/>
  <c r="P39" i="71"/>
  <c r="O39" i="71"/>
  <c r="N39" i="71"/>
  <c r="Q38" i="71"/>
  <c r="P38" i="71"/>
  <c r="O38" i="71"/>
  <c r="N38" i="71"/>
  <c r="F39" i="71"/>
  <c r="F40" i="71" s="1"/>
  <c r="V40" i="71" s="1"/>
  <c r="Q37" i="71"/>
  <c r="F38"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c r="D34" i="71" s="1"/>
  <c r="N33" i="71"/>
  <c r="B34" i="71" s="1"/>
  <c r="B35" i="71" s="1"/>
  <c r="B36" i="71"/>
  <c r="S36" i="71"/>
  <c r="D33" i="71"/>
  <c r="Q32" i="71"/>
  <c r="P32" i="71"/>
  <c r="O32" i="71"/>
  <c r="N32" i="71"/>
  <c r="Q31" i="71"/>
  <c r="AB31" i="71" s="1"/>
  <c r="P31" i="71"/>
  <c r="AA31" i="71"/>
  <c r="O31" i="71"/>
  <c r="Y31" i="71"/>
  <c r="Z31" i="71"/>
  <c r="N31" i="71"/>
  <c r="X31" i="71" s="1"/>
  <c r="Q30" i="71"/>
  <c r="P30" i="71"/>
  <c r="O30" i="71"/>
  <c r="Y30" i="71"/>
  <c r="Z30" i="71" s="1"/>
  <c r="N30" i="71"/>
  <c r="B31" i="71" s="1"/>
  <c r="B32" i="71" s="1"/>
  <c r="S32" i="71" s="1"/>
  <c r="Q29" i="71"/>
  <c r="F30" i="71" s="1"/>
  <c r="F31" i="71" s="1"/>
  <c r="F32" i="71" s="1"/>
  <c r="V32" i="71" s="1"/>
  <c r="P29" i="71"/>
  <c r="O29" i="71"/>
  <c r="N29" i="71"/>
  <c r="D29" i="71"/>
  <c r="Q28" i="71"/>
  <c r="AB28" i="71" s="1"/>
  <c r="P28" i="71"/>
  <c r="O28" i="71"/>
  <c r="Y28" i="71"/>
  <c r="Z28" i="71" s="1"/>
  <c r="N28" i="71"/>
  <c r="Q27" i="71"/>
  <c r="AB27" i="71"/>
  <c r="P27" i="71"/>
  <c r="O27" i="71"/>
  <c r="N27" i="71"/>
  <c r="X22" i="71" s="1"/>
  <c r="Q26" i="71"/>
  <c r="P26" i="71"/>
  <c r="O26" i="71"/>
  <c r="Y25" i="71" s="1"/>
  <c r="Z25" i="71" s="1"/>
  <c r="Y26" i="71"/>
  <c r="Z26" i="71" s="1"/>
  <c r="N26" i="71"/>
  <c r="Q25" i="71"/>
  <c r="P25" i="71"/>
  <c r="O25" i="71"/>
  <c r="N25" i="71"/>
  <c r="B26" i="71" s="1"/>
  <c r="B27" i="71" s="1"/>
  <c r="B28" i="71" s="1"/>
  <c r="S28" i="71" s="1"/>
  <c r="D25" i="71"/>
  <c r="Q24" i="71"/>
  <c r="P24" i="71"/>
  <c r="O24" i="71"/>
  <c r="Y22" i="71" s="1"/>
  <c r="Z22" i="71" s="1"/>
  <c r="Y24" i="71"/>
  <c r="Z24" i="71" s="1"/>
  <c r="N24" i="71"/>
  <c r="Q23" i="71"/>
  <c r="AB20" i="71" s="1"/>
  <c r="P23" i="71"/>
  <c r="O23" i="71"/>
  <c r="N23" i="71"/>
  <c r="Q22" i="71"/>
  <c r="P22" i="71"/>
  <c r="AA22" i="71" s="1"/>
  <c r="O22" i="71"/>
  <c r="N22" i="71"/>
  <c r="F23" i="71"/>
  <c r="F24" i="71" s="1"/>
  <c r="V24" i="71"/>
  <c r="Q21" i="71"/>
  <c r="F22" i="71" s="1"/>
  <c r="P21" i="71"/>
  <c r="O21" i="71"/>
  <c r="N21" i="71"/>
  <c r="X21" i="71" s="1"/>
  <c r="D21" i="71"/>
  <c r="O20" i="71"/>
  <c r="C20" i="71" s="1"/>
  <c r="N20" i="71"/>
  <c r="B22" i="71"/>
  <c r="B23" i="71" s="1"/>
  <c r="B24" i="71" s="1"/>
  <c r="S24" i="71" s="1"/>
  <c r="X25" i="71"/>
  <c r="B30" i="71"/>
  <c r="X29" i="71"/>
  <c r="AA29" i="71"/>
  <c r="E26" i="71"/>
  <c r="E27" i="71"/>
  <c r="E28" i="71"/>
  <c r="U28" i="71" s="1"/>
  <c r="AA25" i="71"/>
  <c r="C22" i="71"/>
  <c r="AA23" i="71"/>
  <c r="C26" i="71"/>
  <c r="C27" i="71"/>
  <c r="C28" i="71" s="1"/>
  <c r="AA26" i="71"/>
  <c r="X27" i="71"/>
  <c r="C30" i="71"/>
  <c r="D30" i="71" s="1"/>
  <c r="Y29" i="71"/>
  <c r="Z29" i="71"/>
  <c r="AA30" i="71"/>
  <c r="F43" i="71"/>
  <c r="F44" i="71" s="1"/>
  <c r="V44" i="71"/>
  <c r="Y18" i="71"/>
  <c r="Z18" i="71"/>
  <c r="B20" i="71"/>
  <c r="B19" i="71" s="1"/>
  <c r="B18" i="71" s="1"/>
  <c r="X20" i="71"/>
  <c r="C23" i="71"/>
  <c r="C24" i="71" s="1"/>
  <c r="D24" i="71" s="1"/>
  <c r="D22" i="71"/>
  <c r="D26" i="71"/>
  <c r="C31" i="71"/>
  <c r="C32" i="71" s="1"/>
  <c r="D32" i="71" s="1"/>
  <c r="C35" i="71"/>
  <c r="D35" i="71" s="1"/>
  <c r="C39" i="71"/>
  <c r="D39" i="71"/>
  <c r="D42" i="71"/>
  <c r="P20" i="71"/>
  <c r="AA19" i="71" s="1"/>
  <c r="E47" i="71"/>
  <c r="E48" i="71" s="1"/>
  <c r="U48" i="71" s="1"/>
  <c r="E51" i="71"/>
  <c r="E52" i="71"/>
  <c r="U52" i="71" s="1"/>
  <c r="E55" i="71"/>
  <c r="E56" i="71" s="1"/>
  <c r="U56" i="71" s="1"/>
  <c r="U60" i="71"/>
  <c r="E59" i="71"/>
  <c r="E58" i="71" s="1"/>
  <c r="Q20" i="71"/>
  <c r="D46" i="71"/>
  <c r="C51" i="71"/>
  <c r="C52" i="71" s="1"/>
  <c r="D50" i="71"/>
  <c r="T60" i="71"/>
  <c r="D60" i="71"/>
  <c r="Q60" i="71"/>
  <c r="C63" i="71"/>
  <c r="C62" i="71" s="1"/>
  <c r="D62" i="71" s="1"/>
  <c r="D64" i="71"/>
  <c r="C67" i="71"/>
  <c r="D67" i="71" s="1"/>
  <c r="E67" i="71"/>
  <c r="E66" i="71" s="1"/>
  <c r="D68" i="71"/>
  <c r="C71" i="71"/>
  <c r="D71" i="71" s="1"/>
  <c r="E71" i="71"/>
  <c r="E70" i="71" s="1"/>
  <c r="D72" i="71"/>
  <c r="C79" i="71"/>
  <c r="S20" i="71"/>
  <c r="F20" i="71"/>
  <c r="F19" i="71" s="1"/>
  <c r="F18" i="71"/>
  <c r="AB18" i="71"/>
  <c r="AA3" i="71"/>
  <c r="AA20" i="71"/>
  <c r="O59" i="71"/>
  <c r="D59" i="71"/>
  <c r="C56" i="71"/>
  <c r="T56" i="71" s="1"/>
  <c r="C66" i="71"/>
  <c r="D66" i="71" s="1"/>
  <c r="D79" i="71"/>
  <c r="C78" i="71"/>
  <c r="D78" i="71" s="1"/>
  <c r="C70" i="71"/>
  <c r="D70" i="71"/>
  <c r="D63" i="71"/>
  <c r="D51" i="71"/>
  <c r="D47" i="71"/>
  <c r="D43" i="71"/>
  <c r="C36" i="71"/>
  <c r="D36" i="71" s="1"/>
  <c r="D27" i="71"/>
  <c r="D23" i="71"/>
  <c r="D58" i="71"/>
  <c r="O57" i="71"/>
  <c r="T24" i="71"/>
  <c r="T32" i="71"/>
  <c r="T44" i="71"/>
  <c r="T48" i="71"/>
  <c r="D48" i="71"/>
  <c r="D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c r="D94" i="40"/>
  <c r="E94" i="40"/>
  <c r="F25" i="40"/>
  <c r="S25" i="40" s="1"/>
  <c r="AA25" i="40"/>
  <c r="Q29" i="39"/>
  <c r="Z29" i="39" s="1"/>
  <c r="D103" i="39"/>
  <c r="E103" i="39"/>
  <c r="F103" i="39" s="1"/>
  <c r="G103" i="39" s="1"/>
  <c r="F29" i="39"/>
  <c r="AA29" i="39"/>
  <c r="Q18" i="36"/>
  <c r="Z18" i="36"/>
  <c r="D66" i="36"/>
  <c r="E66" i="36"/>
  <c r="F66" i="36"/>
  <c r="G66" i="36" s="1"/>
  <c r="H18" i="36"/>
  <c r="AB18" i="36" s="1"/>
  <c r="F18" i="36"/>
  <c r="AA18" i="36"/>
  <c r="C18" i="36"/>
  <c r="Q18" i="35"/>
  <c r="Z18" i="35" s="1"/>
  <c r="D68" i="35"/>
  <c r="E68" i="35"/>
  <c r="F18" i="35"/>
  <c r="AA18" i="35"/>
  <c r="C18" i="35"/>
  <c r="Z21" i="37"/>
  <c r="Q21" i="37"/>
  <c r="D77" i="37"/>
  <c r="E77" i="37"/>
  <c r="C21" i="37"/>
  <c r="Q21" i="34"/>
  <c r="Z21" i="34" s="1"/>
  <c r="D84" i="34"/>
  <c r="E84" i="34"/>
  <c r="F21" i="34"/>
  <c r="AA21" i="34"/>
  <c r="C21" i="34"/>
  <c r="Z21" i="33"/>
  <c r="Q21" i="33"/>
  <c r="D83" i="33"/>
  <c r="E83" i="33"/>
  <c r="C21" i="33"/>
  <c r="C21" i="21"/>
  <c r="Q21" i="21"/>
  <c r="Z21" i="21"/>
  <c r="H19" i="21"/>
  <c r="D83" i="21"/>
  <c r="F21" i="21"/>
  <c r="AA21" i="21" s="1"/>
  <c r="D81" i="21"/>
  <c r="G20" i="20"/>
  <c r="B86" i="43" s="1"/>
  <c r="C22" i="20"/>
  <c r="B75" i="43" s="1"/>
  <c r="B55" i="43"/>
  <c r="C25" i="40"/>
  <c r="S29" i="39"/>
  <c r="S18" i="36"/>
  <c r="U18" i="36"/>
  <c r="S21" i="34"/>
  <c r="F94" i="40"/>
  <c r="H25" i="40"/>
  <c r="U25" i="40" s="1"/>
  <c r="G94" i="40"/>
  <c r="J25" i="40"/>
  <c r="H29" i="39"/>
  <c r="J29" i="39"/>
  <c r="W29" i="39" s="1"/>
  <c r="J18" i="36"/>
  <c r="F68" i="35"/>
  <c r="G68" i="35" s="1"/>
  <c r="H18" i="35"/>
  <c r="AB18" i="35" s="1"/>
  <c r="S18" i="35"/>
  <c r="J18" i="35"/>
  <c r="W18" i="35" s="1"/>
  <c r="F77" i="37"/>
  <c r="G77" i="37" s="1"/>
  <c r="H21" i="37"/>
  <c r="F21" i="37"/>
  <c r="F84" i="34"/>
  <c r="H21" i="34"/>
  <c r="U21" i="34" s="1"/>
  <c r="F83" i="33"/>
  <c r="H21" i="33"/>
  <c r="F21" i="33"/>
  <c r="S21" i="33" s="1"/>
  <c r="E83" i="21"/>
  <c r="H1" i="69"/>
  <c r="AC25" i="40"/>
  <c r="W25" i="40"/>
  <c r="AB25" i="40"/>
  <c r="AB29" i="39"/>
  <c r="U29" i="39"/>
  <c r="AC29" i="39"/>
  <c r="AC18" i="36"/>
  <c r="W18" i="36"/>
  <c r="AB21" i="37"/>
  <c r="U21" i="37"/>
  <c r="AA21" i="37"/>
  <c r="S21" i="37"/>
  <c r="AB21" i="34"/>
  <c r="U21" i="33"/>
  <c r="AB21" i="33"/>
  <c r="U18" i="35"/>
  <c r="AC18" i="35"/>
  <c r="J21" i="37"/>
  <c r="W21" i="37" s="1"/>
  <c r="G84" i="34"/>
  <c r="J21" i="34"/>
  <c r="G83" i="33"/>
  <c r="J21" i="33"/>
  <c r="W21" i="33" s="1"/>
  <c r="F83" i="21"/>
  <c r="G83" i="21" s="1"/>
  <c r="H21" i="21"/>
  <c r="U21" i="21" s="1"/>
  <c r="F38" i="69"/>
  <c r="E37" i="69"/>
  <c r="F36" i="69"/>
  <c r="F35" i="69"/>
  <c r="F21" i="69"/>
  <c r="F40" i="69" s="1"/>
  <c r="F20" i="69"/>
  <c r="F39" i="69" s="1"/>
  <c r="E10" i="69"/>
  <c r="E9" i="69"/>
  <c r="C7" i="69"/>
  <c r="AC21" i="37"/>
  <c r="AC21" i="34"/>
  <c r="W21" i="34"/>
  <c r="AC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B13" i="1" s="1"/>
  <c r="E13" i="1" s="1"/>
  <c r="A6" i="1"/>
  <c r="B11" i="1"/>
  <c r="E11" i="1"/>
  <c r="K10" i="1"/>
  <c r="M10" i="1" s="1"/>
  <c r="O10" i="1" s="1"/>
  <c r="P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G5" i="3" s="1"/>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AA30" i="36" s="1"/>
  <c r="C26" i="35"/>
  <c r="J31" i="35"/>
  <c r="W31" i="35" s="1"/>
  <c r="H31" i="35"/>
  <c r="F31" i="35"/>
  <c r="AA31" i="35" s="1"/>
  <c r="D87" i="35"/>
  <c r="E87" i="35" s="1"/>
  <c r="F87" i="35"/>
  <c r="G87" i="35" s="1"/>
  <c r="H87" i="35"/>
  <c r="I87" i="35" s="1"/>
  <c r="J87" i="35" s="1"/>
  <c r="K87" i="35" s="1"/>
  <c r="L87" i="35" s="1"/>
  <c r="M87" i="35" s="1"/>
  <c r="H34" i="37"/>
  <c r="D101" i="37"/>
  <c r="E101" i="37" s="1"/>
  <c r="F34" i="37"/>
  <c r="D99" i="37"/>
  <c r="E99" i="37"/>
  <c r="F99" i="37"/>
  <c r="G99" i="37"/>
  <c r="H99" i="37" s="1"/>
  <c r="I99" i="37" s="1"/>
  <c r="J99" i="37" s="1"/>
  <c r="K99" i="37" s="1"/>
  <c r="L99" i="37" s="1"/>
  <c r="M99" i="37" s="1"/>
  <c r="H42" i="34"/>
  <c r="J42" i="34"/>
  <c r="W42" i="34" s="1"/>
  <c r="F42" i="34"/>
  <c r="J38" i="34"/>
  <c r="W38" i="34" s="1"/>
  <c r="D114" i="34"/>
  <c r="F38" i="34"/>
  <c r="S38" i="34"/>
  <c r="D112" i="34"/>
  <c r="E112" i="34" s="1"/>
  <c r="F112" i="34"/>
  <c r="G112" i="34" s="1"/>
  <c r="H112" i="34" s="1"/>
  <c r="I112" i="34" s="1"/>
  <c r="J112" i="34" s="1"/>
  <c r="K112" i="34" s="1"/>
  <c r="L112" i="34"/>
  <c r="M112" i="34" s="1"/>
  <c r="F40" i="33"/>
  <c r="AA40" i="33" s="1"/>
  <c r="J41" i="33"/>
  <c r="D113" i="33"/>
  <c r="E113" i="33" s="1"/>
  <c r="F113" i="33" s="1"/>
  <c r="F37" i="33"/>
  <c r="D111" i="33"/>
  <c r="E111" i="33" s="1"/>
  <c r="F111" i="33"/>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F38" i="40"/>
  <c r="AA38" i="40"/>
  <c r="D115" i="40"/>
  <c r="E115" i="40" s="1"/>
  <c r="F115" i="40"/>
  <c r="G115" i="40"/>
  <c r="H115" i="40"/>
  <c r="I115" i="40" s="1"/>
  <c r="J115" i="40" s="1"/>
  <c r="K115" i="40" s="1"/>
  <c r="L115" i="40" s="1"/>
  <c r="M115" i="40" s="1"/>
  <c r="D113" i="40"/>
  <c r="E113" i="40" s="1"/>
  <c r="F113" i="40"/>
  <c r="G113" i="40" s="1"/>
  <c r="H113" i="40"/>
  <c r="I113" i="40" s="1"/>
  <c r="J113" i="40" s="1"/>
  <c r="K113" i="40" s="1"/>
  <c r="L113" i="40" s="1"/>
  <c r="M113" i="40" s="1"/>
  <c r="D111" i="40"/>
  <c r="E111" i="40" s="1"/>
  <c r="F111" i="40" s="1"/>
  <c r="G111" i="40" s="1"/>
  <c r="H111" i="40" s="1"/>
  <c r="I111" i="40" s="1"/>
  <c r="M107" i="40"/>
  <c r="L107" i="40"/>
  <c r="K107" i="40"/>
  <c r="J107" i="40"/>
  <c r="H107" i="40"/>
  <c r="G107" i="40"/>
  <c r="F107" i="40"/>
  <c r="E107" i="40"/>
  <c r="D107" i="40"/>
  <c r="C107" i="40"/>
  <c r="B105" i="40"/>
  <c r="J33" i="40" s="1"/>
  <c r="W33" i="40"/>
  <c r="B103" i="40"/>
  <c r="J32" i="40"/>
  <c r="AC32" i="40" s="1"/>
  <c r="B101" i="40"/>
  <c r="F31" i="40" s="1"/>
  <c r="J31" i="40"/>
  <c r="AC31" i="40" s="1"/>
  <c r="D100" i="40"/>
  <c r="E100" i="40"/>
  <c r="F100" i="40"/>
  <c r="G100" i="40" s="1"/>
  <c r="H100" i="40" s="1"/>
  <c r="I100" i="40"/>
  <c r="J100" i="40" s="1"/>
  <c r="K100" i="40" s="1"/>
  <c r="L100" i="40" s="1"/>
  <c r="M100" i="40" s="1"/>
  <c r="D98" i="40"/>
  <c r="J28" i="40"/>
  <c r="AC28" i="40" s="1"/>
  <c r="D96" i="40"/>
  <c r="E96" i="40" s="1"/>
  <c r="F96" i="40"/>
  <c r="G96" i="40" s="1"/>
  <c r="H96" i="40"/>
  <c r="I96" i="40"/>
  <c r="J96" i="40" s="1"/>
  <c r="K96" i="40" s="1"/>
  <c r="L96" i="40" s="1"/>
  <c r="M96" i="40" s="1"/>
  <c r="B95" i="40"/>
  <c r="D92" i="40"/>
  <c r="E92" i="40"/>
  <c r="F92" i="40"/>
  <c r="G92" i="40"/>
  <c r="D90" i="40"/>
  <c r="E90" i="40"/>
  <c r="F90" i="40"/>
  <c r="G90" i="40"/>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c r="Q36" i="40"/>
  <c r="Z36" i="40" s="1"/>
  <c r="Q35" i="40"/>
  <c r="Z35" i="40"/>
  <c r="Q34" i="40"/>
  <c r="Z34" i="40" s="1"/>
  <c r="J34" i="40"/>
  <c r="AC34" i="40"/>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AB38" i="39" s="1"/>
  <c r="F38" i="39"/>
  <c r="AA38" i="39"/>
  <c r="D124" i="39"/>
  <c r="E124" i="39" s="1"/>
  <c r="F124" i="39"/>
  <c r="G124" i="39"/>
  <c r="H124" i="39"/>
  <c r="I124" i="39" s="1"/>
  <c r="J124" i="39" s="1"/>
  <c r="K124" i="39" s="1"/>
  <c r="L124" i="39" s="1"/>
  <c r="M124" i="39" s="1"/>
  <c r="D120" i="39"/>
  <c r="E120" i="39" s="1"/>
  <c r="F120" i="39"/>
  <c r="G120" i="39" s="1"/>
  <c r="H120" i="39"/>
  <c r="I120" i="39" s="1"/>
  <c r="J120" i="39" s="1"/>
  <c r="K120" i="39" s="1"/>
  <c r="L120" i="39" s="1"/>
  <c r="M120" i="39" s="1"/>
  <c r="B114" i="39"/>
  <c r="D109" i="39"/>
  <c r="F34" i="39"/>
  <c r="S34" i="39" s="1"/>
  <c r="AA34" i="39"/>
  <c r="D107" i="39"/>
  <c r="E107" i="39"/>
  <c r="D105" i="39"/>
  <c r="E105" i="39"/>
  <c r="F105" i="39" s="1"/>
  <c r="G105" i="39"/>
  <c r="H105" i="39" s="1"/>
  <c r="I105" i="39" s="1"/>
  <c r="J105" i="39" s="1"/>
  <c r="K105" i="39" s="1"/>
  <c r="L105" i="39" s="1"/>
  <c r="M105" i="39" s="1"/>
  <c r="D101" i="39"/>
  <c r="D99" i="39"/>
  <c r="E99" i="39"/>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c r="B129" i="39"/>
  <c r="B127" i="39"/>
  <c r="J43" i="39" s="1"/>
  <c r="AC43" i="39" s="1"/>
  <c r="D126" i="39"/>
  <c r="E126" i="39" s="1"/>
  <c r="F126" i="39"/>
  <c r="G126" i="39"/>
  <c r="H126" i="39" s="1"/>
  <c r="I126" i="39" s="1"/>
  <c r="J126" i="39"/>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c r="F93" i="39"/>
  <c r="G93" i="39" s="1"/>
  <c r="D91" i="39"/>
  <c r="E91" i="39"/>
  <c r="F91" i="39"/>
  <c r="G91" i="39" s="1"/>
  <c r="D89" i="39"/>
  <c r="E89" i="39"/>
  <c r="F89" i="39"/>
  <c r="G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Q35" i="39"/>
  <c r="Z35" i="39" s="1"/>
  <c r="Q34" i="39"/>
  <c r="Z34" i="39"/>
  <c r="Q32" i="39"/>
  <c r="Z32" i="39" s="1"/>
  <c r="Q31" i="39"/>
  <c r="Z31" i="39"/>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s="1"/>
  <c r="AC39" i="37" s="1"/>
  <c r="B108" i="37"/>
  <c r="C23" i="37"/>
  <c r="C19" i="37"/>
  <c r="C17" i="37"/>
  <c r="C15" i="37"/>
  <c r="B112" i="37"/>
  <c r="J40" i="37" s="1"/>
  <c r="D107" i="37"/>
  <c r="E107" i="37" s="1"/>
  <c r="F107" i="37" s="1"/>
  <c r="G107" i="37" s="1"/>
  <c r="H107" i="37" s="1"/>
  <c r="I107" i="37" s="1"/>
  <c r="J107" i="37" s="1"/>
  <c r="K107" i="37" s="1"/>
  <c r="L107" i="37" s="1"/>
  <c r="D105" i="37"/>
  <c r="E105" i="37"/>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D62" i="36"/>
  <c r="E62" i="36" s="1"/>
  <c r="F62" i="36" s="1"/>
  <c r="G62" i="36"/>
  <c r="B59" i="36"/>
  <c r="B57" i="36"/>
  <c r="J12" i="36"/>
  <c r="B55" i="36"/>
  <c r="H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s="1"/>
  <c r="Q24" i="36"/>
  <c r="Z24" i="36" s="1"/>
  <c r="AB24" i="36"/>
  <c r="Q23" i="36"/>
  <c r="Z23" i="36" s="1"/>
  <c r="J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Q9" i="36"/>
  <c r="Z9" i="36" s="1"/>
  <c r="H9" i="36"/>
  <c r="U9" i="36" s="1"/>
  <c r="AB9" i="36"/>
  <c r="F9" i="36"/>
  <c r="AA9" i="36" s="1"/>
  <c r="J8" i="36"/>
  <c r="AC8" i="36"/>
  <c r="H8" i="36"/>
  <c r="F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B73" i="35"/>
  <c r="H23" i="35"/>
  <c r="U23" i="35"/>
  <c r="B57" i="35"/>
  <c r="B61" i="35"/>
  <c r="B59" i="35"/>
  <c r="B131" i="34"/>
  <c r="B129" i="34"/>
  <c r="B127" i="34"/>
  <c r="B99" i="34"/>
  <c r="B97" i="34"/>
  <c r="B95" i="34"/>
  <c r="B93" i="34"/>
  <c r="B75" i="34"/>
  <c r="B73" i="34"/>
  <c r="J13" i="34" s="1"/>
  <c r="B71" i="34"/>
  <c r="F12" i="34" s="1"/>
  <c r="B130" i="33"/>
  <c r="B128" i="33"/>
  <c r="B126" i="33"/>
  <c r="J44" i="33" s="1"/>
  <c r="W44" i="33" s="1"/>
  <c r="B98" i="33"/>
  <c r="B96" i="33"/>
  <c r="B94" i="33"/>
  <c r="B74" i="33"/>
  <c r="F14" i="33" s="1"/>
  <c r="B72" i="33"/>
  <c r="B70" i="33"/>
  <c r="J12" i="33"/>
  <c r="D96" i="35"/>
  <c r="E96" i="35" s="1"/>
  <c r="F96" i="35" s="1"/>
  <c r="G96" i="35" s="1"/>
  <c r="D94" i="35"/>
  <c r="E94" i="35"/>
  <c r="F94" i="35" s="1"/>
  <c r="G94" i="35" s="1"/>
  <c r="H94" i="35" s="1"/>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P39" i="35"/>
  <c r="P38" i="35"/>
  <c r="V37" i="35"/>
  <c r="T37" i="35"/>
  <c r="R37" i="35"/>
  <c r="P37" i="35"/>
  <c r="Q36" i="35"/>
  <c r="Z36" i="35" s="1"/>
  <c r="Q35" i="35"/>
  <c r="Z35" i="35"/>
  <c r="Q34" i="35"/>
  <c r="Z34" i="35"/>
  <c r="F34" i="35"/>
  <c r="AA34" i="35" s="1"/>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Q22" i="35"/>
  <c r="Z22" i="35" s="1"/>
  <c r="Q20" i="35"/>
  <c r="Z20" i="35" s="1"/>
  <c r="Q16" i="35"/>
  <c r="Z16" i="35" s="1"/>
  <c r="Q14" i="35"/>
  <c r="Z14" i="35" s="1"/>
  <c r="Q13" i="35"/>
  <c r="Z13" i="35"/>
  <c r="Q12" i="35"/>
  <c r="Z12" i="35" s="1"/>
  <c r="J12" i="35"/>
  <c r="W12" i="35"/>
  <c r="H12" i="35"/>
  <c r="F12" i="35"/>
  <c r="S12" i="35" s="1"/>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c r="K90" i="34" s="1"/>
  <c r="L90" i="34" s="1"/>
  <c r="M90" i="34" s="1"/>
  <c r="C15" i="34"/>
  <c r="F67" i="34"/>
  <c r="G67" i="34"/>
  <c r="H67" i="34" s="1"/>
  <c r="D126" i="34"/>
  <c r="E126" i="34"/>
  <c r="F126" i="34" s="1"/>
  <c r="G126" i="34"/>
  <c r="D124" i="34"/>
  <c r="E124" i="34" s="1"/>
  <c r="F124" i="34" s="1"/>
  <c r="G124" i="34" s="1"/>
  <c r="H124" i="34" s="1"/>
  <c r="I124" i="34" s="1"/>
  <c r="J124" i="34" s="1"/>
  <c r="K124" i="34" s="1"/>
  <c r="L124" i="34"/>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c r="H107" i="34"/>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W12" i="34" s="1"/>
  <c r="H12" i="34"/>
  <c r="S12" i="34"/>
  <c r="Q11" i="34"/>
  <c r="Z11" i="34"/>
  <c r="Q10" i="34"/>
  <c r="Z10" i="34"/>
  <c r="F10" i="34"/>
  <c r="AA10" i="34"/>
  <c r="Q9" i="34"/>
  <c r="Z9" i="34"/>
  <c r="AC9" i="34"/>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c r="K115" i="33" s="1"/>
  <c r="L115" i="33" s="1"/>
  <c r="M115" i="33" s="1"/>
  <c r="D108" i="33"/>
  <c r="E108" i="33"/>
  <c r="F108" i="33" s="1"/>
  <c r="G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D123" i="21"/>
  <c r="E123" i="21" s="1"/>
  <c r="D119" i="21"/>
  <c r="F40" i="21"/>
  <c r="AA40" i="21" s="1"/>
  <c r="D117" i="21"/>
  <c r="F39" i="21" s="1"/>
  <c r="AA39"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B74" i="21"/>
  <c r="J14" i="21" s="1"/>
  <c r="B72" i="21"/>
  <c r="H13" i="21" s="1"/>
  <c r="U13" i="21" s="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c r="Q42" i="21"/>
  <c r="Z42"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J40" i="21"/>
  <c r="W40" i="21" s="1"/>
  <c r="H35" i="21"/>
  <c r="AB35" i="21" s="1"/>
  <c r="J8" i="21"/>
  <c r="AC8" i="21" s="1"/>
  <c r="H8" i="21"/>
  <c r="U8" i="21" s="1"/>
  <c r="J34" i="21"/>
  <c r="W34" i="21" s="1"/>
  <c r="H36" i="21"/>
  <c r="U36" i="21" s="1"/>
  <c r="F35" i="21"/>
  <c r="AA35" i="21" s="1"/>
  <c r="AB19" i="21"/>
  <c r="J19" i="21"/>
  <c r="W19" i="21" s="1"/>
  <c r="J12" i="21"/>
  <c r="AC12" i="21" s="1"/>
  <c r="AB41" i="21"/>
  <c r="S41" i="21"/>
  <c r="F45" i="39"/>
  <c r="S45" i="39"/>
  <c r="J45" i="39"/>
  <c r="J44" i="39"/>
  <c r="F36" i="39"/>
  <c r="S36" i="39" s="1"/>
  <c r="H36" i="39"/>
  <c r="J35" i="39"/>
  <c r="AC35" i="39" s="1"/>
  <c r="F35" i="39"/>
  <c r="AA35" i="39"/>
  <c r="J36" i="39"/>
  <c r="AC36" i="39" s="1"/>
  <c r="U9" i="39"/>
  <c r="W31" i="37"/>
  <c r="H103" i="37"/>
  <c r="I103" i="37"/>
  <c r="J103" i="37" s="1"/>
  <c r="K103" i="37" s="1"/>
  <c r="L103" i="37" s="1"/>
  <c r="M103" i="37"/>
  <c r="F39" i="37"/>
  <c r="S39" i="37"/>
  <c r="U14" i="37"/>
  <c r="F29" i="36"/>
  <c r="AA29" i="36" s="1"/>
  <c r="W8" i="36"/>
  <c r="F16" i="36"/>
  <c r="W28" i="36"/>
  <c r="S30" i="36"/>
  <c r="AA31" i="36"/>
  <c r="AC31" i="36"/>
  <c r="W31" i="36"/>
  <c r="U31" i="36"/>
  <c r="J33" i="36"/>
  <c r="W33" i="36" s="1"/>
  <c r="H22" i="35"/>
  <c r="AB22" i="35"/>
  <c r="AC27" i="35"/>
  <c r="W28" i="35"/>
  <c r="U31" i="35"/>
  <c r="S34" i="35"/>
  <c r="W22" i="35"/>
  <c r="S31" i="35"/>
  <c r="F36" i="34"/>
  <c r="J35" i="34"/>
  <c r="W9" i="34"/>
  <c r="S34" i="34"/>
  <c r="H39" i="33"/>
  <c r="AB39" i="33"/>
  <c r="F26" i="33"/>
  <c r="AA26" i="33" s="1"/>
  <c r="U33" i="33"/>
  <c r="U35" i="33"/>
  <c r="S40" i="33"/>
  <c r="W33" i="33"/>
  <c r="W39" i="33"/>
  <c r="H39" i="37"/>
  <c r="S27" i="35"/>
  <c r="F11" i="40"/>
  <c r="S11" i="40" s="1"/>
  <c r="AA11" i="40"/>
  <c r="H11" i="40"/>
  <c r="AB11" i="40"/>
  <c r="W8" i="40"/>
  <c r="AA9" i="40"/>
  <c r="AC9" i="40"/>
  <c r="U9" i="40"/>
  <c r="U38" i="40"/>
  <c r="S38" i="40"/>
  <c r="F42" i="39"/>
  <c r="AA42" i="39" s="1"/>
  <c r="F41" i="39"/>
  <c r="S41" i="39"/>
  <c r="H40" i="39"/>
  <c r="H39" i="39"/>
  <c r="U39" i="39"/>
  <c r="S38" i="39"/>
  <c r="H34" i="39"/>
  <c r="U34" i="39"/>
  <c r="E109"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W31" i="39" s="1"/>
  <c r="F101" i="39"/>
  <c r="H27" i="39"/>
  <c r="U27" i="39"/>
  <c r="J19" i="39"/>
  <c r="J17" i="39"/>
  <c r="J27" i="39"/>
  <c r="AC27" i="39" s="1"/>
  <c r="F27" i="39"/>
  <c r="F11" i="21"/>
  <c r="S11" i="21" s="1"/>
  <c r="S40" i="21"/>
  <c r="C25" i="39"/>
  <c r="H11" i="39"/>
  <c r="H32" i="33"/>
  <c r="AB32" i="33"/>
  <c r="H11" i="21"/>
  <c r="U11" i="21" s="1"/>
  <c r="J11" i="21"/>
  <c r="W11" i="21" s="1"/>
  <c r="H37" i="40"/>
  <c r="U37" i="40"/>
  <c r="H36" i="40"/>
  <c r="AB36" i="40"/>
  <c r="F35" i="40"/>
  <c r="AA35" i="40"/>
  <c r="H23" i="40"/>
  <c r="AB23" i="40"/>
  <c r="H17" i="40"/>
  <c r="U17" i="40"/>
  <c r="J15" i="40"/>
  <c r="W15" i="40"/>
  <c r="J11" i="40"/>
  <c r="W11" i="40"/>
  <c r="AB8" i="39"/>
  <c r="AA12" i="34"/>
  <c r="AB12" i="36"/>
  <c r="W32" i="40"/>
  <c r="J34" i="36"/>
  <c r="W34" i="36"/>
  <c r="J30" i="35"/>
  <c r="W30" i="35"/>
  <c r="H30" i="35"/>
  <c r="F22" i="35"/>
  <c r="AA22" i="35"/>
  <c r="H10" i="35"/>
  <c r="U10" i="35" s="1"/>
  <c r="W30" i="36"/>
  <c r="H16" i="36"/>
  <c r="AB16" i="36"/>
  <c r="E85" i="36"/>
  <c r="F85" i="36" s="1"/>
  <c r="G85" i="36" s="1"/>
  <c r="H85" i="36" s="1"/>
  <c r="I85" i="36" s="1"/>
  <c r="J85" i="36" s="1"/>
  <c r="K85" i="36" s="1"/>
  <c r="L85" i="36" s="1"/>
  <c r="M85" i="36" s="1"/>
  <c r="J29" i="36"/>
  <c r="AC29" i="36"/>
  <c r="F12" i="36"/>
  <c r="S12" i="36" s="1"/>
  <c r="F24" i="36"/>
  <c r="AA24" i="36" s="1"/>
  <c r="F34" i="36"/>
  <c r="S34" i="36"/>
  <c r="F14" i="35"/>
  <c r="AA14" i="35" s="1"/>
  <c r="F23" i="35"/>
  <c r="AA23" i="35"/>
  <c r="J32" i="35"/>
  <c r="AC32" i="35" s="1"/>
  <c r="J16" i="35"/>
  <c r="AC16" i="35"/>
  <c r="H16" i="35"/>
  <c r="U16" i="35" s="1"/>
  <c r="F16" i="35"/>
  <c r="S16" i="35"/>
  <c r="H14" i="35"/>
  <c r="AB14" i="35" s="1"/>
  <c r="J29" i="35"/>
  <c r="H33" i="35"/>
  <c r="AB33" i="35" s="1"/>
  <c r="AC8" i="35"/>
  <c r="J20" i="35"/>
  <c r="W20" i="35"/>
  <c r="F35" i="37"/>
  <c r="S35" i="37" s="1"/>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F27" i="34"/>
  <c r="AA27" i="34"/>
  <c r="F25" i="34"/>
  <c r="H23" i="34"/>
  <c r="U23" i="34"/>
  <c r="J23" i="34"/>
  <c r="F19" i="34"/>
  <c r="H17" i="34"/>
  <c r="U17" i="34"/>
  <c r="F15" i="34"/>
  <c r="AA15" i="34" s="1"/>
  <c r="J15" i="34"/>
  <c r="W15" i="34" s="1"/>
  <c r="H15" i="34"/>
  <c r="AB15" i="34"/>
  <c r="S9" i="34"/>
  <c r="W8" i="34"/>
  <c r="J28" i="34"/>
  <c r="W28" i="34"/>
  <c r="F41" i="33"/>
  <c r="F32" i="33"/>
  <c r="J19" i="33"/>
  <c r="AC19" i="33"/>
  <c r="J15" i="33"/>
  <c r="AC15" i="33" s="1"/>
  <c r="F11" i="33"/>
  <c r="AA11" i="33"/>
  <c r="S26" i="33"/>
  <c r="U40" i="33"/>
  <c r="W40" i="33"/>
  <c r="S8" i="33"/>
  <c r="F37" i="40"/>
  <c r="AA37" i="40" s="1"/>
  <c r="F36" i="40"/>
  <c r="AA36" i="40"/>
  <c r="H28" i="40"/>
  <c r="U28" i="40" s="1"/>
  <c r="F23" i="40"/>
  <c r="AA23" i="40"/>
  <c r="F17" i="40"/>
  <c r="J17" i="40"/>
  <c r="W17" i="40"/>
  <c r="F15" i="40"/>
  <c r="S15" i="40" s="1"/>
  <c r="H15" i="40"/>
  <c r="AB15" i="40"/>
  <c r="AC11" i="40"/>
  <c r="AA12" i="36"/>
  <c r="AB30" i="36"/>
  <c r="AC34" i="36"/>
  <c r="U33" i="35"/>
  <c r="F29" i="35"/>
  <c r="AA29" i="35" s="1"/>
  <c r="S29" i="35"/>
  <c r="H29" i="35"/>
  <c r="AB29" i="35"/>
  <c r="H33" i="37"/>
  <c r="AB33" i="37"/>
  <c r="F33" i="37"/>
  <c r="AA33" i="37"/>
  <c r="U34" i="37"/>
  <c r="W33" i="37"/>
  <c r="J43" i="34"/>
  <c r="AB42" i="34"/>
  <c r="J40" i="34"/>
  <c r="F114" i="34"/>
  <c r="G114" i="34"/>
  <c r="H114" i="34" s="1"/>
  <c r="I114" i="34" s="1"/>
  <c r="J114" i="34"/>
  <c r="K114" i="34" s="1"/>
  <c r="L114" i="34" s="1"/>
  <c r="M114" i="34" s="1"/>
  <c r="H38" i="34"/>
  <c r="AB38" i="34"/>
  <c r="J36" i="34"/>
  <c r="H37" i="34"/>
  <c r="U37" i="34" s="1"/>
  <c r="H25" i="34"/>
  <c r="AB25" i="34" s="1"/>
  <c r="J25" i="34"/>
  <c r="AC25" i="34"/>
  <c r="AB23" i="34"/>
  <c r="F23" i="34"/>
  <c r="AA23" i="34"/>
  <c r="J19" i="34"/>
  <c r="AC19" i="34" s="1"/>
  <c r="F17" i="34"/>
  <c r="AA17" i="34"/>
  <c r="J17" i="34"/>
  <c r="W17" i="34" s="1"/>
  <c r="AB17" i="34"/>
  <c r="S15" i="34"/>
  <c r="G113" i="33"/>
  <c r="H113" i="33" s="1"/>
  <c r="I113" i="33" s="1"/>
  <c r="J113" i="33" s="1"/>
  <c r="K113" i="33" s="1"/>
  <c r="L113" i="33" s="1"/>
  <c r="M113" i="33" s="1"/>
  <c r="H37" i="33"/>
  <c r="AB37" i="33"/>
  <c r="H15" i="33"/>
  <c r="AB15" i="33" s="1"/>
  <c r="H11" i="33"/>
  <c r="AB11" i="33"/>
  <c r="F28" i="40"/>
  <c r="AA28" i="40" s="1"/>
  <c r="AA42" i="34"/>
  <c r="S42" i="34"/>
  <c r="AC38" i="34"/>
  <c r="AA38" i="34"/>
  <c r="J37" i="34"/>
  <c r="J11" i="33"/>
  <c r="W11" i="33" s="1"/>
  <c r="U23" i="40"/>
  <c r="J44" i="34"/>
  <c r="F44" i="34"/>
  <c r="AA44" i="34"/>
  <c r="J10" i="35"/>
  <c r="W10" i="35" s="1"/>
  <c r="H28" i="21"/>
  <c r="F28" i="21"/>
  <c r="AA28" i="21" s="1"/>
  <c r="J28" i="21"/>
  <c r="W28" i="21" s="1"/>
  <c r="H30" i="21"/>
  <c r="U30" i="21" s="1"/>
  <c r="F30"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c r="G89" i="35" s="1"/>
  <c r="H89" i="35" s="1"/>
  <c r="I89" i="35"/>
  <c r="J89" i="35" s="1"/>
  <c r="K89" i="35" s="1"/>
  <c r="L89" i="35" s="1"/>
  <c r="M89" i="35" s="1"/>
  <c r="H10" i="36"/>
  <c r="J14" i="36"/>
  <c r="AC14" i="36"/>
  <c r="H14" i="36"/>
  <c r="U14" i="36" s="1"/>
  <c r="F28" i="36"/>
  <c r="AA28" i="36"/>
  <c r="J13" i="21"/>
  <c r="AC13"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J31" i="33"/>
  <c r="W31" i="33"/>
  <c r="H31" i="33"/>
  <c r="AB31" i="33" s="1"/>
  <c r="F31" i="33"/>
  <c r="H45" i="33"/>
  <c r="U45" i="33"/>
  <c r="J45" i="33"/>
  <c r="F45" i="33"/>
  <c r="AA45" i="33"/>
  <c r="J14" i="34"/>
  <c r="W14" i="34" s="1"/>
  <c r="F14" i="34"/>
  <c r="S14" i="34"/>
  <c r="H14" i="34"/>
  <c r="H30" i="34"/>
  <c r="F30" i="34"/>
  <c r="S30" i="34"/>
  <c r="J30" i="34"/>
  <c r="H32" i="34"/>
  <c r="F32" i="34"/>
  <c r="J32" i="34"/>
  <c r="W32" i="34" s="1"/>
  <c r="H46" i="34"/>
  <c r="U46" i="34"/>
  <c r="F46" i="34"/>
  <c r="J46" i="34"/>
  <c r="H11" i="35"/>
  <c r="U11" i="35"/>
  <c r="J11" i="35"/>
  <c r="F11" i="35"/>
  <c r="S11" i="35"/>
  <c r="J26" i="36"/>
  <c r="W26" i="36" s="1"/>
  <c r="H28" i="36"/>
  <c r="U28" i="36"/>
  <c r="H32" i="36"/>
  <c r="AB32" i="36" s="1"/>
  <c r="J32" i="36"/>
  <c r="W32" i="36"/>
  <c r="J11" i="36"/>
  <c r="U11" i="36"/>
  <c r="F11" i="36"/>
  <c r="S11" i="36" s="1"/>
  <c r="AA11" i="36"/>
  <c r="J13" i="36"/>
  <c r="E89" i="37"/>
  <c r="F89" i="37" s="1"/>
  <c r="G89" i="37"/>
  <c r="H89" i="37" s="1"/>
  <c r="I89" i="37" s="1"/>
  <c r="J89" i="37" s="1"/>
  <c r="K89" i="37" s="1"/>
  <c r="L89" i="37" s="1"/>
  <c r="M89" i="37"/>
  <c r="J29" i="37"/>
  <c r="W29" i="37"/>
  <c r="F29" i="37"/>
  <c r="S29" i="37"/>
  <c r="F105" i="37"/>
  <c r="H36" i="37"/>
  <c r="AB36" i="37" s="1"/>
  <c r="J37" i="37"/>
  <c r="AC37" i="37" s="1"/>
  <c r="H37" i="37"/>
  <c r="U37" i="37"/>
  <c r="H40" i="37"/>
  <c r="U40" i="37" s="1"/>
  <c r="AC40" i="37"/>
  <c r="F40" i="37"/>
  <c r="AA40" i="37"/>
  <c r="AC12" i="40"/>
  <c r="W12" i="40"/>
  <c r="H14" i="33"/>
  <c r="U14" i="33"/>
  <c r="S14" i="33"/>
  <c r="J14" i="33"/>
  <c r="H30" i="33"/>
  <c r="AB30" i="33" s="1"/>
  <c r="F30" i="33"/>
  <c r="J30" i="33"/>
  <c r="H44" i="33"/>
  <c r="AC44" i="33"/>
  <c r="F44" i="33"/>
  <c r="J46" i="33"/>
  <c r="AC46" i="33"/>
  <c r="F46" i="33"/>
  <c r="H46" i="33"/>
  <c r="AB46" i="33"/>
  <c r="H13" i="34"/>
  <c r="U13" i="34" s="1"/>
  <c r="W13" i="34"/>
  <c r="F13" i="34"/>
  <c r="AA13" i="34"/>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W47" i="34" s="1"/>
  <c r="AC47" i="34"/>
  <c r="F13" i="35"/>
  <c r="J13" i="35"/>
  <c r="AC13" i="35" s="1"/>
  <c r="H13" i="35"/>
  <c r="J25" i="35"/>
  <c r="W25" i="35"/>
  <c r="F25" i="35"/>
  <c r="S25" i="35" s="1"/>
  <c r="H25" i="35"/>
  <c r="AB25" i="35" s="1"/>
  <c r="J25" i="36"/>
  <c r="W25" i="36" s="1"/>
  <c r="F25" i="36"/>
  <c r="H25" i="36"/>
  <c r="AB25" i="36"/>
  <c r="H13" i="37"/>
  <c r="AB13" i="37" s="1"/>
  <c r="F13" i="37"/>
  <c r="J13" i="37"/>
  <c r="W13" i="37" s="1"/>
  <c r="F28" i="37"/>
  <c r="AA28" i="37"/>
  <c r="J28" i="37"/>
  <c r="AC28" i="37" s="1"/>
  <c r="H28" i="37"/>
  <c r="U28" i="37" s="1"/>
  <c r="H38" i="37"/>
  <c r="AB38" i="37" s="1"/>
  <c r="J38" i="37"/>
  <c r="AC38" i="37"/>
  <c r="F38" i="37"/>
  <c r="S38" i="37" s="1"/>
  <c r="F43" i="39"/>
  <c r="H43" i="39"/>
  <c r="J14" i="39"/>
  <c r="AC14" i="39"/>
  <c r="F14" i="39"/>
  <c r="H14" i="39"/>
  <c r="AB14" i="39" s="1"/>
  <c r="F12" i="40"/>
  <c r="AA12" i="40" s="1"/>
  <c r="S12" i="40"/>
  <c r="H12" i="40"/>
  <c r="AB12" i="40" s="1"/>
  <c r="H30" i="40"/>
  <c r="AB30" i="40" s="1"/>
  <c r="F33" i="40"/>
  <c r="AA33" i="40" s="1"/>
  <c r="H33" i="40"/>
  <c r="U33" i="40"/>
  <c r="J35" i="40"/>
  <c r="AC35" i="40" s="1"/>
  <c r="J37" i="40"/>
  <c r="H13" i="40"/>
  <c r="U13" i="40" s="1"/>
  <c r="F14" i="37"/>
  <c r="F27" i="37"/>
  <c r="AA27" i="37" s="1"/>
  <c r="F13" i="39"/>
  <c r="J13" i="39"/>
  <c r="W13" i="39" s="1"/>
  <c r="H13" i="39"/>
  <c r="H14" i="40"/>
  <c r="AB14" i="40"/>
  <c r="J14" i="40"/>
  <c r="W14" i="40" s="1"/>
  <c r="F14" i="40"/>
  <c r="J14" i="37"/>
  <c r="J27" i="37"/>
  <c r="W27" i="37" s="1"/>
  <c r="AC27" i="37"/>
  <c r="U31" i="34"/>
  <c r="U46" i="33"/>
  <c r="AA14" i="33"/>
  <c r="J36" i="37"/>
  <c r="AC36" i="37"/>
  <c r="G105" i="37"/>
  <c r="AB11" i="36"/>
  <c r="AB11" i="35"/>
  <c r="J10" i="36"/>
  <c r="AC10" i="36" s="1"/>
  <c r="AB26" i="33"/>
  <c r="AB46" i="34"/>
  <c r="AA14" i="34"/>
  <c r="S45" i="33"/>
  <c r="AB45" i="33"/>
  <c r="U31" i="33"/>
  <c r="W29" i="33"/>
  <c r="S44" i="34"/>
  <c r="BA585" i="3"/>
  <c r="F17" i="21"/>
  <c r="AA17" i="21" s="1"/>
  <c r="H17" i="21"/>
  <c r="AB17" i="21" s="1"/>
  <c r="F15" i="21"/>
  <c r="S15" i="21" s="1"/>
  <c r="J41" i="39"/>
  <c r="W41" i="39" s="1"/>
  <c r="W36" i="39"/>
  <c r="W35" i="39"/>
  <c r="S35" i="39"/>
  <c r="G544" i="3"/>
  <c r="G540" i="3"/>
  <c r="G535" i="3"/>
  <c r="G532" i="3"/>
  <c r="G527" i="3"/>
  <c r="G523" i="3"/>
  <c r="G518" i="3"/>
  <c r="G510" i="3"/>
  <c r="G508" i="3"/>
  <c r="G504" i="3"/>
  <c r="G496" i="3"/>
  <c r="G584" i="3"/>
  <c r="G580" i="3"/>
  <c r="G576" i="3"/>
  <c r="G572" i="3"/>
  <c r="G568" i="3"/>
  <c r="G564" i="3"/>
  <c r="G560" i="3"/>
  <c r="G554" i="3"/>
  <c r="BL584" i="3"/>
  <c r="AZ584" i="3" s="1"/>
  <c r="BL576" i="3"/>
  <c r="BL572" i="3"/>
  <c r="BL568" i="3"/>
  <c r="BL564" i="3"/>
  <c r="BL560" i="3"/>
  <c r="BL554" i="3"/>
  <c r="BL538" i="3"/>
  <c r="BL534" i="3"/>
  <c r="BL530" i="3"/>
  <c r="BL516" i="3"/>
  <c r="BL512" i="3"/>
  <c r="BL502" i="3"/>
  <c r="BL494" i="3"/>
  <c r="BL582" i="3"/>
  <c r="BL578" i="3"/>
  <c r="BL574" i="3"/>
  <c r="BL570" i="3"/>
  <c r="BL562" i="3"/>
  <c r="BL556" i="3"/>
  <c r="BL552" i="3"/>
  <c r="BL540" i="3"/>
  <c r="BL536" i="3"/>
  <c r="G533" i="3"/>
  <c r="BL528" i="3"/>
  <c r="AZ528" i="3" s="1"/>
  <c r="G525" i="3"/>
  <c r="BL518" i="3"/>
  <c r="BL510" i="3"/>
  <c r="BL500" i="3"/>
  <c r="AZ500" i="3" s="1"/>
  <c r="BL496" i="3"/>
  <c r="BA584" i="3"/>
  <c r="BA582" i="3"/>
  <c r="AZ582" i="3"/>
  <c r="BA578" i="3"/>
  <c r="AZ578" i="3"/>
  <c r="BA576" i="3"/>
  <c r="BA574" i="3"/>
  <c r="AZ574" i="3"/>
  <c r="BA572" i="3"/>
  <c r="AZ572" i="3" s="1"/>
  <c r="BA570" i="3"/>
  <c r="BA568" i="3"/>
  <c r="AZ568" i="3" s="1"/>
  <c r="BA566" i="3"/>
  <c r="BA564" i="3"/>
  <c r="AZ564" i="3" s="1"/>
  <c r="BA562" i="3"/>
  <c r="AZ562" i="3" s="1"/>
  <c r="BA560" i="3"/>
  <c r="BA556" i="3"/>
  <c r="AZ556" i="3"/>
  <c r="BA552" i="3"/>
  <c r="AZ552" i="3"/>
  <c r="BA546" i="3"/>
  <c r="BA544" i="3"/>
  <c r="BA540" i="3"/>
  <c r="AZ540" i="3"/>
  <c r="BA536" i="3"/>
  <c r="AZ536" i="3"/>
  <c r="BA528" i="3"/>
  <c r="BA524" i="3"/>
  <c r="BA522" i="3"/>
  <c r="BA516" i="3"/>
  <c r="BA514" i="3"/>
  <c r="BA508" i="3"/>
  <c r="BA502" i="3"/>
  <c r="BA500" i="3"/>
  <c r="BA496" i="3"/>
  <c r="BA494" i="3"/>
  <c r="BA583" i="3"/>
  <c r="BA581" i="3"/>
  <c r="BA579" i="3"/>
  <c r="AZ579" i="3" s="1"/>
  <c r="BA577" i="3"/>
  <c r="BA575" i="3"/>
  <c r="BA571" i="3"/>
  <c r="BA569" i="3"/>
  <c r="AZ569" i="3" s="1"/>
  <c r="BA567" i="3"/>
  <c r="BA565" i="3"/>
  <c r="BA563" i="3"/>
  <c r="BA561" i="3"/>
  <c r="AZ561" i="3" s="1"/>
  <c r="BA559" i="3"/>
  <c r="BA553" i="3"/>
  <c r="BA549" i="3"/>
  <c r="BA547" i="3"/>
  <c r="BA543" i="3"/>
  <c r="BA539" i="3"/>
  <c r="BA535" i="3"/>
  <c r="BA533" i="3"/>
  <c r="AZ533" i="3" s="1"/>
  <c r="BA527" i="3"/>
  <c r="BA525" i="3"/>
  <c r="BA523" i="3"/>
  <c r="BA515" i="3"/>
  <c r="BA513" i="3"/>
  <c r="BA507" i="3"/>
  <c r="BA503" i="3"/>
  <c r="BA499" i="3"/>
  <c r="BA497" i="3"/>
  <c r="AZ560"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s="1"/>
  <c r="BQ575" i="3"/>
  <c r="BL575" i="3"/>
  <c r="AZ575" i="3"/>
  <c r="BQ573" i="3"/>
  <c r="BQ571" i="3"/>
  <c r="BL571" i="3"/>
  <c r="BQ569" i="3"/>
  <c r="BL569" i="3"/>
  <c r="BQ567" i="3"/>
  <c r="BL567" i="3"/>
  <c r="AZ567" i="3"/>
  <c r="BQ565" i="3"/>
  <c r="BL565" i="3" s="1"/>
  <c r="AZ565" i="3"/>
  <c r="BQ563" i="3"/>
  <c r="BL563" i="3"/>
  <c r="BQ561" i="3"/>
  <c r="BL561" i="3"/>
  <c r="BQ559" i="3"/>
  <c r="G559" i="3"/>
  <c r="G555" i="3"/>
  <c r="G549" i="3"/>
  <c r="G547" i="3"/>
  <c r="G545" i="3"/>
  <c r="G541" i="3"/>
  <c r="G539" i="3"/>
  <c r="G537" i="3"/>
  <c r="BQ555" i="3"/>
  <c r="BL555" i="3"/>
  <c r="BQ553" i="3"/>
  <c r="BQ551" i="3"/>
  <c r="BL551" i="3"/>
  <c r="BQ549" i="3"/>
  <c r="BQ547" i="3"/>
  <c r="BQ545" i="3"/>
  <c r="BL545" i="3"/>
  <c r="BQ543" i="3"/>
  <c r="BQ541" i="3"/>
  <c r="BQ539" i="3"/>
  <c r="BL539" i="3" s="1"/>
  <c r="AZ539" i="3" s="1"/>
  <c r="BQ537" i="3"/>
  <c r="BL537" i="3"/>
  <c r="BQ535" i="3"/>
  <c r="BQ533" i="3"/>
  <c r="BL533" i="3"/>
  <c r="BQ531" i="3"/>
  <c r="BQ529" i="3"/>
  <c r="BL529" i="3"/>
  <c r="BQ527" i="3"/>
  <c r="BQ525" i="3"/>
  <c r="BQ523" i="3"/>
  <c r="BL523" i="3" s="1"/>
  <c r="AZ523" i="3" s="1"/>
  <c r="AC521" i="3"/>
  <c r="G521" i="3"/>
  <c r="BQ521" i="3"/>
  <c r="BL520" i="3"/>
  <c r="G519" i="3"/>
  <c r="G515" i="3"/>
  <c r="G513" i="3"/>
  <c r="G511" i="3"/>
  <c r="BQ519" i="3"/>
  <c r="BL519" i="3"/>
  <c r="BQ517" i="3"/>
  <c r="BQ515" i="3"/>
  <c r="BQ513" i="3"/>
  <c r="BL513" i="3"/>
  <c r="BQ511" i="3"/>
  <c r="BL511" i="3"/>
  <c r="AC509" i="3"/>
  <c r="BQ509" i="3"/>
  <c r="G507" i="3"/>
  <c r="G505" i="3"/>
  <c r="G501" i="3"/>
  <c r="G497" i="3"/>
  <c r="BQ507" i="3"/>
  <c r="BL507" i="3" s="1"/>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c r="H17" i="37"/>
  <c r="U32" i="33"/>
  <c r="AA36" i="39"/>
  <c r="F39" i="33"/>
  <c r="AA39" i="33" s="1"/>
  <c r="E123" i="33"/>
  <c r="F123" i="33" s="1"/>
  <c r="F42" i="33"/>
  <c r="AA42" i="33" s="1"/>
  <c r="H28" i="34"/>
  <c r="AB28" i="34"/>
  <c r="F14" i="36"/>
  <c r="AA14" i="36" s="1"/>
  <c r="F22" i="36"/>
  <c r="S22" i="36"/>
  <c r="F26" i="36"/>
  <c r="H27" i="34"/>
  <c r="AB27" i="34"/>
  <c r="H35" i="34"/>
  <c r="U35" i="34" s="1"/>
  <c r="F41" i="34"/>
  <c r="S41" i="34"/>
  <c r="H41" i="34"/>
  <c r="J41" i="34"/>
  <c r="AC41" i="34"/>
  <c r="F10" i="35"/>
  <c r="F24" i="35"/>
  <c r="AA24" i="35"/>
  <c r="H24" i="35"/>
  <c r="AB24" i="35" s="1"/>
  <c r="H23" i="37"/>
  <c r="AB23" i="37"/>
  <c r="J32" i="37"/>
  <c r="AC32" i="37" s="1"/>
  <c r="F36" i="37"/>
  <c r="AA36" i="37"/>
  <c r="F37" i="37"/>
  <c r="AA37" i="37" s="1"/>
  <c r="AA31" i="40"/>
  <c r="H31" i="40"/>
  <c r="F32" i="40"/>
  <c r="S32" i="40"/>
  <c r="H32" i="40"/>
  <c r="AB32" i="40" s="1"/>
  <c r="J36" i="40"/>
  <c r="W36" i="40"/>
  <c r="AA41" i="34"/>
  <c r="H19" i="37"/>
  <c r="AB19" i="37" s="1"/>
  <c r="G123" i="33"/>
  <c r="H123" i="33" s="1"/>
  <c r="I123" i="33" s="1"/>
  <c r="J123" i="33" s="1"/>
  <c r="K123" i="33" s="1"/>
  <c r="L123" i="33" s="1"/>
  <c r="M123" i="33" s="1"/>
  <c r="H42" i="33"/>
  <c r="AB42" i="33" s="1"/>
  <c r="J43" i="33"/>
  <c r="AC43" i="33"/>
  <c r="U43" i="33"/>
  <c r="U14" i="40"/>
  <c r="AC32" i="36"/>
  <c r="AC33" i="36"/>
  <c r="AB28" i="37"/>
  <c r="U33" i="37"/>
  <c r="AC8" i="37"/>
  <c r="AB13" i="34"/>
  <c r="AB37" i="34"/>
  <c r="AA13" i="33"/>
  <c r="AC31" i="33"/>
  <c r="U11" i="33"/>
  <c r="U19" i="21"/>
  <c r="W44" i="21"/>
  <c r="AC46" i="21"/>
  <c r="U12" i="21"/>
  <c r="F43" i="33"/>
  <c r="AA43" i="33" s="1"/>
  <c r="W16" i="35"/>
  <c r="W40" i="37"/>
  <c r="M107" i="37"/>
  <c r="H19" i="34"/>
  <c r="AB19" i="34" s="1"/>
  <c r="F36" i="35"/>
  <c r="S36" i="35" s="1"/>
  <c r="J9" i="37"/>
  <c r="H9" i="37"/>
  <c r="AB9" i="37"/>
  <c r="F9" i="37"/>
  <c r="S9" i="37" s="1"/>
  <c r="J12" i="37"/>
  <c r="H12" i="37"/>
  <c r="AB12" i="37" s="1"/>
  <c r="F12" i="37"/>
  <c r="S12" i="37" s="1"/>
  <c r="E71" i="37"/>
  <c r="F15" i="37"/>
  <c r="AA15" i="37"/>
  <c r="E94" i="37"/>
  <c r="F94" i="37" s="1"/>
  <c r="F31" i="37"/>
  <c r="S31" i="37" s="1"/>
  <c r="F12" i="39"/>
  <c r="AA12" i="39" s="1"/>
  <c r="J42" i="39"/>
  <c r="AC42" i="39" s="1"/>
  <c r="H21" i="40"/>
  <c r="AB21" i="40"/>
  <c r="G94" i="37"/>
  <c r="H94" i="37" s="1"/>
  <c r="I94" i="37"/>
  <c r="J94" i="37" s="1"/>
  <c r="K94" i="37" s="1"/>
  <c r="L94" i="37" s="1"/>
  <c r="M94" i="37" s="1"/>
  <c r="H31" i="37"/>
  <c r="U31" i="37"/>
  <c r="F71" i="37"/>
  <c r="G71" i="37" s="1"/>
  <c r="J15" i="37"/>
  <c r="W15" i="37"/>
  <c r="U12" i="37"/>
  <c r="AT6" i="3"/>
  <c r="C12" i="43"/>
  <c r="H19" i="40"/>
  <c r="AB19" i="40" s="1"/>
  <c r="U19" i="40"/>
  <c r="F88" i="40"/>
  <c r="G88" i="40"/>
  <c r="F19" i="40"/>
  <c r="AA19" i="40" s="1"/>
  <c r="S19" i="40"/>
  <c r="AB33" i="40"/>
  <c r="W23" i="39"/>
  <c r="W43" i="39"/>
  <c r="U45" i="39"/>
  <c r="AB45" i="39"/>
  <c r="G101" i="39"/>
  <c r="H25" i="39"/>
  <c r="AB25" i="39" s="1"/>
  <c r="J25" i="39"/>
  <c r="F25" i="39"/>
  <c r="F15" i="39"/>
  <c r="AA15" i="39"/>
  <c r="H15" i="39"/>
  <c r="J15" i="39"/>
  <c r="W15" i="39"/>
  <c r="H41" i="39"/>
  <c r="U41" i="39" s="1"/>
  <c r="W27" i="39"/>
  <c r="AB34" i="39"/>
  <c r="S42" i="39"/>
  <c r="W14" i="39"/>
  <c r="AA41" i="39"/>
  <c r="W8" i="39"/>
  <c r="J19" i="40"/>
  <c r="AC19" i="40" s="1"/>
  <c r="J50" i="40"/>
  <c r="H103" i="9"/>
  <c r="D8" i="53" s="1"/>
  <c r="B16" i="53"/>
  <c r="B33" i="72" s="1"/>
  <c r="C7" i="37"/>
  <c r="C7" i="34"/>
  <c r="C59" i="34" s="1"/>
  <c r="D59" i="34" s="1"/>
  <c r="E59" i="34" s="1"/>
  <c r="C7" i="36"/>
  <c r="W35" i="40"/>
  <c r="A118" i="9"/>
  <c r="A4" i="52"/>
  <c r="B41" i="72" s="1"/>
  <c r="J11" i="39"/>
  <c r="W11" i="39"/>
  <c r="F11" i="39"/>
  <c r="AA11" i="39"/>
  <c r="S11" i="39"/>
  <c r="G4" i="4"/>
  <c r="I4" i="4"/>
  <c r="A2" i="9"/>
  <c r="F59" i="43"/>
  <c r="H62" i="43"/>
  <c r="AZ20" i="3"/>
  <c r="AZ24" i="3"/>
  <c r="AZ28" i="3"/>
  <c r="AZ32" i="3"/>
  <c r="BL549" i="3"/>
  <c r="AZ494"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AZ394" i="3" s="1"/>
  <c r="BL394" i="3"/>
  <c r="G113" i="3"/>
  <c r="BA115" i="3"/>
  <c r="AZ115" i="3" s="1"/>
  <c r="BL116" i="3"/>
  <c r="AZ116" i="3" s="1"/>
  <c r="G117" i="3"/>
  <c r="BA119" i="3"/>
  <c r="BL120" i="3"/>
  <c r="G121" i="3"/>
  <c r="BA123" i="3"/>
  <c r="BL124" i="3"/>
  <c r="AZ124" i="3"/>
  <c r="G125" i="3"/>
  <c r="BA127" i="3"/>
  <c r="AZ127" i="3" s="1"/>
  <c r="BL128" i="3"/>
  <c r="G129" i="3"/>
  <c r="BA131" i="3"/>
  <c r="BL132" i="3"/>
  <c r="G133" i="3"/>
  <c r="BA135" i="3"/>
  <c r="AZ135" i="3"/>
  <c r="BL136" i="3"/>
  <c r="AZ136" i="3" s="1"/>
  <c r="G137" i="3"/>
  <c r="BA139" i="3"/>
  <c r="BL140" i="3"/>
  <c r="G141" i="3"/>
  <c r="BA143" i="3"/>
  <c r="AZ143" i="3" s="1"/>
  <c r="BL144" i="3"/>
  <c r="G145" i="3"/>
  <c r="BA147" i="3"/>
  <c r="AZ147" i="3" s="1"/>
  <c r="BL148" i="3"/>
  <c r="AZ148" i="3" s="1"/>
  <c r="G149" i="3"/>
  <c r="BA151" i="3"/>
  <c r="AZ151" i="3" s="1"/>
  <c r="BL152" i="3"/>
  <c r="G153" i="3"/>
  <c r="BA155" i="3"/>
  <c r="BL156" i="3"/>
  <c r="AZ156" i="3"/>
  <c r="G157" i="3"/>
  <c r="BA159" i="3"/>
  <c r="BL160" i="3"/>
  <c r="AZ160" i="3" s="1"/>
  <c r="G161" i="3"/>
  <c r="BA163" i="3"/>
  <c r="AZ163" i="3" s="1"/>
  <c r="BL164" i="3"/>
  <c r="AZ164" i="3"/>
  <c r="G165" i="3"/>
  <c r="BA167" i="3"/>
  <c r="AZ167" i="3"/>
  <c r="BL168" i="3"/>
  <c r="AZ168" i="3" s="1"/>
  <c r="G169" i="3"/>
  <c r="BA171" i="3"/>
  <c r="AZ171" i="3"/>
  <c r="BL172" i="3"/>
  <c r="G173" i="3"/>
  <c r="BA175" i="3"/>
  <c r="AZ175" i="3"/>
  <c r="BL176" i="3"/>
  <c r="G177" i="3"/>
  <c r="BA179" i="3"/>
  <c r="BL180" i="3"/>
  <c r="G181" i="3"/>
  <c r="BA183" i="3"/>
  <c r="AZ183" i="3"/>
  <c r="BL184" i="3"/>
  <c r="G185" i="3"/>
  <c r="BA187" i="3"/>
  <c r="AZ187" i="3"/>
  <c r="BL188" i="3"/>
  <c r="AZ188" i="3"/>
  <c r="G189" i="3"/>
  <c r="BA191" i="3"/>
  <c r="BL192" i="3"/>
  <c r="AZ192" i="3" s="1"/>
  <c r="G193" i="3"/>
  <c r="BA195" i="3"/>
  <c r="AZ195" i="3" s="1"/>
  <c r="BL196" i="3"/>
  <c r="AZ196" i="3" s="1"/>
  <c r="G197" i="3"/>
  <c r="BA199" i="3"/>
  <c r="AZ199" i="3"/>
  <c r="BL200" i="3"/>
  <c r="AZ200" i="3" s="1"/>
  <c r="G201" i="3"/>
  <c r="BA203" i="3"/>
  <c r="AZ203" i="3"/>
  <c r="BL204" i="3"/>
  <c r="AZ204" i="3"/>
  <c r="AZ39" i="3"/>
  <c r="AZ43" i="3"/>
  <c r="AZ51" i="3"/>
  <c r="AZ55" i="3"/>
  <c r="AZ59" i="3"/>
  <c r="AZ63" i="3"/>
  <c r="AZ67" i="3"/>
  <c r="AZ79" i="3"/>
  <c r="AZ144" i="3"/>
  <c r="AZ152" i="3"/>
  <c r="AZ176" i="3"/>
  <c r="AZ184" i="3"/>
  <c r="AZ85" i="3"/>
  <c r="AZ89" i="3"/>
  <c r="AZ93" i="3"/>
  <c r="AZ97" i="3"/>
  <c r="AZ105" i="3"/>
  <c r="AZ128" i="3"/>
  <c r="G534" i="3"/>
  <c r="G530" i="3"/>
  <c r="G516" i="3"/>
  <c r="G506" i="3"/>
  <c r="G494" i="3"/>
  <c r="G16" i="3"/>
  <c r="BA304" i="3"/>
  <c r="BA305" i="3"/>
  <c r="AZ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c r="BA390" i="3"/>
  <c r="BL390" i="3"/>
  <c r="G391" i="3"/>
  <c r="G394" i="3"/>
  <c r="AZ142" i="3"/>
  <c r="AZ150" i="3"/>
  <c r="AZ154" i="3"/>
  <c r="AZ158" i="3"/>
  <c r="AZ162" i="3"/>
  <c r="AZ170" i="3"/>
  <c r="AZ174" i="3"/>
  <c r="AZ190" i="3"/>
  <c r="AZ194" i="3"/>
  <c r="AZ202" i="3"/>
  <c r="BA16" i="3"/>
  <c r="AZ16" i="3" s="1"/>
  <c r="BL303" i="3"/>
  <c r="AZ303" i="3" s="1"/>
  <c r="G304" i="3"/>
  <c r="BA306" i="3"/>
  <c r="AZ306" i="3" s="1"/>
  <c r="BL307" i="3"/>
  <c r="AZ307" i="3" s="1"/>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c r="G332" i="3"/>
  <c r="BA334" i="3"/>
  <c r="BL335" i="3"/>
  <c r="AZ335" i="3" s="1"/>
  <c r="G336" i="3"/>
  <c r="BA338" i="3"/>
  <c r="AZ338" i="3" s="1"/>
  <c r="BL339" i="3"/>
  <c r="AZ339" i="3"/>
  <c r="G340" i="3"/>
  <c r="BL343" i="3"/>
  <c r="G344" i="3"/>
  <c r="G348" i="3"/>
  <c r="G355" i="3"/>
  <c r="AZ209" i="3"/>
  <c r="AZ214" i="3"/>
  <c r="AZ218" i="3"/>
  <c r="AZ319" i="3"/>
  <c r="G342" i="3"/>
  <c r="BL345" i="3"/>
  <c r="G346" i="3"/>
  <c r="AZ348" i="3"/>
  <c r="BL349" i="3"/>
  <c r="AZ349" i="3"/>
  <c r="BL352" i="3"/>
  <c r="G353" i="3"/>
  <c r="BA357" i="3"/>
  <c r="BL358" i="3"/>
  <c r="AZ358" i="3"/>
  <c r="G359" i="3"/>
  <c r="BA361" i="3"/>
  <c r="BL362" i="3"/>
  <c r="AZ362" i="3" s="1"/>
  <c r="G363" i="3"/>
  <c r="BA365" i="3"/>
  <c r="AZ365" i="3" s="1"/>
  <c r="BL366" i="3"/>
  <c r="G367" i="3"/>
  <c r="BA369" i="3"/>
  <c r="AZ369" i="3" s="1"/>
  <c r="BL370" i="3"/>
  <c r="G371" i="3"/>
  <c r="BA373" i="3"/>
  <c r="AZ373" i="3" s="1"/>
  <c r="BL374" i="3"/>
  <c r="AZ374" i="3"/>
  <c r="G375" i="3"/>
  <c r="BA377" i="3"/>
  <c r="AZ377" i="3" s="1"/>
  <c r="AZ229" i="3"/>
  <c r="AZ233" i="3"/>
  <c r="AZ241" i="3"/>
  <c r="AZ245" i="3"/>
  <c r="AZ249" i="3"/>
  <c r="AZ253" i="3"/>
  <c r="AZ257" i="3"/>
  <c r="AZ265" i="3"/>
  <c r="AZ273" i="3"/>
  <c r="AZ370" i="3"/>
  <c r="BA379" i="3"/>
  <c r="AZ379" i="3" s="1"/>
  <c r="BL380" i="3"/>
  <c r="G381" i="3"/>
  <c r="BA383" i="3"/>
  <c r="AZ383" i="3" s="1"/>
  <c r="BL384" i="3"/>
  <c r="G385" i="3"/>
  <c r="BA387" i="3"/>
  <c r="AZ387" i="3" s="1"/>
  <c r="BL388" i="3"/>
  <c r="G389" i="3"/>
  <c r="BA391" i="3"/>
  <c r="AZ391" i="3" s="1"/>
  <c r="BL392" i="3"/>
  <c r="G393" i="3"/>
  <c r="AZ263" i="3"/>
  <c r="AZ279" i="3"/>
  <c r="AZ283" i="3"/>
  <c r="AZ287" i="3"/>
  <c r="AZ299" i="3"/>
  <c r="BO5" i="3"/>
  <c r="BJ5" i="3"/>
  <c r="BF5" i="3"/>
  <c r="AZ309" i="3"/>
  <c r="AZ317" i="3"/>
  <c r="AZ333" i="3"/>
  <c r="AZ341" i="3"/>
  <c r="AZ496" i="3"/>
  <c r="G548" i="3"/>
  <c r="G502" i="3"/>
  <c r="BN5" i="3"/>
  <c r="BK5" i="3"/>
  <c r="BE5" i="3"/>
  <c r="BA17" i="3"/>
  <c r="BT5" i="3"/>
  <c r="AZ352" i="3"/>
  <c r="AZ360" i="3"/>
  <c r="AZ364" i="3"/>
  <c r="BA15" i="3"/>
  <c r="BB5" i="3"/>
  <c r="BR5" i="3"/>
  <c r="G28" i="6" s="1"/>
  <c r="AZ380" i="3"/>
  <c r="AZ384" i="3"/>
  <c r="AZ392" i="3"/>
  <c r="AZ396" i="3"/>
  <c r="E8" i="6"/>
  <c r="F27" i="6" s="1"/>
  <c r="G509" i="3"/>
  <c r="AZ491" i="3"/>
  <c r="AZ376" i="3"/>
  <c r="AZ390" i="3"/>
  <c r="U36" i="40"/>
  <c r="F36" i="43"/>
  <c r="F81" i="43"/>
  <c r="H83" i="43"/>
  <c r="H113" i="43"/>
  <c r="F48" i="43"/>
  <c r="H52" i="43" s="1"/>
  <c r="F70" i="43"/>
  <c r="H78" i="43" s="1"/>
  <c r="H73" i="43"/>
  <c r="M11" i="43"/>
  <c r="D17" i="43"/>
  <c r="F39" i="43"/>
  <c r="I17" i="43"/>
  <c r="F35" i="43"/>
  <c r="J17" i="43"/>
  <c r="F6" i="1"/>
  <c r="U17" i="39"/>
  <c r="S14" i="35"/>
  <c r="U43" i="21"/>
  <c r="U35" i="21"/>
  <c r="AC35" i="21"/>
  <c r="G8" i="1"/>
  <c r="G9" i="1"/>
  <c r="G10" i="1"/>
  <c r="AC11" i="39"/>
  <c r="W37" i="37"/>
  <c r="W44" i="34"/>
  <c r="AC44" i="34"/>
  <c r="S15" i="37"/>
  <c r="U13" i="37"/>
  <c r="U12" i="40"/>
  <c r="J37" i="33"/>
  <c r="W37" i="33"/>
  <c r="AC17" i="34"/>
  <c r="F106" i="33"/>
  <c r="G106" i="33"/>
  <c r="H106" i="33"/>
  <c r="I106" i="33" s="1"/>
  <c r="J106" i="33" s="1"/>
  <c r="K106" i="33" s="1"/>
  <c r="L106" i="33" s="1"/>
  <c r="M106" i="33" s="1"/>
  <c r="J34" i="33"/>
  <c r="W34" i="33"/>
  <c r="F33" i="34"/>
  <c r="S33" i="34"/>
  <c r="W12" i="36"/>
  <c r="AC12" i="36"/>
  <c r="H20" i="36"/>
  <c r="U20" i="36"/>
  <c r="J20" i="36"/>
  <c r="W20" i="36"/>
  <c r="W24" i="36"/>
  <c r="J27" i="36"/>
  <c r="W27" i="36" s="1"/>
  <c r="AC33" i="40"/>
  <c r="J111" i="40"/>
  <c r="K111" i="40" s="1"/>
  <c r="L111" i="40" s="1"/>
  <c r="M111" i="40" s="1"/>
  <c r="H35" i="40"/>
  <c r="AB35" i="40" s="1"/>
  <c r="AC29" i="35"/>
  <c r="W29" i="35"/>
  <c r="H35" i="37"/>
  <c r="U35" i="37" s="1"/>
  <c r="AC14" i="35"/>
  <c r="H20" i="35"/>
  <c r="U20" i="35" s="1"/>
  <c r="F20" i="35"/>
  <c r="AA20" i="35"/>
  <c r="AB23" i="35"/>
  <c r="AB29" i="36"/>
  <c r="U29" i="36"/>
  <c r="H32" i="37"/>
  <c r="AB32" i="37"/>
  <c r="F96" i="37"/>
  <c r="G96" i="37" s="1"/>
  <c r="H27" i="40"/>
  <c r="U27" i="40"/>
  <c r="J27" i="40"/>
  <c r="F27" i="40"/>
  <c r="S27" i="40"/>
  <c r="J30" i="40"/>
  <c r="F30" i="40"/>
  <c r="AA30" i="40"/>
  <c r="AC21" i="40"/>
  <c r="E98" i="40"/>
  <c r="F98" i="40" s="1"/>
  <c r="G98" i="40" s="1"/>
  <c r="H98" i="40" s="1"/>
  <c r="I98" i="40" s="1"/>
  <c r="J98" i="40" s="1"/>
  <c r="K98" i="40" s="1"/>
  <c r="L98" i="40" s="1"/>
  <c r="M98" i="40" s="1"/>
  <c r="F10" i="33"/>
  <c r="AA10" i="33" s="1"/>
  <c r="S10" i="33"/>
  <c r="F34" i="33"/>
  <c r="S34" i="33"/>
  <c r="H34" i="33"/>
  <c r="U34" i="33"/>
  <c r="F35" i="33"/>
  <c r="S35" i="33"/>
  <c r="F39" i="34"/>
  <c r="S39" i="34"/>
  <c r="J39" i="34"/>
  <c r="W39" i="34"/>
  <c r="F40" i="34"/>
  <c r="S40" i="34"/>
  <c r="F43" i="34"/>
  <c r="AA43" i="34"/>
  <c r="H44" i="34"/>
  <c r="U44" i="34" s="1"/>
  <c r="AB44" i="34"/>
  <c r="AC38" i="39"/>
  <c r="F39" i="39"/>
  <c r="J39" i="39"/>
  <c r="AC39" i="39" s="1"/>
  <c r="E97" i="39"/>
  <c r="F97" i="39"/>
  <c r="G97" i="39" s="1"/>
  <c r="AZ353" i="3"/>
  <c r="AZ354" i="3"/>
  <c r="AZ386" i="3"/>
  <c r="C40" i="11"/>
  <c r="AZ215" i="3"/>
  <c r="AZ223" i="3"/>
  <c r="AZ227" i="3"/>
  <c r="AZ232" i="3"/>
  <c r="AZ235" i="3"/>
  <c r="AZ240" i="3"/>
  <c r="AZ243" i="3"/>
  <c r="AZ248" i="3"/>
  <c r="AZ259" i="3"/>
  <c r="AZ268" i="3"/>
  <c r="AZ271" i="3"/>
  <c r="AZ280" i="3"/>
  <c r="AZ296" i="3"/>
  <c r="AZ114" i="3"/>
  <c r="AZ117" i="3"/>
  <c r="AZ133" i="3"/>
  <c r="AZ21" i="3"/>
  <c r="AZ29" i="3"/>
  <c r="AZ31" i="3"/>
  <c r="AZ33" i="3"/>
  <c r="AZ37" i="3"/>
  <c r="AZ42" i="3"/>
  <c r="AZ45" i="3"/>
  <c r="AZ53" i="3"/>
  <c r="AZ58" i="3"/>
  <c r="AZ61" i="3"/>
  <c r="AZ66" i="3"/>
  <c r="AZ69" i="3"/>
  <c r="AZ72" i="3"/>
  <c r="AZ74" i="3"/>
  <c r="AZ77" i="3"/>
  <c r="AZ82" i="3"/>
  <c r="AZ86" i="3"/>
  <c r="AZ94" i="3"/>
  <c r="AZ102" i="3"/>
  <c r="AZ110" i="3"/>
  <c r="H75" i="43"/>
  <c r="I20" i="43"/>
  <c r="F23" i="39"/>
  <c r="AA23" i="39"/>
  <c r="H27" i="36"/>
  <c r="AB27" i="36" s="1"/>
  <c r="U27" i="36"/>
  <c r="F27" i="36"/>
  <c r="AA27" i="36"/>
  <c r="H33" i="34"/>
  <c r="U33" i="34"/>
  <c r="F32" i="37"/>
  <c r="AA32" i="37"/>
  <c r="H96" i="37"/>
  <c r="I96" i="37" s="1"/>
  <c r="J96" i="37" s="1"/>
  <c r="K96" i="37" s="1"/>
  <c r="L96" i="37" s="1"/>
  <c r="M96" i="37" s="1"/>
  <c r="F20" i="36"/>
  <c r="J33" i="34"/>
  <c r="AC33" i="34" s="1"/>
  <c r="H23" i="39"/>
  <c r="U23" i="39"/>
  <c r="H86" i="43"/>
  <c r="H82" i="43"/>
  <c r="H87" i="43"/>
  <c r="K9" i="1"/>
  <c r="M9" i="1" s="1"/>
  <c r="AE9" i="1"/>
  <c r="K6" i="1"/>
  <c r="AC26" i="33"/>
  <c r="W26" i="33"/>
  <c r="W27" i="34"/>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U12" i="39" s="1"/>
  <c r="AB12" i="39"/>
  <c r="F39" i="40"/>
  <c r="BA14" i="3"/>
  <c r="AZ367" i="3"/>
  <c r="AZ213" i="3"/>
  <c r="AZ234" i="3"/>
  <c r="AZ238" i="3"/>
  <c r="AZ250" i="3"/>
  <c r="AZ254" i="3"/>
  <c r="AZ286" i="3"/>
  <c r="AZ297" i="3"/>
  <c r="AZ157"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AC34" i="33"/>
  <c r="AA34" i="33"/>
  <c r="J100" i="43"/>
  <c r="AB37" i="40"/>
  <c r="S35" i="40"/>
  <c r="U35" i="40"/>
  <c r="AC36" i="40"/>
  <c r="W38" i="40"/>
  <c r="AA32" i="40"/>
  <c r="S23" i="40"/>
  <c r="AC17" i="40"/>
  <c r="AC15" i="40"/>
  <c r="AB27" i="40"/>
  <c r="S30" i="40"/>
  <c r="S28" i="40"/>
  <c r="AA27" i="40"/>
  <c r="U21" i="40"/>
  <c r="W42" i="39"/>
  <c r="U35" i="39"/>
  <c r="F32" i="39"/>
  <c r="S32" i="39" s="1"/>
  <c r="F107" i="39"/>
  <c r="G107" i="39"/>
  <c r="H107" i="39" s="1"/>
  <c r="AB27" i="39"/>
  <c r="J21" i="39"/>
  <c r="W21" i="39" s="1"/>
  <c r="F21" i="39"/>
  <c r="H21" i="39"/>
  <c r="U21" i="39" s="1"/>
  <c r="U19" i="39"/>
  <c r="S17" i="39"/>
  <c r="AC15" i="39"/>
  <c r="S15" i="39"/>
  <c r="S9" i="39"/>
  <c r="U14" i="39"/>
  <c r="AC13" i="39"/>
  <c r="S23" i="36"/>
  <c r="AC27" i="36"/>
  <c r="U26" i="36"/>
  <c r="S27" i="36"/>
  <c r="AA34" i="36"/>
  <c r="S29" i="36"/>
  <c r="AC26" i="36"/>
  <c r="AA22" i="36"/>
  <c r="W14" i="36"/>
  <c r="AB14" i="36"/>
  <c r="U22" i="36"/>
  <c r="S24" i="36"/>
  <c r="U24" i="36"/>
  <c r="U23" i="36"/>
  <c r="AB20" i="36"/>
  <c r="U16" i="36"/>
  <c r="S14" i="36"/>
  <c r="W10" i="36"/>
  <c r="AA25" i="35"/>
  <c r="S23" i="35"/>
  <c r="U29" i="35"/>
  <c r="U28" i="35"/>
  <c r="AB27" i="35"/>
  <c r="U32" i="35"/>
  <c r="AA33" i="35"/>
  <c r="AC30" i="35"/>
  <c r="S32" i="35"/>
  <c r="AA36" i="35"/>
  <c r="W32" i="35"/>
  <c r="S28" i="35"/>
  <c r="AB16" i="35"/>
  <c r="U22" i="35"/>
  <c r="S20" i="35"/>
  <c r="AC20" i="35"/>
  <c r="S22" i="35"/>
  <c r="U14" i="35"/>
  <c r="AC10" i="35"/>
  <c r="AB10" i="35"/>
  <c r="AA11" i="35"/>
  <c r="S8" i="35"/>
  <c r="AC12" i="35"/>
  <c r="W13" i="35"/>
  <c r="H9" i="35"/>
  <c r="U9" i="35" s="1"/>
  <c r="AB40" i="37"/>
  <c r="S25" i="37"/>
  <c r="AC29" i="37"/>
  <c r="U29" i="37"/>
  <c r="S32" i="37"/>
  <c r="AB31" i="37"/>
  <c r="W30" i="37"/>
  <c r="S36" i="37"/>
  <c r="AA38" i="37"/>
  <c r="U32" i="37"/>
  <c r="W38" i="37"/>
  <c r="AC35" i="37"/>
  <c r="W39" i="37"/>
  <c r="S30" i="37"/>
  <c r="S37" i="37"/>
  <c r="AC15" i="37"/>
  <c r="J17" i="37"/>
  <c r="G73" i="37"/>
  <c r="F17" i="37"/>
  <c r="AA17" i="37"/>
  <c r="F75" i="37"/>
  <c r="F19" i="37"/>
  <c r="F79" i="37"/>
  <c r="G79" i="37" s="1"/>
  <c r="F23" i="37"/>
  <c r="S23" i="37"/>
  <c r="U23" i="37"/>
  <c r="U15" i="37"/>
  <c r="AC13" i="37"/>
  <c r="U9" i="37"/>
  <c r="AA12" i="37"/>
  <c r="AA9" i="37"/>
  <c r="H10" i="37"/>
  <c r="H60" i="37"/>
  <c r="F63" i="37"/>
  <c r="F11" i="37"/>
  <c r="S11" i="37" s="1"/>
  <c r="S27" i="34"/>
  <c r="W25" i="34"/>
  <c r="AB8" i="34"/>
  <c r="AA33" i="34"/>
  <c r="U43" i="34"/>
  <c r="AC39" i="34"/>
  <c r="W41" i="34"/>
  <c r="AC42" i="34"/>
  <c r="AB35" i="34"/>
  <c r="U39" i="34"/>
  <c r="S43" i="34"/>
  <c r="AA45" i="34"/>
  <c r="W34" i="34"/>
  <c r="U28" i="34"/>
  <c r="S17" i="34"/>
  <c r="AA29" i="34"/>
  <c r="U27" i="34"/>
  <c r="S23" i="34"/>
  <c r="U15" i="34"/>
  <c r="S10" i="34"/>
  <c r="S13" i="34"/>
  <c r="H10" i="34"/>
  <c r="U10" i="34" s="1"/>
  <c r="F11" i="34"/>
  <c r="S11" i="34"/>
  <c r="F70" i="34"/>
  <c r="W42" i="33"/>
  <c r="AA35" i="33"/>
  <c r="S27" i="33"/>
  <c r="AB29" i="33"/>
  <c r="W38" i="33"/>
  <c r="H41" i="33"/>
  <c r="F121" i="33"/>
  <c r="G121" i="33"/>
  <c r="H121" i="33" s="1"/>
  <c r="I121" i="33" s="1"/>
  <c r="J121" i="33"/>
  <c r="K121" i="33" s="1"/>
  <c r="L121" i="33" s="1"/>
  <c r="M121" i="33" s="1"/>
  <c r="U42" i="33"/>
  <c r="S42" i="33"/>
  <c r="F36" i="33"/>
  <c r="G111" i="33"/>
  <c r="H108" i="33"/>
  <c r="I108" i="33" s="1"/>
  <c r="J108" i="33" s="1"/>
  <c r="K108" i="33"/>
  <c r="L108" i="33" s="1"/>
  <c r="M108" i="33"/>
  <c r="J35" i="33"/>
  <c r="S37" i="33"/>
  <c r="AA37" i="33"/>
  <c r="S39" i="33"/>
  <c r="F101" i="33"/>
  <c r="G101" i="33"/>
  <c r="H101" i="33" s="1"/>
  <c r="I101" i="33"/>
  <c r="J101" i="33" s="1"/>
  <c r="K101" i="33" s="1"/>
  <c r="L101" i="33"/>
  <c r="M101" i="33" s="1"/>
  <c r="J32" i="33"/>
  <c r="W43" i="33"/>
  <c r="S43" i="33"/>
  <c r="F91" i="33"/>
  <c r="H27" i="33"/>
  <c r="F87" i="33"/>
  <c r="H25" i="33"/>
  <c r="F25" i="33"/>
  <c r="J23" i="33"/>
  <c r="F85" i="33"/>
  <c r="G85" i="33" s="1"/>
  <c r="H23" i="33"/>
  <c r="F81" i="33"/>
  <c r="F19" i="33"/>
  <c r="S19" i="33"/>
  <c r="W19" i="33"/>
  <c r="J17" i="33"/>
  <c r="F79" i="33"/>
  <c r="S15" i="33"/>
  <c r="W15" i="33"/>
  <c r="U9" i="33"/>
  <c r="I66" i="33"/>
  <c r="J10" i="33"/>
  <c r="W10" i="33" s="1"/>
  <c r="H10" i="33"/>
  <c r="AC11" i="33"/>
  <c r="AB14" i="33"/>
  <c r="W36" i="21"/>
  <c r="W41" i="21"/>
  <c r="S39" i="21"/>
  <c r="AC40" i="21"/>
  <c r="J15" i="21"/>
  <c r="W15"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A24" i="51"/>
  <c r="B18" i="72"/>
  <c r="U29" i="34"/>
  <c r="E32" i="6"/>
  <c r="L19" i="6"/>
  <c r="G1" i="68"/>
  <c r="K1" i="12"/>
  <c r="T12" i="1"/>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17" i="43"/>
  <c r="G6" i="1"/>
  <c r="H85" i="43"/>
  <c r="H81" i="43"/>
  <c r="H84" i="43"/>
  <c r="H88" i="43"/>
  <c r="H71" i="43"/>
  <c r="C17" i="43"/>
  <c r="F33" i="43"/>
  <c r="K17" i="43"/>
  <c r="F34" i="43"/>
  <c r="N6" i="43"/>
  <c r="C6" i="43"/>
  <c r="N3" i="43"/>
  <c r="F38" i="43"/>
  <c r="F37" i="43"/>
  <c r="M9" i="43"/>
  <c r="N5" i="43"/>
  <c r="M12" i="43"/>
  <c r="B19" i="53"/>
  <c r="B37" i="72" s="1"/>
  <c r="C7" i="39"/>
  <c r="C68" i="39" s="1"/>
  <c r="C70" i="39" s="1"/>
  <c r="C7" i="35"/>
  <c r="C48" i="35" s="1"/>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s="1"/>
  <c r="C19" i="43" s="1"/>
  <c r="C46" i="36"/>
  <c r="C52" i="37"/>
  <c r="A4" i="51"/>
  <c r="B6" i="72" s="1"/>
  <c r="C4" i="12"/>
  <c r="H66" i="43"/>
  <c r="H65" i="43"/>
  <c r="H64" i="43"/>
  <c r="H63" i="43"/>
  <c r="H56" i="43"/>
  <c r="H72" i="43"/>
  <c r="L20" i="6"/>
  <c r="E51" i="40"/>
  <c r="B6" i="1"/>
  <c r="E6" i="1" s="1"/>
  <c r="S8" i="1"/>
  <c r="AQ8" i="1" s="1"/>
  <c r="K11" i="1"/>
  <c r="M11" i="1" s="1"/>
  <c r="AP6" i="1"/>
  <c r="B9" i="1"/>
  <c r="E9" i="1"/>
  <c r="K7" i="1"/>
  <c r="G1" i="15"/>
  <c r="G1" i="69"/>
  <c r="G1" i="67"/>
  <c r="W23" i="40"/>
  <c r="U32" i="40"/>
  <c r="S37" i="40"/>
  <c r="AB28" i="40"/>
  <c r="W28" i="40"/>
  <c r="W34" i="40"/>
  <c r="W19" i="40"/>
  <c r="S36" i="40"/>
  <c r="AC14"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U25" i="36"/>
  <c r="AB28" i="36"/>
  <c r="W9" i="36"/>
  <c r="W22" i="36"/>
  <c r="W23" i="36"/>
  <c r="AB20" i="35"/>
  <c r="AC25" i="35"/>
  <c r="U25"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C38" i="21"/>
  <c r="H32" i="21"/>
  <c r="U32" i="21" s="1"/>
  <c r="H9" i="21"/>
  <c r="AB9" i="21" s="1"/>
  <c r="J9" i="21"/>
  <c r="W9" i="21" s="1"/>
  <c r="J32" i="21"/>
  <c r="W32" i="21" s="1"/>
  <c r="F32" i="21"/>
  <c r="S32" i="21" s="1"/>
  <c r="AA31" i="21"/>
  <c r="U17" i="21"/>
  <c r="S19" i="21"/>
  <c r="S9" i="21"/>
  <c r="AA9" i="21"/>
  <c r="K141" i="21"/>
  <c r="K144" i="21"/>
  <c r="K143" i="21"/>
  <c r="AB25" i="21"/>
  <c r="AB44" i="21"/>
  <c r="W13" i="21"/>
  <c r="AC45" i="21"/>
  <c r="F10" i="21"/>
  <c r="S10" i="21" s="1"/>
  <c r="K145" i="21"/>
  <c r="W17" i="21"/>
  <c r="W25" i="21"/>
  <c r="AA29" i="21"/>
  <c r="W31" i="21"/>
  <c r="S27" i="21"/>
  <c r="S17" i="21"/>
  <c r="AB29" i="21"/>
  <c r="S28" i="21"/>
  <c r="AC34" i="21"/>
  <c r="W12" i="21"/>
  <c r="C15" i="40"/>
  <c r="C17" i="40"/>
  <c r="C23" i="40"/>
  <c r="C21" i="40"/>
  <c r="U30" i="40"/>
  <c r="B54" i="43"/>
  <c r="B65" i="43"/>
  <c r="B49" i="43"/>
  <c r="B52" i="43"/>
  <c r="B56" i="43"/>
  <c r="B60" i="43"/>
  <c r="B63" i="43"/>
  <c r="B67" i="43"/>
  <c r="D23" i="15"/>
  <c r="D22" i="15"/>
  <c r="E4" i="4"/>
  <c r="B5" i="62" s="1"/>
  <c r="B73" i="72" s="1"/>
  <c r="C4" i="4"/>
  <c r="AZ13" i="3"/>
  <c r="M6" i="1"/>
  <c r="O6" i="1" s="1"/>
  <c r="P6" i="1" s="1"/>
  <c r="T13" i="1"/>
  <c r="E7" i="70"/>
  <c r="AA39" i="40"/>
  <c r="S39" i="40"/>
  <c r="S12" i="33"/>
  <c r="AA12" i="33"/>
  <c r="J32" i="39"/>
  <c r="AC32" i="39" s="1"/>
  <c r="I107" i="39"/>
  <c r="J107" i="39" s="1"/>
  <c r="K107" i="39"/>
  <c r="L107" i="39" s="1"/>
  <c r="M107" i="39" s="1"/>
  <c r="H32" i="39"/>
  <c r="U32" i="39" s="1"/>
  <c r="AA32" i="39"/>
  <c r="AB21" i="39"/>
  <c r="AA21" i="39"/>
  <c r="S21" i="39"/>
  <c r="AC21" i="39"/>
  <c r="S17" i="37"/>
  <c r="J19" i="37"/>
  <c r="W19" i="37" s="1"/>
  <c r="G75" i="37"/>
  <c r="S19" i="37"/>
  <c r="AA19" i="37"/>
  <c r="AA23" i="37"/>
  <c r="J23" i="37"/>
  <c r="W23" i="37" s="1"/>
  <c r="J10" i="37"/>
  <c r="AC10" i="37" s="1"/>
  <c r="I60" i="37"/>
  <c r="G63" i="37"/>
  <c r="H63" i="37" s="1"/>
  <c r="H11" i="37"/>
  <c r="AB10" i="37"/>
  <c r="U10" i="37"/>
  <c r="G70" i="34"/>
  <c r="H11" i="34"/>
  <c r="AB10" i="34"/>
  <c r="J10" i="34"/>
  <c r="W10" i="34" s="1"/>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c r="J91" i="33" s="1"/>
  <c r="K91" i="33"/>
  <c r="L91" i="33" s="1"/>
  <c r="M91" i="33" s="1"/>
  <c r="J27" i="33"/>
  <c r="U25" i="33"/>
  <c r="AB25" i="33"/>
  <c r="S25" i="33"/>
  <c r="AA25" i="33"/>
  <c r="G87" i="33"/>
  <c r="H87" i="33" s="1"/>
  <c r="I87" i="33"/>
  <c r="J87" i="33" s="1"/>
  <c r="K87" i="33" s="1"/>
  <c r="L87" i="33" s="1"/>
  <c r="M87" i="33" s="1"/>
  <c r="J25" i="33"/>
  <c r="W25" i="33" s="1"/>
  <c r="AB23" i="33"/>
  <c r="U23" i="33"/>
  <c r="F23" i="33"/>
  <c r="AA23" i="33" s="1"/>
  <c r="AC23" i="33"/>
  <c r="W23" i="33"/>
  <c r="AA19" i="33"/>
  <c r="H19" i="33"/>
  <c r="AB19" i="33" s="1"/>
  <c r="G81" i="33"/>
  <c r="G79" i="33"/>
  <c r="H17" i="33"/>
  <c r="U17" i="33" s="1"/>
  <c r="F17" i="33"/>
  <c r="W17" i="33"/>
  <c r="AC17" i="33"/>
  <c r="U10" i="33"/>
  <c r="AB10" i="33"/>
  <c r="AC10" i="33"/>
  <c r="AA23" i="21"/>
  <c r="AB15" i="21"/>
  <c r="J23" i="21"/>
  <c r="W23" i="21" s="1"/>
  <c r="H23" i="21"/>
  <c r="U23" i="21" s="1"/>
  <c r="D6" i="52"/>
  <c r="L27" i="6"/>
  <c r="AP7" i="1"/>
  <c r="M7" i="1"/>
  <c r="O7" i="1" s="1"/>
  <c r="P7" i="1" s="1"/>
  <c r="AB45" i="21"/>
  <c r="AC33" i="21"/>
  <c r="AB32" i="21"/>
  <c r="AB32" i="39"/>
  <c r="W32" i="39"/>
  <c r="AC19" i="37"/>
  <c r="AB11" i="37"/>
  <c r="U11" i="37"/>
  <c r="I63" i="37"/>
  <c r="J63" i="37" s="1"/>
  <c r="K63" i="37" s="1"/>
  <c r="L63" i="37" s="1"/>
  <c r="M63" i="37" s="1"/>
  <c r="J11" i="37"/>
  <c r="U11" i="34"/>
  <c r="AB11" i="34"/>
  <c r="AC10" i="34"/>
  <c r="H70" i="34"/>
  <c r="I70" i="34" s="1"/>
  <c r="J70" i="34" s="1"/>
  <c r="K70" i="34" s="1"/>
  <c r="L70" i="34" s="1"/>
  <c r="M70" i="34" s="1"/>
  <c r="J11" i="34"/>
  <c r="W11" i="34" s="1"/>
  <c r="W36" i="33"/>
  <c r="U36" i="33"/>
  <c r="AB36" i="33"/>
  <c r="W27" i="33"/>
  <c r="AC27" i="33"/>
  <c r="AC25" i="33"/>
  <c r="S23" i="33"/>
  <c r="U19" i="33"/>
  <c r="AA17" i="33"/>
  <c r="S17" i="33"/>
  <c r="AB17" i="33"/>
  <c r="AC11" i="37"/>
  <c r="W11" i="37"/>
  <c r="F34" i="11"/>
  <c r="F11" i="12"/>
  <c r="C23" i="12" s="1"/>
  <c r="F34" i="68"/>
  <c r="R8" i="1"/>
  <c r="AE7" i="1"/>
  <c r="AE8" i="1"/>
  <c r="AG6" i="1"/>
  <c r="H109" i="9"/>
  <c r="D124" i="9" s="1"/>
  <c r="H14" i="74" s="1"/>
  <c r="B7" i="74" s="1"/>
  <c r="H110" i="9"/>
  <c r="D18" i="53" s="1"/>
  <c r="B35" i="72" s="1"/>
  <c r="D16" i="53"/>
  <c r="D10" i="52"/>
  <c r="D125" i="9"/>
  <c r="D11" i="52" s="1"/>
  <c r="AD3" i="71"/>
  <c r="C65" i="40"/>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G17" i="43" s="1"/>
  <c r="C16" i="43" s="1"/>
  <c r="D5" i="43" s="1"/>
  <c r="L17" i="43"/>
  <c r="O17" i="43"/>
  <c r="M17" i="43"/>
  <c r="E17" i="43"/>
  <c r="D68" i="39"/>
  <c r="E68" i="39" s="1"/>
  <c r="F68" i="39" s="1"/>
  <c r="G68" i="39" s="1"/>
  <c r="H68" i="39" s="1"/>
  <c r="H70" i="39" s="1"/>
  <c r="C24" i="12"/>
  <c r="C14" i="71"/>
  <c r="C13" i="71" s="1"/>
  <c r="D13" i="71" s="1"/>
  <c r="D14" i="71"/>
  <c r="D15" i="71"/>
  <c r="D16" i="71"/>
  <c r="U16" i="71" s="1"/>
  <c r="S16" i="71"/>
  <c r="T16" i="71"/>
  <c r="AB14" i="71"/>
  <c r="X12" i="71"/>
  <c r="X11" i="71"/>
  <c r="AA12" i="71"/>
  <c r="AA11" i="71"/>
  <c r="X15" i="71"/>
  <c r="Y11" i="71"/>
  <c r="Z11" i="71" s="1"/>
  <c r="AB12" i="71"/>
  <c r="AB11" i="71"/>
  <c r="S12" i="71"/>
  <c r="F13" i="71"/>
  <c r="F12" i="71"/>
  <c r="F11" i="71" s="1"/>
  <c r="F10" i="71" s="1"/>
  <c r="F9" i="71" s="1"/>
  <c r="Y12" i="71"/>
  <c r="Z12" i="71" s="1"/>
  <c r="X3" i="71"/>
  <c r="G20" i="43"/>
  <c r="E41" i="43" s="1"/>
  <c r="C41" i="43" s="1"/>
  <c r="D65" i="40"/>
  <c r="D70" i="39"/>
  <c r="C12" i="71"/>
  <c r="C11" i="71" s="1"/>
  <c r="E65" i="40"/>
  <c r="F63" i="40"/>
  <c r="F65" i="40" s="1"/>
  <c r="C20" i="43"/>
  <c r="G63" i="40"/>
  <c r="G65" i="40" s="1"/>
  <c r="G70" i="39"/>
  <c r="B9" i="76"/>
  <c r="D2" i="36"/>
  <c r="F13" i="15"/>
  <c r="D4" i="73"/>
  <c r="D2" i="21"/>
  <c r="B10" i="76"/>
  <c r="B8" i="76"/>
  <c r="F42" i="15"/>
  <c r="D6" i="73"/>
  <c r="L47" i="67"/>
  <c r="F7" i="67"/>
  <c r="D2" i="33"/>
  <c r="D5" i="73"/>
  <c r="F6" i="73"/>
  <c r="M24" i="67"/>
  <c r="AO10" i="1"/>
  <c r="F7" i="73"/>
  <c r="M28" i="67"/>
  <c r="F38" i="67"/>
  <c r="AO7" i="1"/>
  <c r="E10" i="76"/>
  <c r="AO11" i="1"/>
  <c r="F8" i="67"/>
  <c r="D2" i="34"/>
  <c r="E11" i="76"/>
  <c r="M23" i="15"/>
  <c r="E2" i="69"/>
  <c r="D7" i="73"/>
  <c r="C76" i="15"/>
  <c r="F20" i="31"/>
  <c r="E12" i="76"/>
  <c r="E7" i="76"/>
  <c r="B7" i="76"/>
  <c r="B12" i="76"/>
  <c r="B13" i="76"/>
  <c r="D2" i="37"/>
  <c r="M27" i="67"/>
  <c r="AO12" i="1"/>
  <c r="E13" i="76"/>
  <c r="F37" i="15"/>
  <c r="M28" i="15"/>
  <c r="F3" i="73"/>
  <c r="J15" i="15"/>
  <c r="AO8" i="1"/>
  <c r="F5" i="73"/>
  <c r="E9" i="76"/>
  <c r="M6" i="67"/>
  <c r="M26" i="67"/>
  <c r="E2" i="68"/>
  <c r="F13" i="67"/>
  <c r="F9" i="15"/>
  <c r="AO9" i="1"/>
  <c r="B11" i="76"/>
  <c r="F43" i="67"/>
  <c r="E8" i="76"/>
  <c r="F4" i="73"/>
  <c r="F37" i="67"/>
  <c r="D2" i="35"/>
  <c r="AO13" i="1"/>
  <c r="D3" i="73"/>
  <c r="C13" i="12" l="1"/>
  <c r="S39" i="39"/>
  <c r="AA39" i="39"/>
  <c r="U13" i="35"/>
  <c r="AB13" i="35"/>
  <c r="AA46" i="33"/>
  <c r="S46" i="33"/>
  <c r="AA17" i="40"/>
  <c r="S17" i="40"/>
  <c r="AA32" i="33"/>
  <c r="S32" i="33"/>
  <c r="S25" i="34"/>
  <c r="AA25" i="34"/>
  <c r="W10" i="37"/>
  <c r="H63" i="40"/>
  <c r="D12" i="71"/>
  <c r="U12" i="71" s="1"/>
  <c r="T12" i="71"/>
  <c r="I68" i="39"/>
  <c r="F70" i="39"/>
  <c r="E70" i="39"/>
  <c r="AC11" i="34"/>
  <c r="AC23" i="37"/>
  <c r="AB9" i="35"/>
  <c r="AA13" i="21"/>
  <c r="S13" i="21"/>
  <c r="W27" i="40"/>
  <c r="AC27" i="40"/>
  <c r="U17" i="37"/>
  <c r="AB17" i="37"/>
  <c r="AB26" i="37"/>
  <c r="U26" i="37"/>
  <c r="AR8" i="1"/>
  <c r="T8" i="1"/>
  <c r="C5" i="43"/>
  <c r="S20" i="36"/>
  <c r="AA20" i="36"/>
  <c r="W30" i="40"/>
  <c r="AC30" i="40"/>
  <c r="AA25" i="39"/>
  <c r="S25" i="39"/>
  <c r="U31" i="40"/>
  <c r="AB31" i="40"/>
  <c r="S26" i="36"/>
  <c r="AA26" i="36"/>
  <c r="AZ499" i="3"/>
  <c r="AC37" i="40"/>
  <c r="W37" i="40"/>
  <c r="S13" i="37"/>
  <c r="AA13" i="37"/>
  <c r="S25" i="36"/>
  <c r="AA25" i="36"/>
  <c r="AC19" i="39"/>
  <c r="W19" i="39"/>
  <c r="S16" i="36"/>
  <c r="AA16" i="36"/>
  <c r="BL586" i="3"/>
  <c r="BM5" i="3"/>
  <c r="F29" i="6" s="1"/>
  <c r="BA586" i="3"/>
  <c r="AZ586" i="3" s="1"/>
  <c r="C10" i="71"/>
  <c r="D11" i="71"/>
  <c r="D17" i="53"/>
  <c r="B36" i="72" s="1"/>
  <c r="B34" i="72"/>
  <c r="U9" i="21"/>
  <c r="AC17" i="37"/>
  <c r="W17" i="37"/>
  <c r="U15" i="39"/>
  <c r="AB15" i="39"/>
  <c r="W12" i="37"/>
  <c r="AC12" i="37"/>
  <c r="W9" i="37"/>
  <c r="AC9" i="37"/>
  <c r="AA25" i="21"/>
  <c r="S25" i="21"/>
  <c r="BL509" i="3"/>
  <c r="BQ5" i="3"/>
  <c r="F28" i="6" s="1"/>
  <c r="F30" i="6" s="1"/>
  <c r="AC14" i="37"/>
  <c r="W14" i="37"/>
  <c r="W13" i="36"/>
  <c r="AC13" i="36"/>
  <c r="AC11" i="36"/>
  <c r="W11" i="36"/>
  <c r="S29" i="33"/>
  <c r="AA29" i="33"/>
  <c r="U10" i="36"/>
  <c r="AB10" i="36"/>
  <c r="S30" i="21"/>
  <c r="AA30" i="21"/>
  <c r="AB28" i="21"/>
  <c r="U28" i="21"/>
  <c r="AC24" i="35"/>
  <c r="W24" i="35"/>
  <c r="H35" i="35"/>
  <c r="F35" i="35"/>
  <c r="J35" i="35"/>
  <c r="BS5" i="3"/>
  <c r="S12" i="39"/>
  <c r="U41" i="34"/>
  <c r="AB41" i="34"/>
  <c r="AZ507" i="3"/>
  <c r="AA43" i="39"/>
  <c r="S43" i="39"/>
  <c r="AA8" i="21"/>
  <c r="S8" i="21"/>
  <c r="AB34" i="34"/>
  <c r="U34" i="34"/>
  <c r="U12" i="35"/>
  <c r="AB12" i="35"/>
  <c r="AA40" i="39"/>
  <c r="S40" i="39"/>
  <c r="F13" i="40"/>
  <c r="J13" i="40"/>
  <c r="S34" i="37"/>
  <c r="AA34" i="37"/>
  <c r="BL547" i="3"/>
  <c r="AZ547" i="3" s="1"/>
  <c r="BL546" i="3"/>
  <c r="AZ546" i="3" s="1"/>
  <c r="BA542" i="3"/>
  <c r="BL541" i="3"/>
  <c r="BA541" i="3"/>
  <c r="BA532" i="3"/>
  <c r="BL531" i="3"/>
  <c r="BA531" i="3"/>
  <c r="AZ531" i="3" s="1"/>
  <c r="BA526" i="3"/>
  <c r="BL525" i="3"/>
  <c r="AZ525" i="3" s="1"/>
  <c r="BL524" i="3"/>
  <c r="AZ524" i="3" s="1"/>
  <c r="BL522" i="3"/>
  <c r="AZ522" i="3" s="1"/>
  <c r="BL521" i="3"/>
  <c r="BA521" i="3"/>
  <c r="AZ521" i="3" s="1"/>
  <c r="BA520" i="3"/>
  <c r="AZ520" i="3" s="1"/>
  <c r="BA519" i="3"/>
  <c r="AZ519" i="3" s="1"/>
  <c r="BA518" i="3"/>
  <c r="AZ518" i="3" s="1"/>
  <c r="BL517" i="3"/>
  <c r="BL515" i="3"/>
  <c r="AZ515" i="3" s="1"/>
  <c r="BL514" i="3"/>
  <c r="AZ514" i="3" s="1"/>
  <c r="BA512" i="3"/>
  <c r="AZ512" i="3" s="1"/>
  <c r="BA511" i="3"/>
  <c r="AZ511" i="3" s="1"/>
  <c r="BA510" i="3"/>
  <c r="AZ510" i="3" s="1"/>
  <c r="BL508" i="3"/>
  <c r="BA506" i="3"/>
  <c r="AZ506" i="3" s="1"/>
  <c r="BA505" i="3"/>
  <c r="AZ505" i="3" s="1"/>
  <c r="BL504" i="3"/>
  <c r="BA504" i="3"/>
  <c r="AZ504" i="3" s="1"/>
  <c r="BL503" i="3"/>
  <c r="AZ503" i="3" s="1"/>
  <c r="BA501" i="3"/>
  <c r="AZ501" i="3" s="1"/>
  <c r="BA498" i="3"/>
  <c r="BC5" i="3"/>
  <c r="AC5" i="3"/>
  <c r="BL493" i="3"/>
  <c r="BH5" i="3"/>
  <c r="BA493" i="3"/>
  <c r="BD5" i="3"/>
  <c r="E10" i="6" s="1"/>
  <c r="H48" i="43"/>
  <c r="H54" i="43"/>
  <c r="C36" i="11"/>
  <c r="AB35" i="37"/>
  <c r="W39" i="39"/>
  <c r="AZ372" i="3"/>
  <c r="AZ329" i="3"/>
  <c r="AZ378" i="3"/>
  <c r="AZ325" i="3"/>
  <c r="S10" i="35"/>
  <c r="AA10" i="35"/>
  <c r="AZ497" i="3"/>
  <c r="AZ513" i="3"/>
  <c r="AZ577" i="3"/>
  <c r="AZ502" i="3"/>
  <c r="AZ544" i="3"/>
  <c r="U13" i="33"/>
  <c r="AA44" i="33"/>
  <c r="S44" i="33"/>
  <c r="AC30" i="34"/>
  <c r="W30" i="34"/>
  <c r="AC37" i="34"/>
  <c r="W37" i="34"/>
  <c r="AA28" i="34"/>
  <c r="S28" i="34"/>
  <c r="U8" i="35"/>
  <c r="W31" i="40"/>
  <c r="U36" i="39"/>
  <c r="AB36" i="39"/>
  <c r="J27" i="21"/>
  <c r="H27" i="21"/>
  <c r="H13" i="36"/>
  <c r="F13" i="36"/>
  <c r="J37" i="39"/>
  <c r="F37" i="39"/>
  <c r="H37" i="39"/>
  <c r="AA34" i="40"/>
  <c r="S34" i="40"/>
  <c r="C79" i="35"/>
  <c r="J26" i="35"/>
  <c r="BL580" i="3"/>
  <c r="BA580" i="3"/>
  <c r="BL573" i="3"/>
  <c r="BA573" i="3"/>
  <c r="AZ573" i="3" s="1"/>
  <c r="AA8" i="36"/>
  <c r="S8" i="36"/>
  <c r="AA10" i="36"/>
  <c r="S10" i="36"/>
  <c r="F26" i="37"/>
  <c r="J26" i="37"/>
  <c r="H40" i="40"/>
  <c r="J40" i="40"/>
  <c r="F40" i="40"/>
  <c r="BA550" i="3"/>
  <c r="AZ550" i="3" s="1"/>
  <c r="H49" i="43"/>
  <c r="S9" i="36"/>
  <c r="G16" i="1"/>
  <c r="J10" i="40" s="1"/>
  <c r="H55" i="43"/>
  <c r="H53" i="43"/>
  <c r="U25" i="39"/>
  <c r="H50" i="43"/>
  <c r="E5" i="6"/>
  <c r="D9" i="11" s="1"/>
  <c r="C9" i="11" s="1"/>
  <c r="AZ361" i="3"/>
  <c r="AZ321" i="3"/>
  <c r="AZ535" i="3"/>
  <c r="AZ549" i="3"/>
  <c r="AZ563" i="3"/>
  <c r="AZ571" i="3"/>
  <c r="AZ581" i="3"/>
  <c r="AZ508" i="3"/>
  <c r="AZ516" i="3"/>
  <c r="AZ570" i="3"/>
  <c r="AZ576" i="3"/>
  <c r="S14" i="40"/>
  <c r="AA14" i="40"/>
  <c r="AA14" i="37"/>
  <c r="S14" i="37"/>
  <c r="AC11" i="35"/>
  <c r="W11" i="35"/>
  <c r="W45" i="33"/>
  <c r="AC45" i="33"/>
  <c r="S41" i="33"/>
  <c r="AA41" i="33"/>
  <c r="AC12" i="34"/>
  <c r="AB40" i="39"/>
  <c r="U40" i="39"/>
  <c r="AC44" i="39"/>
  <c r="W44" i="39"/>
  <c r="S36" i="21"/>
  <c r="AA36" i="21"/>
  <c r="E66" i="21"/>
  <c r="F66" i="21" s="1"/>
  <c r="G66" i="21" s="1"/>
  <c r="H66" i="21" s="1"/>
  <c r="I66" i="21" s="1"/>
  <c r="J10" i="21"/>
  <c r="H10" i="21"/>
  <c r="AA9" i="33"/>
  <c r="S9" i="33"/>
  <c r="AA38" i="33"/>
  <c r="S38" i="33"/>
  <c r="J9" i="35"/>
  <c r="F9" i="35"/>
  <c r="H31" i="39"/>
  <c r="F31" i="39"/>
  <c r="BA517" i="3"/>
  <c r="AZ517" i="3" s="1"/>
  <c r="BL498" i="3"/>
  <c r="BA495" i="3"/>
  <c r="AZ495" i="3" s="1"/>
  <c r="W36" i="34"/>
  <c r="AC36" i="34"/>
  <c r="BA587" i="3"/>
  <c r="BL585" i="3"/>
  <c r="AZ585" i="3" s="1"/>
  <c r="AB8" i="33"/>
  <c r="U8" i="33"/>
  <c r="U12" i="33"/>
  <c r="AB12" i="33"/>
  <c r="AC23" i="35"/>
  <c r="W23" i="35"/>
  <c r="AC16" i="36"/>
  <c r="W16" i="36"/>
  <c r="AC40" i="39"/>
  <c r="W40" i="39"/>
  <c r="BA509" i="3"/>
  <c r="AZ509" i="3" s="1"/>
  <c r="BL506" i="3"/>
  <c r="BP5" i="3"/>
  <c r="G29" i="6" s="1"/>
  <c r="E29" i="6" s="1"/>
  <c r="K15" i="1" s="1"/>
  <c r="BI5" i="3"/>
  <c r="AZ334" i="3"/>
  <c r="AZ336" i="3"/>
  <c r="AZ304" i="3"/>
  <c r="AZ327" i="3"/>
  <c r="W9" i="39"/>
  <c r="AC15" i="34"/>
  <c r="AA12" i="35"/>
  <c r="S13" i="35"/>
  <c r="AA13" i="35"/>
  <c r="F33" i="36"/>
  <c r="AB30" i="35"/>
  <c r="U30" i="35"/>
  <c r="AB39" i="37"/>
  <c r="U39" i="37"/>
  <c r="W45" i="39"/>
  <c r="AC45" i="39"/>
  <c r="G587" i="3"/>
  <c r="BL587" i="3"/>
  <c r="H36" i="35"/>
  <c r="J36" i="35"/>
  <c r="U8" i="36"/>
  <c r="AB8" i="36"/>
  <c r="U27" i="37"/>
  <c r="AB27" i="37"/>
  <c r="H25" i="37"/>
  <c r="J25" i="37"/>
  <c r="H44" i="39"/>
  <c r="F44" i="39"/>
  <c r="J39" i="40"/>
  <c r="H39" i="40"/>
  <c r="BL566" i="3"/>
  <c r="AZ566" i="3" s="1"/>
  <c r="BL559" i="3"/>
  <c r="AZ559" i="3" s="1"/>
  <c r="BA558" i="3"/>
  <c r="AZ558" i="3" s="1"/>
  <c r="BL557" i="3"/>
  <c r="AZ557" i="3" s="1"/>
  <c r="BA555" i="3"/>
  <c r="AZ555" i="3" s="1"/>
  <c r="BA554" i="3"/>
  <c r="AZ554" i="3" s="1"/>
  <c r="BL553" i="3"/>
  <c r="AZ553" i="3" s="1"/>
  <c r="G552" i="3"/>
  <c r="BA548" i="3"/>
  <c r="AZ548" i="3" s="1"/>
  <c r="BA545" i="3"/>
  <c r="AZ545" i="3" s="1"/>
  <c r="BL544" i="3"/>
  <c r="BL543" i="3"/>
  <c r="AZ543" i="3" s="1"/>
  <c r="BL542" i="3"/>
  <c r="BA538" i="3"/>
  <c r="AZ538" i="3" s="1"/>
  <c r="G538" i="3"/>
  <c r="BA537" i="3"/>
  <c r="AZ537" i="3" s="1"/>
  <c r="BL535" i="3"/>
  <c r="BA534" i="3"/>
  <c r="AZ534" i="3" s="1"/>
  <c r="BL532" i="3"/>
  <c r="BA530" i="3"/>
  <c r="AZ530" i="3" s="1"/>
  <c r="BA529" i="3"/>
  <c r="AZ529" i="3" s="1"/>
  <c r="BL527" i="3"/>
  <c r="AZ527" i="3" s="1"/>
  <c r="BL526" i="3"/>
  <c r="K5" i="4"/>
  <c r="B47" i="48" s="1"/>
  <c r="U34" i="40"/>
  <c r="E125" i="21"/>
  <c r="F125" i="21" s="1"/>
  <c r="G125" i="21" s="1"/>
  <c r="J43" i="21"/>
  <c r="H34" i="35"/>
  <c r="J34" i="35"/>
  <c r="AB30" i="37"/>
  <c r="U30" i="37"/>
  <c r="G566" i="3"/>
  <c r="E117" i="21"/>
  <c r="F117" i="21" s="1"/>
  <c r="G117" i="21" s="1"/>
  <c r="H39" i="21"/>
  <c r="G582" i="3"/>
  <c r="AZ404" i="3"/>
  <c r="AZ419" i="3"/>
  <c r="AZ432" i="3"/>
  <c r="AZ449" i="3"/>
  <c r="AZ451" i="3"/>
  <c r="AZ464" i="3"/>
  <c r="AZ466" i="3"/>
  <c r="AZ472" i="3"/>
  <c r="AZ474" i="3"/>
  <c r="AZ486" i="3"/>
  <c r="AZ405" i="3"/>
  <c r="AZ411" i="3"/>
  <c r="AZ414" i="3"/>
  <c r="AZ416" i="3"/>
  <c r="AZ418" i="3"/>
  <c r="AZ430" i="3"/>
  <c r="AZ435" i="3"/>
  <c r="AZ436" i="3"/>
  <c r="AZ445" i="3"/>
  <c r="AZ447" i="3"/>
  <c r="AZ450" i="3"/>
  <c r="AZ458" i="3"/>
  <c r="AZ460" i="3"/>
  <c r="AZ462" i="3"/>
  <c r="AZ467" i="3"/>
  <c r="AZ469" i="3"/>
  <c r="AZ399" i="3"/>
  <c r="AZ409" i="3"/>
  <c r="AZ415" i="3"/>
  <c r="AZ425" i="3"/>
  <c r="AZ427" i="3"/>
  <c r="AZ429" i="3"/>
  <c r="AZ443" i="3"/>
  <c r="AZ446" i="3"/>
  <c r="AZ461" i="3"/>
  <c r="AZ316" i="3"/>
  <c r="G470" i="3"/>
  <c r="BL475" i="3"/>
  <c r="AZ475" i="3" s="1"/>
  <c r="BL479" i="3"/>
  <c r="AZ479" i="3" s="1"/>
  <c r="BL483" i="3"/>
  <c r="BL487" i="3"/>
  <c r="AZ487" i="3" s="1"/>
  <c r="BA315" i="3"/>
  <c r="AZ315" i="3" s="1"/>
  <c r="BA350" i="3"/>
  <c r="AZ350" i="3" s="1"/>
  <c r="BL368" i="3"/>
  <c r="AZ368" i="3" s="1"/>
  <c r="G369" i="3"/>
  <c r="G380" i="3"/>
  <c r="G387" i="3"/>
  <c r="BA388" i="3"/>
  <c r="AZ388" i="3" s="1"/>
  <c r="AZ397" i="3"/>
  <c r="G212" i="3"/>
  <c r="G217" i="3"/>
  <c r="G220" i="3"/>
  <c r="BA222" i="3"/>
  <c r="AZ222" i="3" s="1"/>
  <c r="BA224" i="3"/>
  <c r="AZ224" i="3" s="1"/>
  <c r="G228" i="3"/>
  <c r="G231" i="3"/>
  <c r="BA237" i="3"/>
  <c r="AZ237" i="3" s="1"/>
  <c r="AZ239" i="3"/>
  <c r="AZ247" i="3"/>
  <c r="AZ258" i="3"/>
  <c r="BL261" i="3"/>
  <c r="AZ261" i="3" s="1"/>
  <c r="BA267" i="3"/>
  <c r="AZ267" i="3" s="1"/>
  <c r="BA269" i="3"/>
  <c r="AZ269" i="3" s="1"/>
  <c r="BA272" i="3"/>
  <c r="AZ272" i="3" s="1"/>
  <c r="AZ274" i="3"/>
  <c r="AZ122" i="3"/>
  <c r="AZ153" i="3"/>
  <c r="AZ177" i="3"/>
  <c r="AZ483" i="3"/>
  <c r="BL472" i="3"/>
  <c r="G477" i="3"/>
  <c r="G481" i="3"/>
  <c r="G485" i="3"/>
  <c r="G489" i="3"/>
  <c r="BL316" i="3"/>
  <c r="BL346" i="3"/>
  <c r="AZ346" i="3" s="1"/>
  <c r="BL251" i="3"/>
  <c r="AZ251" i="3" s="1"/>
  <c r="BL256" i="3"/>
  <c r="AZ256" i="3" s="1"/>
  <c r="G268" i="3"/>
  <c r="G270" i="3"/>
  <c r="AZ282" i="3"/>
  <c r="AZ302" i="3"/>
  <c r="AZ125" i="3"/>
  <c r="G17" i="3"/>
  <c r="G466" i="3"/>
  <c r="BA476" i="3"/>
  <c r="AZ476" i="3" s="1"/>
  <c r="BA480" i="3"/>
  <c r="AZ480" i="3" s="1"/>
  <c r="BA484" i="3"/>
  <c r="AZ484" i="3" s="1"/>
  <c r="BA488" i="3"/>
  <c r="AZ488" i="3" s="1"/>
  <c r="BL332" i="3"/>
  <c r="AZ332" i="3" s="1"/>
  <c r="BA366" i="3"/>
  <c r="AZ366" i="3" s="1"/>
  <c r="BA395" i="3"/>
  <c r="AZ395" i="3" s="1"/>
  <c r="AZ210" i="3"/>
  <c r="AZ221" i="3"/>
  <c r="AZ236" i="3"/>
  <c r="AZ244" i="3"/>
  <c r="AZ246" i="3"/>
  <c r="AZ292" i="3"/>
  <c r="AZ185" i="3"/>
  <c r="AZ205" i="3"/>
  <c r="AZ36" i="3"/>
  <c r="G48" i="3"/>
  <c r="BA50" i="3"/>
  <c r="AZ50" i="3" s="1"/>
  <c r="AZ54" i="3"/>
  <c r="AZ70" i="3"/>
  <c r="AZ100" i="3"/>
  <c r="BA276" i="3"/>
  <c r="AZ276" i="3" s="1"/>
  <c r="BA281" i="3"/>
  <c r="AZ281" i="3" s="1"/>
  <c r="BA284" i="3"/>
  <c r="AZ284" i="3" s="1"/>
  <c r="BL288" i="3"/>
  <c r="AZ288" i="3" s="1"/>
  <c r="G290" i="3"/>
  <c r="BA293" i="3"/>
  <c r="AZ293" i="3" s="1"/>
  <c r="G296" i="3"/>
  <c r="BA298" i="3"/>
  <c r="AZ298" i="3" s="1"/>
  <c r="BA300" i="3"/>
  <c r="AZ300" i="3" s="1"/>
  <c r="G114" i="3"/>
  <c r="BA118" i="3"/>
  <c r="AZ118" i="3" s="1"/>
  <c r="BA120" i="3"/>
  <c r="AZ120" i="3" s="1"/>
  <c r="G122" i="3"/>
  <c r="G124" i="3"/>
  <c r="BA130" i="3"/>
  <c r="AZ130" i="3" s="1"/>
  <c r="BA132" i="3"/>
  <c r="AZ132" i="3" s="1"/>
  <c r="BA138" i="3"/>
  <c r="AZ138" i="3" s="1"/>
  <c r="BA140" i="3"/>
  <c r="AZ140" i="3" s="1"/>
  <c r="G142" i="3"/>
  <c r="G147" i="3"/>
  <c r="BL153" i="3"/>
  <c r="G156" i="3"/>
  <c r="BL159" i="3"/>
  <c r="AZ159" i="3" s="1"/>
  <c r="BL161" i="3"/>
  <c r="BA166" i="3"/>
  <c r="AZ166" i="3" s="1"/>
  <c r="BA169" i="3"/>
  <c r="AZ169" i="3" s="1"/>
  <c r="BA173" i="3"/>
  <c r="AZ173" i="3" s="1"/>
  <c r="BA178" i="3"/>
  <c r="AZ178" i="3" s="1"/>
  <c r="BA180" i="3"/>
  <c r="AZ180" i="3" s="1"/>
  <c r="BA198" i="3"/>
  <c r="AZ198" i="3" s="1"/>
  <c r="BA206" i="3"/>
  <c r="AZ206" i="3" s="1"/>
  <c r="BA22" i="3"/>
  <c r="AZ22" i="3" s="1"/>
  <c r="BA25" i="3"/>
  <c r="AZ25" i="3" s="1"/>
  <c r="AZ27" i="3"/>
  <c r="AZ44" i="3"/>
  <c r="AZ98" i="3"/>
  <c r="BL275" i="3"/>
  <c r="AZ275" i="3" s="1"/>
  <c r="G280" i="3"/>
  <c r="BA285" i="3"/>
  <c r="AZ285" i="3" s="1"/>
  <c r="BL289" i="3"/>
  <c r="AZ289" i="3" s="1"/>
  <c r="BL291" i="3"/>
  <c r="AZ291" i="3" s="1"/>
  <c r="G293" i="3"/>
  <c r="BL295" i="3"/>
  <c r="AZ295" i="3" s="1"/>
  <c r="G298" i="3"/>
  <c r="BA301" i="3"/>
  <c r="AZ301" i="3" s="1"/>
  <c r="BL113" i="3"/>
  <c r="AZ113" i="3" s="1"/>
  <c r="BL119" i="3"/>
  <c r="AZ119" i="3" s="1"/>
  <c r="BL121" i="3"/>
  <c r="AZ121" i="3" s="1"/>
  <c r="BL123" i="3"/>
  <c r="AZ123" i="3" s="1"/>
  <c r="BL131" i="3"/>
  <c r="AZ131" i="3" s="1"/>
  <c r="BL139" i="3"/>
  <c r="AZ139" i="3" s="1"/>
  <c r="BL141" i="3"/>
  <c r="AZ141" i="3" s="1"/>
  <c r="BL146" i="3"/>
  <c r="AZ146" i="3" s="1"/>
  <c r="BA149" i="3"/>
  <c r="AZ149" i="3" s="1"/>
  <c r="BL155" i="3"/>
  <c r="AZ155" i="3" s="1"/>
  <c r="G159" i="3"/>
  <c r="BA161" i="3"/>
  <c r="BL165" i="3"/>
  <c r="AZ165" i="3" s="1"/>
  <c r="G168" i="3"/>
  <c r="BA172" i="3"/>
  <c r="AZ172" i="3" s="1"/>
  <c r="BL179" i="3"/>
  <c r="AZ179" i="3" s="1"/>
  <c r="BL182" i="3"/>
  <c r="AZ182" i="3" s="1"/>
  <c r="BA186" i="3"/>
  <c r="AZ186" i="3" s="1"/>
  <c r="BL191" i="3"/>
  <c r="AZ191" i="3" s="1"/>
  <c r="BA193" i="3"/>
  <c r="AZ193" i="3" s="1"/>
  <c r="G200" i="3"/>
  <c r="G31" i="3"/>
  <c r="G33" i="3"/>
  <c r="BL34" i="3"/>
  <c r="AZ34" i="3" s="1"/>
  <c r="BA47" i="3"/>
  <c r="AZ47" i="3" s="1"/>
  <c r="G51" i="3"/>
  <c r="BL52" i="3"/>
  <c r="AZ52" i="3" s="1"/>
  <c r="AZ60" i="3"/>
  <c r="AZ62" i="3"/>
  <c r="AZ91" i="3"/>
  <c r="AZ95" i="3"/>
  <c r="BL73" i="3"/>
  <c r="G82" i="3"/>
  <c r="G86" i="3"/>
  <c r="BA90" i="3"/>
  <c r="AZ90" i="3" s="1"/>
  <c r="BL101" i="3"/>
  <c r="AZ101" i="3" s="1"/>
  <c r="G108" i="3"/>
  <c r="D52" i="71"/>
  <c r="T52" i="71"/>
  <c r="T20" i="71"/>
  <c r="C19" i="71"/>
  <c r="D20" i="71"/>
  <c r="U20" i="71" s="1"/>
  <c r="AZ73" i="3"/>
  <c r="K108" i="43"/>
  <c r="K100" i="43"/>
  <c r="G100" i="43"/>
  <c r="C31" i="66"/>
  <c r="E26" i="66" s="1"/>
  <c r="C32" i="66"/>
  <c r="T28" i="71"/>
  <c r="D28" i="71"/>
  <c r="BA18" i="3"/>
  <c r="BA5" i="3" s="1"/>
  <c r="E27" i="6" s="1"/>
  <c r="BA71" i="3"/>
  <c r="AZ71" i="3" s="1"/>
  <c r="BL75" i="3"/>
  <c r="AZ75" i="3" s="1"/>
  <c r="BL78" i="3"/>
  <c r="AZ78" i="3" s="1"/>
  <c r="BA83" i="3"/>
  <c r="AZ83" i="3" s="1"/>
  <c r="G91" i="3"/>
  <c r="BL95" i="3"/>
  <c r="BL98" i="3"/>
  <c r="BL109" i="3"/>
  <c r="AZ109" i="3" s="1"/>
  <c r="F3" i="35"/>
  <c r="E59" i="43"/>
  <c r="B57" i="43" s="1"/>
  <c r="M100" i="43"/>
  <c r="M108" i="43"/>
  <c r="I108" i="43"/>
  <c r="I100" i="43"/>
  <c r="E100" i="43"/>
  <c r="E108" i="43"/>
  <c r="P58" i="71"/>
  <c r="P57" i="71"/>
  <c r="AA21" i="33"/>
  <c r="T36" i="71"/>
  <c r="P59" i="71"/>
  <c r="AA17" i="71"/>
  <c r="C75" i="71"/>
  <c r="E63" i="71"/>
  <c r="E62" i="71" s="1"/>
  <c r="O60" i="71"/>
  <c r="D54" i="71"/>
  <c r="AB19" i="71"/>
  <c r="X30" i="71"/>
  <c r="X28" i="71"/>
  <c r="X24" i="71"/>
  <c r="Y21" i="71"/>
  <c r="Z21" i="71" s="1"/>
  <c r="X26" i="71"/>
  <c r="AB26" i="71"/>
  <c r="AA27" i="71"/>
  <c r="AD10" i="43"/>
  <c r="AA10" i="43"/>
  <c r="AA15" i="71"/>
  <c r="AA14" i="71"/>
  <c r="X9" i="71"/>
  <c r="AB25" i="71"/>
  <c r="F26" i="71"/>
  <c r="F27" i="71" s="1"/>
  <c r="F28" i="71" s="1"/>
  <c r="V28" i="71" s="1"/>
  <c r="E30" i="71"/>
  <c r="E31" i="71" s="1"/>
  <c r="E32" i="71" s="1"/>
  <c r="U32" i="71" s="1"/>
  <c r="AA28" i="71"/>
  <c r="AB30" i="71"/>
  <c r="AB29" i="71"/>
  <c r="F58" i="71"/>
  <c r="Q59" i="71"/>
  <c r="Y16" i="71"/>
  <c r="Z16" i="71" s="1"/>
  <c r="P74" i="15"/>
  <c r="P61" i="15"/>
  <c r="AB15" i="71"/>
  <c r="AA13" i="71"/>
  <c r="AA5" i="71"/>
  <c r="X10" i="71"/>
  <c r="Y9" i="71"/>
  <c r="Z9" i="71" s="1"/>
  <c r="AB9" i="71"/>
  <c r="Y5" i="71"/>
  <c r="Z5" i="71" s="1"/>
  <c r="AB17" i="71"/>
  <c r="X18" i="71"/>
  <c r="AB23" i="71"/>
  <c r="S60" i="71"/>
  <c r="B59" i="71"/>
  <c r="N60" i="71"/>
  <c r="AG12" i="43"/>
  <c r="AG10" i="43"/>
  <c r="X16" i="71"/>
  <c r="X19" i="71"/>
  <c r="Y14" i="71"/>
  <c r="Z14" i="71" s="1"/>
  <c r="AB16" i="71"/>
  <c r="D31" i="71"/>
  <c r="AA18" i="71"/>
  <c r="E20" i="71"/>
  <c r="X17" i="71"/>
  <c r="Y20" i="71"/>
  <c r="Z20" i="71" s="1"/>
  <c r="Y17" i="71"/>
  <c r="Z17" i="71" s="1"/>
  <c r="AA24" i="71"/>
  <c r="AB21" i="71"/>
  <c r="E22" i="71"/>
  <c r="E23" i="71" s="1"/>
  <c r="E24" i="71" s="1"/>
  <c r="U24" i="71" s="1"/>
  <c r="AA21" i="71"/>
  <c r="AB22" i="71"/>
  <c r="Y23" i="71"/>
  <c r="Z23" i="71" s="1"/>
  <c r="AA9" i="71"/>
  <c r="Y6" i="71"/>
  <c r="Z6" i="71" s="1"/>
  <c r="X23" i="71"/>
  <c r="AB24" i="71"/>
  <c r="Y27" i="71"/>
  <c r="Z27" i="71" s="1"/>
  <c r="AF10" i="43"/>
  <c r="AC12" i="43"/>
  <c r="AC10" i="43"/>
  <c r="Y15" i="71"/>
  <c r="Z15" i="71" s="1"/>
  <c r="Y13" i="71"/>
  <c r="Z13" i="71" s="1"/>
  <c r="Y10" i="71"/>
  <c r="Z10" i="71" s="1"/>
  <c r="AB10" i="71"/>
  <c r="AB5" i="71"/>
  <c r="AA16" i="71"/>
  <c r="E16" i="71"/>
  <c r="X14" i="71"/>
  <c r="X13" i="71"/>
  <c r="AA10" i="71"/>
  <c r="X5" i="71"/>
  <c r="AA7" i="71"/>
  <c r="AB7" i="71"/>
  <c r="AB6" i="71"/>
  <c r="X6" i="71"/>
  <c r="AB13" i="71"/>
  <c r="X7" i="71"/>
  <c r="K56" i="9"/>
  <c r="AA6" i="71"/>
  <c r="J57" i="9"/>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B41" i="1"/>
  <c r="D93" i="9"/>
  <c r="C21" i="69"/>
  <c r="AR9" i="1"/>
  <c r="AQ9" i="1"/>
  <c r="AR13" i="1"/>
  <c r="AQ13" i="1"/>
  <c r="AQ10" i="1"/>
  <c r="T10" i="1"/>
  <c r="AQ12" i="1"/>
  <c r="AR12" i="1"/>
  <c r="H5" i="3"/>
  <c r="G15" i="3"/>
  <c r="C36" i="69"/>
  <c r="D9" i="69"/>
  <c r="C9" i="69" s="1"/>
  <c r="T9" i="1"/>
  <c r="AR11" i="1"/>
  <c r="T11" i="1"/>
  <c r="E56" i="39"/>
  <c r="AR10" i="1"/>
  <c r="F31" i="6"/>
  <c r="BL15" i="3"/>
  <c r="AZ15" i="3" s="1"/>
  <c r="E28" i="6"/>
  <c r="K14" i="1" s="1"/>
  <c r="K16" i="1" s="1"/>
  <c r="AZ14" i="3"/>
  <c r="O8" i="1"/>
  <c r="O11" i="1"/>
  <c r="P11" i="1" s="1"/>
  <c r="O12" i="1"/>
  <c r="P12" i="1" s="1"/>
  <c r="O9" i="1"/>
  <c r="P9" i="1" s="1"/>
  <c r="H16" i="1"/>
  <c r="Q16" i="1"/>
  <c r="B113" i="43"/>
  <c r="G101" i="43"/>
  <c r="C101" i="43"/>
  <c r="J101" i="43"/>
  <c r="N104" i="46"/>
  <c r="L101" i="43"/>
  <c r="H101" i="43"/>
  <c r="G22" i="43"/>
  <c r="S2" i="43"/>
  <c r="T2" i="43" s="1"/>
  <c r="V2" i="43" s="1"/>
  <c r="S5" i="43"/>
  <c r="S6" i="43"/>
  <c r="T6" i="43" s="1"/>
  <c r="V6" i="43" s="1"/>
  <c r="S3" i="43"/>
  <c r="T3" i="43" s="1"/>
  <c r="V3" i="43" s="1"/>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A11" i="43"/>
  <c r="AA13" i="43" s="1"/>
  <c r="Y11" i="43"/>
  <c r="Y13" i="43" s="1"/>
  <c r="C23" i="43"/>
  <c r="C21" i="43" s="1"/>
  <c r="C29" i="43" s="1"/>
  <c r="S4" i="43"/>
  <c r="S7" i="43"/>
  <c r="T7" i="43" s="1"/>
  <c r="V7" i="43" s="1"/>
  <c r="T35" i="4"/>
  <c r="A19" i="51" s="1"/>
  <c r="B14" i="72" s="1"/>
  <c r="A15" i="62"/>
  <c r="B61" i="72" s="1"/>
  <c r="J10" i="39"/>
  <c r="AC10" i="40"/>
  <c r="W10" i="40"/>
  <c r="T14" i="43"/>
  <c r="V14" i="43" s="1"/>
  <c r="H10" i="39"/>
  <c r="F59" i="34"/>
  <c r="G59" i="34" s="1"/>
  <c r="H59" i="34" s="1"/>
  <c r="I59" i="34" s="1"/>
  <c r="J59" i="34" s="1"/>
  <c r="K59" i="34" s="1"/>
  <c r="L59" i="34" s="1"/>
  <c r="M59" i="34" s="1"/>
  <c r="N59" i="34" s="1"/>
  <c r="O59" i="34" s="1"/>
  <c r="F7" i="34"/>
  <c r="J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B8" i="71"/>
  <c r="X8" i="71"/>
  <c r="AB8" i="71"/>
  <c r="T4" i="43"/>
  <c r="V4" i="43" s="1"/>
  <c r="T15" i="43"/>
  <c r="V15" i="43" s="1"/>
  <c r="Y3" i="71"/>
  <c r="Z3" i="71" s="1"/>
  <c r="F8" i="71"/>
  <c r="F7" i="71" s="1"/>
  <c r="F6" i="71" s="1"/>
  <c r="F5" i="71" s="1"/>
  <c r="AF3" i="71"/>
  <c r="P22" i="43" s="1"/>
  <c r="C34" i="43"/>
  <c r="T10" i="43"/>
  <c r="V10" i="43" s="1"/>
  <c r="C33" i="43"/>
  <c r="T16" i="43"/>
  <c r="V16" i="43" s="1"/>
  <c r="T13" i="43"/>
  <c r="V13" i="43" s="1"/>
  <c r="T8" i="43"/>
  <c r="V8" i="43" s="1"/>
  <c r="C38" i="43"/>
  <c r="T5" i="43"/>
  <c r="V5" i="43" s="1"/>
  <c r="C36" i="68"/>
  <c r="B10" i="70"/>
  <c r="Q71" i="15"/>
  <c r="K1" i="73"/>
  <c r="I1" i="73"/>
  <c r="B39" i="1" s="1"/>
  <c r="F51" i="67"/>
  <c r="F65" i="67"/>
  <c r="B12" i="70"/>
  <c r="B7" i="70"/>
  <c r="E20" i="43"/>
  <c r="F66" i="67"/>
  <c r="B11" i="70"/>
  <c r="B8" i="70"/>
  <c r="F71" i="67"/>
  <c r="F65" i="15"/>
  <c r="B9" i="70"/>
  <c r="N59" i="67"/>
  <c r="L59" i="67"/>
  <c r="M59" i="67"/>
  <c r="B13" i="70"/>
  <c r="M7" i="67"/>
  <c r="F50" i="67"/>
  <c r="F59" i="67" s="1"/>
  <c r="F35" i="15"/>
  <c r="M8" i="67"/>
  <c r="L47" i="15"/>
  <c r="F16" i="15"/>
  <c r="F41" i="15"/>
  <c r="M29" i="15"/>
  <c r="F26" i="67"/>
  <c r="F40" i="15"/>
  <c r="M9" i="15"/>
  <c r="M23" i="67"/>
  <c r="F36" i="67"/>
  <c r="F36" i="15"/>
  <c r="F9" i="67"/>
  <c r="M6" i="15"/>
  <c r="F6" i="15"/>
  <c r="M24" i="15"/>
  <c r="M27" i="15"/>
  <c r="F43" i="15"/>
  <c r="F16" i="67"/>
  <c r="J15" i="67"/>
  <c r="F38" i="15"/>
  <c r="M21" i="15"/>
  <c r="M22" i="15"/>
  <c r="F42" i="67"/>
  <c r="F8" i="15"/>
  <c r="F7" i="15"/>
  <c r="M8" i="15"/>
  <c r="L48" i="67"/>
  <c r="M22" i="67"/>
  <c r="L48" i="15"/>
  <c r="M26" i="15"/>
  <c r="M9" i="67"/>
  <c r="F26" i="15"/>
  <c r="F6" i="67"/>
  <c r="G1" i="73"/>
  <c r="F40" i="67"/>
  <c r="C14" i="15"/>
  <c r="C76" i="67"/>
  <c r="M29" i="67"/>
  <c r="C27" i="67" l="1"/>
  <c r="C6" i="67"/>
  <c r="F71" i="15"/>
  <c r="F69" i="15"/>
  <c r="C6" i="15"/>
  <c r="F68" i="15"/>
  <c r="F64" i="67"/>
  <c r="F68" i="67"/>
  <c r="F63" i="15"/>
  <c r="C62" i="15" s="1"/>
  <c r="C34" i="15"/>
  <c r="F64" i="15"/>
  <c r="F51" i="15"/>
  <c r="Q71" i="67"/>
  <c r="J57" i="15"/>
  <c r="J55" i="15" s="1"/>
  <c r="J58" i="15" s="1"/>
  <c r="Q50" i="15" s="1"/>
  <c r="I54" i="15"/>
  <c r="J53" i="15"/>
  <c r="L56" i="15" s="1"/>
  <c r="N59" i="15"/>
  <c r="L58" i="15"/>
  <c r="Q60" i="15" s="1"/>
  <c r="M59" i="15"/>
  <c r="L59" i="15"/>
  <c r="Q74" i="15" s="1"/>
  <c r="F66" i="15"/>
  <c r="L58" i="67"/>
  <c r="Q73" i="67" s="1"/>
  <c r="I54" i="67"/>
  <c r="J53" i="67"/>
  <c r="Q52" i="67" s="1"/>
  <c r="J57" i="67"/>
  <c r="J55" i="67" s="1"/>
  <c r="J58" i="67" s="1"/>
  <c r="Q50" i="67" s="1"/>
  <c r="L56" i="67"/>
  <c r="F70" i="67"/>
  <c r="C27" i="15"/>
  <c r="M7" i="15"/>
  <c r="J6" i="15" s="1"/>
  <c r="J18" i="15" s="1"/>
  <c r="F50" i="15"/>
  <c r="J20" i="15"/>
  <c r="S31" i="39"/>
  <c r="AA31" i="39"/>
  <c r="H7" i="34"/>
  <c r="AC13" i="43"/>
  <c r="D22" i="43"/>
  <c r="AZ18" i="3"/>
  <c r="E12" i="6"/>
  <c r="E57" i="40" s="1"/>
  <c r="AC37" i="21"/>
  <c r="N59" i="71"/>
  <c r="B58" i="71"/>
  <c r="Q57" i="71"/>
  <c r="Q58" i="71"/>
  <c r="D19" i="71"/>
  <c r="C18" i="71"/>
  <c r="D18" i="71" s="1"/>
  <c r="U39" i="21"/>
  <c r="AB39" i="21"/>
  <c r="AA44" i="39"/>
  <c r="S44" i="39"/>
  <c r="AC36" i="35"/>
  <c r="W36" i="35"/>
  <c r="AZ587" i="3"/>
  <c r="AA9" i="35"/>
  <c r="S9" i="35"/>
  <c r="E15" i="6"/>
  <c r="AC26" i="37"/>
  <c r="W26" i="37"/>
  <c r="AZ580" i="3"/>
  <c r="W37" i="39"/>
  <c r="AC37" i="39"/>
  <c r="AZ498" i="3"/>
  <c r="AZ542" i="3"/>
  <c r="AC35" i="35"/>
  <c r="W35" i="35"/>
  <c r="I63" i="40"/>
  <c r="H65" i="40"/>
  <c r="E15" i="71"/>
  <c r="E14" i="71" s="1"/>
  <c r="E13" i="71" s="1"/>
  <c r="E12" i="71" s="1"/>
  <c r="V16" i="71"/>
  <c r="B7" i="71"/>
  <c r="B6" i="71" s="1"/>
  <c r="B5" i="71" s="1"/>
  <c r="S8" i="71"/>
  <c r="BL5" i="3"/>
  <c r="D19" i="12"/>
  <c r="C19" i="12" s="1"/>
  <c r="AZ161" i="3"/>
  <c r="W34" i="35"/>
  <c r="AC34" i="35"/>
  <c r="AB44" i="39"/>
  <c r="U44" i="39"/>
  <c r="AB36" i="35"/>
  <c r="U36" i="35"/>
  <c r="AC9" i="35"/>
  <c r="W9" i="35"/>
  <c r="S40" i="40"/>
  <c r="AA40" i="40"/>
  <c r="AA26" i="37"/>
  <c r="S26" i="37"/>
  <c r="S13" i="36"/>
  <c r="AA13" i="36"/>
  <c r="AZ532" i="3"/>
  <c r="AC13" i="40"/>
  <c r="W13" i="40"/>
  <c r="S35" i="35"/>
  <c r="AA35" i="35"/>
  <c r="E19" i="71"/>
  <c r="E18" i="71" s="1"/>
  <c r="V20" i="71"/>
  <c r="W40" i="40"/>
  <c r="AC40" i="40"/>
  <c r="AC26" i="35"/>
  <c r="W26" i="35"/>
  <c r="AB37" i="39"/>
  <c r="U37" i="39"/>
  <c r="AB13" i="36"/>
  <c r="U13" i="36"/>
  <c r="AZ526" i="3"/>
  <c r="AZ541" i="3"/>
  <c r="AA13" i="40"/>
  <c r="S13" i="40"/>
  <c r="AB35" i="35"/>
  <c r="U35" i="35"/>
  <c r="I70" i="39"/>
  <c r="J68" i="39"/>
  <c r="AB34" i="35"/>
  <c r="U34" i="35"/>
  <c r="U39" i="40"/>
  <c r="AB39" i="40"/>
  <c r="AC25" i="37"/>
  <c r="W25" i="37"/>
  <c r="S33" i="36"/>
  <c r="AA33" i="36"/>
  <c r="AB10" i="21"/>
  <c r="U10" i="21"/>
  <c r="J6" i="67"/>
  <c r="G30" i="6"/>
  <c r="G31" i="6" s="1"/>
  <c r="D9" i="68"/>
  <c r="C9" i="68" s="1"/>
  <c r="C74" i="71"/>
  <c r="D74" i="71" s="1"/>
  <c r="D75" i="71"/>
  <c r="AC43" i="21"/>
  <c r="W43" i="21"/>
  <c r="W39" i="40"/>
  <c r="AC39" i="40"/>
  <c r="AB25" i="37"/>
  <c r="U25" i="37"/>
  <c r="AB31" i="39"/>
  <c r="U31" i="39"/>
  <c r="AC10" i="21"/>
  <c r="W10" i="21"/>
  <c r="E11" i="6"/>
  <c r="AB40" i="40"/>
  <c r="U40" i="40"/>
  <c r="F26" i="35"/>
  <c r="H26" i="35"/>
  <c r="AA37" i="39"/>
  <c r="S37" i="39"/>
  <c r="AB27" i="21"/>
  <c r="U27" i="21"/>
  <c r="AZ493" i="3"/>
  <c r="E13" i="6"/>
  <c r="E14" i="6"/>
  <c r="C9" i="71"/>
  <c r="D10" i="71"/>
  <c r="AC26" i="2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F28" i="15"/>
  <c r="C28" i="15" s="1"/>
  <c r="F54" i="9"/>
  <c r="F48" i="9"/>
  <c r="O52" i="9" s="1"/>
  <c r="F53" i="9"/>
  <c r="F30" i="11"/>
  <c r="F28" i="67"/>
  <c r="C28" i="67" s="1"/>
  <c r="F52" i="9"/>
  <c r="F32" i="67"/>
  <c r="F60" i="67" s="1"/>
  <c r="F30" i="69"/>
  <c r="F32" i="15"/>
  <c r="F60" i="15" s="1"/>
  <c r="M18" i="15"/>
  <c r="D68" i="9"/>
  <c r="G5" i="3"/>
  <c r="B3" i="3" s="1"/>
  <c r="E15" i="3" s="1"/>
  <c r="E62" i="39"/>
  <c r="C18" i="15"/>
  <c r="C15" i="15"/>
  <c r="M14" i="1"/>
  <c r="C34" i="69"/>
  <c r="E30"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F7" i="33"/>
  <c r="E52" i="37"/>
  <c r="AB10" i="40"/>
  <c r="U10" i="40"/>
  <c r="S10" i="39"/>
  <c r="AA10" i="39"/>
  <c r="AC7" i="2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B40" i="1"/>
  <c r="M28" i="43"/>
  <c r="N28" i="43"/>
  <c r="O28" i="43"/>
  <c r="P28" i="43"/>
  <c r="M11" i="67"/>
  <c r="J10" i="67" s="1"/>
  <c r="F11" i="15"/>
  <c r="M11" i="15"/>
  <c r="F11" i="67"/>
  <c r="Q61" i="67"/>
  <c r="Q74" i="67"/>
  <c r="C17" i="67"/>
  <c r="C14" i="67"/>
  <c r="C16" i="67"/>
  <c r="C17" i="15"/>
  <c r="C16" i="15"/>
  <c r="F1" i="67" l="1"/>
  <c r="Q60" i="67"/>
  <c r="Q73" i="15"/>
  <c r="J10" i="15"/>
  <c r="J5" i="15" s="1"/>
  <c r="J24" i="15" s="1"/>
  <c r="Q61" i="15"/>
  <c r="Q52" i="15"/>
  <c r="F1" i="15"/>
  <c r="C49" i="15"/>
  <c r="C18" i="67"/>
  <c r="C15" i="67"/>
  <c r="E6" i="70"/>
  <c r="E2" i="70" s="1"/>
  <c r="C8" i="71"/>
  <c r="D9" i="71"/>
  <c r="AB26" i="35"/>
  <c r="U26" i="35"/>
  <c r="E61" i="39"/>
  <c r="E66" i="39" s="1"/>
  <c r="E56" i="40"/>
  <c r="J63" i="40"/>
  <c r="I65" i="40"/>
  <c r="N58" i="71"/>
  <c r="N57" i="71"/>
  <c r="AZ5" i="3"/>
  <c r="C32" i="15"/>
  <c r="J18" i="67"/>
  <c r="E64" i="39"/>
  <c r="E59" i="40"/>
  <c r="E11" i="71"/>
  <c r="E10" i="71" s="1"/>
  <c r="E9" i="71" s="1"/>
  <c r="E8" i="71" s="1"/>
  <c r="V12" i="71"/>
  <c r="E60" i="40"/>
  <c r="E65" i="39"/>
  <c r="E16" i="6"/>
  <c r="S26" i="35"/>
  <c r="AA26" i="35"/>
  <c r="J5" i="67"/>
  <c r="E63" i="39"/>
  <c r="E58" i="40"/>
  <c r="J70" i="39"/>
  <c r="K68" i="39"/>
  <c r="AB26" i="21"/>
  <c r="U26" i="21"/>
  <c r="AC42" i="21"/>
  <c r="W42" i="21"/>
  <c r="V48" i="21"/>
  <c r="I48" i="21" s="1"/>
  <c r="I52" i="21" s="1"/>
  <c r="J52" i="21" s="1"/>
  <c r="C32" i="67"/>
  <c r="F48" i="69"/>
  <c r="C48" i="69"/>
  <c r="C30" i="69"/>
  <c r="C48" i="11"/>
  <c r="C30" i="11"/>
  <c r="F48" i="68"/>
  <c r="C30" i="68"/>
  <c r="C48" i="68"/>
  <c r="C19" i="15"/>
  <c r="C20" i="15" s="1"/>
  <c r="C26" i="15" s="1"/>
  <c r="M20" i="6"/>
  <c r="I20" i="6" s="1"/>
  <c r="S20" i="6" s="1"/>
  <c r="S7" i="1"/>
  <c r="S16" i="1" s="1"/>
  <c r="AQ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C47" i="11"/>
  <c r="D45" i="11" s="1"/>
  <c r="C29" i="11"/>
  <c r="D27" i="11" s="1"/>
  <c r="F45" i="69"/>
  <c r="C29" i="69"/>
  <c r="D27" i="69" s="1"/>
  <c r="C47" i="69"/>
  <c r="D45" i="69" s="1"/>
  <c r="M19" i="6"/>
  <c r="K27" i="6"/>
  <c r="D3" i="21"/>
  <c r="C115" i="43"/>
  <c r="D113" i="43"/>
  <c r="AA7" i="33"/>
  <c r="R48" i="33" s="1"/>
  <c r="S7" i="33"/>
  <c r="E48" i="21"/>
  <c r="W7" i="33"/>
  <c r="AC7" i="33"/>
  <c r="V48" i="33" s="1"/>
  <c r="I48" i="33" s="1"/>
  <c r="R50" i="34"/>
  <c r="E49" i="34"/>
  <c r="G53" i="34"/>
  <c r="H53" i="34" s="1"/>
  <c r="G54" i="34"/>
  <c r="H54" i="34" s="1"/>
  <c r="F52" i="37"/>
  <c r="G52" i="37" s="1"/>
  <c r="H52" i="37" s="1"/>
  <c r="I52" i="37" s="1"/>
  <c r="J52" i="37" s="1"/>
  <c r="K52" i="37" s="1"/>
  <c r="L52" i="37" s="1"/>
  <c r="M52" i="37" s="1"/>
  <c r="N52" i="37" s="1"/>
  <c r="O52" i="37" s="1"/>
  <c r="I53" i="34"/>
  <c r="J53" i="34" s="1"/>
  <c r="I54" i="34"/>
  <c r="J54" i="34" s="1"/>
  <c r="F46" i="36"/>
  <c r="F48" i="35"/>
  <c r="G48" i="35" s="1"/>
  <c r="H48" i="35" s="1"/>
  <c r="I48" i="35" s="1"/>
  <c r="J48" i="35" s="1"/>
  <c r="K48" i="35" s="1"/>
  <c r="L48" i="35" s="1"/>
  <c r="M48" i="35" s="1"/>
  <c r="N48" i="35" s="1"/>
  <c r="O48" i="35" s="1"/>
  <c r="J7" i="35"/>
  <c r="F7" i="35"/>
  <c r="U7" i="33"/>
  <c r="AB7" i="33"/>
  <c r="T48" i="33" s="1"/>
  <c r="G48" i="33" s="1"/>
  <c r="C27" i="43"/>
  <c r="J26" i="67"/>
  <c r="J24" i="67"/>
  <c r="C53" i="67"/>
  <c r="C48" i="67" s="1"/>
  <c r="C10" i="67"/>
  <c r="C5" i="67" s="1"/>
  <c r="C53" i="15"/>
  <c r="C10" i="15"/>
  <c r="C5" i="15" s="1"/>
  <c r="F25" i="12"/>
  <c r="F22" i="69"/>
  <c r="F41" i="69" s="1"/>
  <c r="F24" i="67"/>
  <c r="C24" i="67" s="1"/>
  <c r="F22" i="11"/>
  <c r="F22" i="68"/>
  <c r="F24" i="15"/>
  <c r="C24" i="15" s="1"/>
  <c r="E6" i="76"/>
  <c r="AE6" i="1"/>
  <c r="C19" i="67" l="1"/>
  <c r="J26" i="15"/>
  <c r="J29" i="15" s="1"/>
  <c r="C48" i="15"/>
  <c r="C66" i="15" s="1"/>
  <c r="E7" i="71"/>
  <c r="E6" i="71" s="1"/>
  <c r="E5" i="71" s="1"/>
  <c r="V8" i="71"/>
  <c r="C7" i="71"/>
  <c r="T8" i="71"/>
  <c r="D8" i="71"/>
  <c r="U8" i="71" s="1"/>
  <c r="I53" i="21"/>
  <c r="J53" i="21" s="1"/>
  <c r="F7" i="37"/>
  <c r="K70" i="39"/>
  <c r="L68" i="39"/>
  <c r="AY6" i="3"/>
  <c r="E3" i="6"/>
  <c r="J65" i="40"/>
  <c r="K63" i="40"/>
  <c r="AR7" i="1"/>
  <c r="T7" i="1"/>
  <c r="T16" i="1" s="1"/>
  <c r="AQ7" i="1"/>
  <c r="AC6" i="3"/>
  <c r="H6" i="3"/>
  <c r="P14" i="1"/>
  <c r="P16" i="1" s="1"/>
  <c r="C11" i="12" s="1"/>
  <c r="C34" i="11"/>
  <c r="L16" i="1"/>
  <c r="C34" i="68"/>
  <c r="F50" i="69"/>
  <c r="F50" i="68"/>
  <c r="F50" i="11"/>
  <c r="I19" i="6"/>
  <c r="M27" i="6"/>
  <c r="S7" i="37"/>
  <c r="AA7" i="37"/>
  <c r="R42" i="37" s="1"/>
  <c r="AC7" i="35"/>
  <c r="V38" i="35" s="1"/>
  <c r="I38" i="35" s="1"/>
  <c r="W7" i="35"/>
  <c r="H7" i="37"/>
  <c r="E54" i="34"/>
  <c r="F54" i="34" s="1"/>
  <c r="E53" i="34"/>
  <c r="F53" i="34" s="1"/>
  <c r="R49" i="33"/>
  <c r="E48" i="33"/>
  <c r="H7" i="35"/>
  <c r="G52" i="33"/>
  <c r="H52" i="33" s="1"/>
  <c r="G53" i="33"/>
  <c r="H53" i="33" s="1"/>
  <c r="AA7" i="35"/>
  <c r="R38" i="35" s="1"/>
  <c r="S7" i="35"/>
  <c r="G46" i="36"/>
  <c r="C49" i="34"/>
  <c r="C50" i="34"/>
  <c r="I52" i="33"/>
  <c r="J52" i="33" s="1"/>
  <c r="I53" i="33"/>
  <c r="J53" i="33" s="1"/>
  <c r="E52" i="21"/>
  <c r="F52" i="21" s="1"/>
  <c r="J7" i="37"/>
  <c r="F41" i="68"/>
  <c r="E2" i="76"/>
  <c r="B2" i="43"/>
  <c r="C23" i="15"/>
  <c r="C29" i="15" s="1"/>
  <c r="C26" i="69"/>
  <c r="D22" i="69" s="1"/>
  <c r="C44" i="69"/>
  <c r="D41" i="69" s="1"/>
  <c r="C44" i="68"/>
  <c r="D41" i="68" s="1"/>
  <c r="C23" i="68"/>
  <c r="C26" i="68"/>
  <c r="D22" i="68" s="1"/>
  <c r="C26" i="12"/>
  <c r="D25" i="12" s="1"/>
  <c r="C44" i="11"/>
  <c r="D41" i="11" s="1"/>
  <c r="C23" i="11"/>
  <c r="C26" i="11"/>
  <c r="D22" i="11" s="1"/>
  <c r="C38" i="67"/>
  <c r="C38" i="15"/>
  <c r="C66" i="67"/>
  <c r="C60" i="67"/>
  <c r="B6" i="76"/>
  <c r="F41" i="67"/>
  <c r="C20" i="67" l="1"/>
  <c r="I91" i="9"/>
  <c r="F69" i="67"/>
  <c r="J29" i="67"/>
  <c r="C60" i="15"/>
  <c r="L63" i="40"/>
  <c r="K65" i="40"/>
  <c r="AY82" i="3"/>
  <c r="AY191" i="3"/>
  <c r="AY132" i="3"/>
  <c r="AY31" i="3"/>
  <c r="AY292" i="3"/>
  <c r="AY147" i="3"/>
  <c r="AY220" i="3"/>
  <c r="AY350" i="3"/>
  <c r="AY486" i="3"/>
  <c r="AY176" i="3"/>
  <c r="AY188" i="3"/>
  <c r="AY297" i="3"/>
  <c r="AY335"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24" i="3"/>
  <c r="AY236" i="3"/>
  <c r="AY425" i="3"/>
  <c r="AY244" i="3"/>
  <c r="AY481" i="3"/>
  <c r="AY562" i="3"/>
  <c r="AY89" i="3"/>
  <c r="AY36" i="3"/>
  <c r="AY146" i="3"/>
  <c r="AY302" i="3"/>
  <c r="AY222" i="3"/>
  <c r="BS6" i="3"/>
  <c r="AY40" i="3"/>
  <c r="AY279" i="3"/>
  <c r="AY356" i="3"/>
  <c r="AY467" i="3"/>
  <c r="AY435" i="3"/>
  <c r="BN6" i="3"/>
  <c r="AY508" i="3"/>
  <c r="AY87" i="3"/>
  <c r="AY152" i="3"/>
  <c r="AY303" i="3"/>
  <c r="AY43" i="3"/>
  <c r="AY379" i="3"/>
  <c r="AY436" i="3"/>
  <c r="AY540" i="3"/>
  <c r="AY69" i="3"/>
  <c r="AY198" i="3"/>
  <c r="AY141" i="3"/>
  <c r="AY255" i="3"/>
  <c r="AY384" i="3"/>
  <c r="BB6" i="3"/>
  <c r="AY181" i="3"/>
  <c r="AY258" i="3"/>
  <c r="AY309" i="3"/>
  <c r="AY449" i="3"/>
  <c r="AY503" i="3"/>
  <c r="AY520" i="3"/>
  <c r="AY496"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12" i="3"/>
  <c r="AY32" i="3"/>
  <c r="AY298" i="3"/>
  <c r="AY352" i="3"/>
  <c r="AY492" i="3"/>
  <c r="AY431" i="3"/>
  <c r="AY575" i="3"/>
  <c r="AY563" i="3"/>
  <c r="AY203" i="3"/>
  <c r="AY233" i="3"/>
  <c r="AY330" i="3"/>
  <c r="AY13" i="3"/>
  <c r="AY39" i="3"/>
  <c r="AY136" i="3"/>
  <c r="AY375" i="3"/>
  <c r="AY432" i="3"/>
  <c r="AY567" i="3"/>
  <c r="AY113" i="3"/>
  <c r="AY361" i="3"/>
  <c r="AY479" i="3"/>
  <c r="AY402" i="3"/>
  <c r="AY522" i="3"/>
  <c r="BP6" i="3"/>
  <c r="AY19" i="3"/>
  <c r="AY265" i="3"/>
  <c r="AY315" i="3"/>
  <c r="AY500" i="3"/>
  <c r="AY71" i="3"/>
  <c r="AY143" i="3"/>
  <c r="AY386" i="3"/>
  <c r="AY443" i="3"/>
  <c r="BT6" i="3"/>
  <c r="AY103" i="3"/>
  <c r="AY160" i="3"/>
  <c r="AY289" i="3"/>
  <c r="AY261" i="3"/>
  <c r="AY209" i="3"/>
  <c r="AY83" i="3"/>
  <c r="AY131" i="3"/>
  <c r="AY318" i="3"/>
  <c r="AY26" i="3"/>
  <c r="AY372" i="3"/>
  <c r="AY420" i="3"/>
  <c r="AY533" i="3"/>
  <c r="AY61" i="3"/>
  <c r="AY190" i="3"/>
  <c r="AY133" i="3"/>
  <c r="AY247" i="3"/>
  <c r="AY397" i="3"/>
  <c r="AY109" i="3"/>
  <c r="AY166" i="3"/>
  <c r="AY242" i="3"/>
  <c r="AY348" i="3"/>
  <c r="AY462" i="3"/>
  <c r="BQ6" i="3"/>
  <c r="AY495" i="3"/>
  <c r="AY582" i="3"/>
  <c r="AY366" i="3"/>
  <c r="AY390" i="3"/>
  <c r="AY574" i="3"/>
  <c r="AY25" i="3"/>
  <c r="AY157" i="3"/>
  <c r="AY271" i="3"/>
  <c r="AY211" i="3"/>
  <c r="BI6" i="3"/>
  <c r="AY186" i="3"/>
  <c r="AY243" i="3"/>
  <c r="AY325" i="3"/>
  <c r="AY464" i="3"/>
  <c r="AY403" i="3"/>
  <c r="AY527" i="3"/>
  <c r="AY556" i="3"/>
  <c r="AY34" i="3"/>
  <c r="AY111" i="3"/>
  <c r="AY455" i="3"/>
  <c r="AY116" i="3"/>
  <c r="AY343" i="3"/>
  <c r="AY417" i="3"/>
  <c r="AY539" i="3"/>
  <c r="AY84" i="3"/>
  <c r="AY193" i="3"/>
  <c r="AY134" i="3"/>
  <c r="AY373" i="3"/>
  <c r="AY88" i="3"/>
  <c r="AY161" i="3"/>
  <c r="AY324" i="3"/>
  <c r="AY580" i="3"/>
  <c r="AY519" i="3"/>
  <c r="AY189" i="3"/>
  <c r="AY266" i="3"/>
  <c r="AY313" i="3"/>
  <c r="AY453" i="3"/>
  <c r="AY579" i="3"/>
  <c r="AY509" i="3"/>
  <c r="AY531" i="3"/>
  <c r="AY94" i="3"/>
  <c r="AY167" i="3"/>
  <c r="AY221" i="3"/>
  <c r="AY466" i="3"/>
  <c r="AY512" i="3"/>
  <c r="AY27" i="3"/>
  <c r="AY273" i="3"/>
  <c r="AY323" i="3"/>
  <c r="AY550" i="3"/>
  <c r="AY81" i="3"/>
  <c r="AY235" i="3"/>
  <c r="AY461" i="3"/>
  <c r="AY537" i="3"/>
  <c r="AY140" i="3"/>
  <c r="AY482" i="3"/>
  <c r="AY22" i="3"/>
  <c r="AY339" i="3"/>
  <c r="AY21" i="3"/>
  <c r="AY337" i="3"/>
  <c r="AY415" i="3"/>
  <c r="AY493" i="3"/>
  <c r="AY248" i="3"/>
  <c r="AY547" i="3"/>
  <c r="AY293" i="3"/>
  <c r="AY400" i="3"/>
  <c r="AY387" i="3"/>
  <c r="AY115" i="3"/>
  <c r="AY225" i="3"/>
  <c r="AY409" i="3"/>
  <c r="AY228" i="3"/>
  <c r="AY465" i="3"/>
  <c r="BK6" i="3"/>
  <c r="AY108" i="3"/>
  <c r="AY28" i="3"/>
  <c r="AY138" i="3"/>
  <c r="AY294" i="3"/>
  <c r="AY214" i="3"/>
  <c r="AY554" i="3"/>
  <c r="AY24" i="3"/>
  <c r="AY290" i="3"/>
  <c r="AY349" i="3"/>
  <c r="AY488" i="3"/>
  <c r="AY427" i="3"/>
  <c r="BF6" i="3"/>
  <c r="AY584" i="3"/>
  <c r="AY281" i="3"/>
  <c r="AY199" i="3"/>
  <c r="AY404" i="3"/>
  <c r="AY53" i="3"/>
  <c r="AY126" i="3"/>
  <c r="AY389" i="3"/>
  <c r="AY150" i="3"/>
  <c r="AY340" i="3"/>
  <c r="AY525" i="3"/>
  <c r="AY577" i="3"/>
  <c r="AY253" i="3"/>
  <c r="AY229" i="3"/>
  <c r="AY557" i="3"/>
  <c r="AY52" i="3"/>
  <c r="AY291" i="3"/>
  <c r="AY368" i="3"/>
  <c r="AY121" i="3"/>
  <c r="AY483" i="3"/>
  <c r="AY572" i="3"/>
  <c r="AY101" i="3"/>
  <c r="AY158" i="3"/>
  <c r="AY234" i="3"/>
  <c r="AY344" i="3"/>
  <c r="AY458" i="3"/>
  <c r="AY506" i="3"/>
  <c r="AY542" i="3"/>
  <c r="AY63" i="3"/>
  <c r="AY135" i="3"/>
  <c r="AY378" i="3"/>
  <c r="AY456" i="3"/>
  <c r="BL6" i="3"/>
  <c r="AY184" i="3"/>
  <c r="AY241" i="3"/>
  <c r="AY338" i="3"/>
  <c r="BD6" i="3"/>
  <c r="AY49" i="3"/>
  <c r="AY218" i="3"/>
  <c r="AY450" i="3"/>
  <c r="AY530" i="3"/>
  <c r="AY120" i="3"/>
  <c r="AY440" i="3"/>
  <c r="AY195" i="3"/>
  <c r="AY322" i="3"/>
  <c r="AY174" i="3"/>
  <c r="AY305" i="3"/>
  <c r="AY505" i="3"/>
  <c r="AY79" i="3"/>
  <c r="AY394" i="3"/>
  <c r="AY568" i="3"/>
  <c r="AY257" i="3"/>
  <c r="AY521" i="3"/>
  <c r="AY67" i="3"/>
  <c r="AY196" i="3"/>
  <c r="AY139" i="3"/>
  <c r="AY74" i="3"/>
  <c r="AY123" i="3"/>
  <c r="AY204" i="3"/>
  <c r="AY252" i="3"/>
  <c r="AY363" i="3"/>
  <c r="AY489" i="3"/>
  <c r="AY23" i="3"/>
  <c r="AY59" i="3"/>
  <c r="AY58" i="3"/>
  <c r="AY371"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207" i="3"/>
  <c r="AY168" i="3"/>
  <c r="AY444" i="3"/>
  <c r="AY269" i="3"/>
  <c r="AY311" i="3"/>
  <c r="AY535" i="3"/>
  <c r="AY555" i="3"/>
  <c r="AY68" i="3"/>
  <c r="AY178" i="3"/>
  <c r="AY117" i="3"/>
  <c r="AY254" i="3"/>
  <c r="AY365" i="3"/>
  <c r="AY57" i="3"/>
  <c r="AY130" i="3"/>
  <c r="AY393" i="3"/>
  <c r="AY308" i="3"/>
  <c r="AY422" i="3"/>
  <c r="AY516" i="3"/>
  <c r="AY559" i="3"/>
  <c r="AY523" i="3"/>
  <c r="AY95" i="3"/>
  <c r="AY382" i="3"/>
  <c r="AY497" i="3"/>
  <c r="AY212" i="3"/>
  <c r="AY478" i="3"/>
  <c r="AY573" i="3"/>
  <c r="AY100" i="3"/>
  <c r="AY20" i="3"/>
  <c r="AY173" i="3"/>
  <c r="AY286" i="3"/>
  <c r="AY227" i="3"/>
  <c r="AY507" i="3"/>
  <c r="AY29" i="3"/>
  <c r="AY275" i="3"/>
  <c r="AY341" i="3"/>
  <c r="AY480" i="3"/>
  <c r="AY419" i="3"/>
  <c r="AY536" i="3"/>
  <c r="AY53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4" i="3"/>
  <c r="AY122" i="3"/>
  <c r="AY385" i="3"/>
  <c r="AY304" i="3"/>
  <c r="AY418" i="3"/>
  <c r="AY564" i="3"/>
  <c r="AY548" i="3"/>
  <c r="AY30" i="3"/>
  <c r="AY296" i="3"/>
  <c r="AY347" i="3"/>
  <c r="AY421" i="3"/>
  <c r="AY102" i="3"/>
  <c r="AY175" i="3"/>
  <c r="AY208" i="3"/>
  <c r="AY474" i="3"/>
  <c r="AY583" i="3"/>
  <c r="AY153" i="3"/>
  <c r="AY396" i="3"/>
  <c r="AY320" i="3"/>
  <c r="AY434" i="3"/>
  <c r="AY538" i="3"/>
  <c r="AY545" i="3"/>
  <c r="AY62" i="3"/>
  <c r="AY301" i="3"/>
  <c r="AY359" i="3"/>
  <c r="AY408" i="3"/>
  <c r="AY107" i="3"/>
  <c r="AY164" i="3"/>
  <c r="AY240" i="3"/>
  <c r="AY477" i="3"/>
  <c r="AY566" i="3"/>
  <c r="AY50" i="3"/>
  <c r="AY183" i="3"/>
  <c r="AY284" i="3"/>
  <c r="AY319" i="3"/>
  <c r="AY155" i="3"/>
  <c r="AY268" i="3"/>
  <c r="AY441" i="3"/>
  <c r="AY260" i="3"/>
  <c r="AY310" i="3"/>
  <c r="AY549" i="3"/>
  <c r="AY97" i="3"/>
  <c r="AY44" i="3"/>
  <c r="AY154" i="3"/>
  <c r="AY283" i="3"/>
  <c r="AY230" i="3"/>
  <c r="AY360" i="3"/>
  <c r="AY56" i="3"/>
  <c r="AY295" i="3"/>
  <c r="AY353" i="3"/>
  <c r="AY475" i="3"/>
  <c r="AY398" i="3"/>
  <c r="AY534" i="3"/>
  <c r="AY501" i="3"/>
  <c r="AY42" i="3"/>
  <c r="AY526" i="3"/>
  <c r="AY447" i="3"/>
  <c r="AY85" i="3"/>
  <c r="AY270" i="3"/>
  <c r="AY215" i="3"/>
  <c r="AY438" i="3"/>
  <c r="AY552" i="3"/>
  <c r="AY80" i="3"/>
  <c r="AY129" i="3"/>
  <c r="AY369" i="3"/>
  <c r="AY487" i="3"/>
  <c r="AY410" i="3"/>
  <c r="D3" i="6"/>
  <c r="AY35" i="3"/>
  <c r="AY280" i="3"/>
  <c r="AY331" i="3"/>
  <c r="AY405" i="3"/>
  <c r="AY86" i="3"/>
  <c r="AY159" i="3"/>
  <c r="AY213" i="3"/>
  <c r="AY459" i="3"/>
  <c r="AY504" i="3"/>
  <c r="AY205" i="3"/>
  <c r="AY321" i="3"/>
  <c r="AY399" i="3"/>
  <c r="AY110" i="3"/>
  <c r="AY216" i="3"/>
  <c r="AY528" i="3"/>
  <c r="AY288" i="3"/>
  <c r="AY413" i="3"/>
  <c r="AY267" i="3"/>
  <c r="AY476" i="3"/>
  <c r="AY515" i="3"/>
  <c r="AY172" i="3"/>
  <c r="AY485" i="3"/>
  <c r="AY54" i="3"/>
  <c r="AY351" i="3"/>
  <c r="AY98" i="3"/>
  <c r="AY18" i="3"/>
  <c r="AY171" i="3"/>
  <c r="AY90" i="3"/>
  <c r="AY163" i="3"/>
  <c r="AY75" i="3"/>
  <c r="AY237" i="3"/>
  <c r="AY334" i="3"/>
  <c r="AY66" i="3"/>
  <c r="AY276" i="3"/>
  <c r="AY470" i="3"/>
  <c r="AY180" i="3"/>
  <c r="AY358" i="3"/>
  <c r="AY433" i="3"/>
  <c r="AY541" i="3"/>
  <c r="AY45" i="3"/>
  <c r="AY201" i="3"/>
  <c r="AY118" i="3"/>
  <c r="AY231" i="3"/>
  <c r="AY381" i="3"/>
  <c r="AY104" i="3"/>
  <c r="AY177" i="3"/>
  <c r="AY210" i="3"/>
  <c r="AY332" i="3"/>
  <c r="AY446" i="3"/>
  <c r="BM6" i="3"/>
  <c r="AY510" i="3"/>
  <c r="AY51" i="3"/>
  <c r="AY473" i="3"/>
  <c r="AY355" i="3"/>
  <c r="BO6" i="3"/>
  <c r="AY182" i="3"/>
  <c r="AY239" i="3"/>
  <c r="AY93" i="3"/>
  <c r="AY226" i="3"/>
  <c r="AY454" i="3"/>
  <c r="AY518" i="3"/>
  <c r="AY144" i="3"/>
  <c r="AY412" i="3"/>
  <c r="AY326" i="3"/>
  <c r="AY105" i="3"/>
  <c r="AY162" i="3"/>
  <c r="AY238" i="3"/>
  <c r="AY72" i="3"/>
  <c r="AY370" i="3"/>
  <c r="AY406" i="3"/>
  <c r="AY543" i="3"/>
  <c r="AY48" i="3"/>
  <c r="AY287" i="3"/>
  <c r="AY364" i="3"/>
  <c r="AY471" i="3"/>
  <c r="AY439" i="3"/>
  <c r="AY524" i="3"/>
  <c r="AY578" i="3"/>
  <c r="AY192" i="3"/>
  <c r="AY249" i="3"/>
  <c r="AY346" i="3"/>
  <c r="AY558" i="3"/>
  <c r="AY55" i="3"/>
  <c r="AY128" i="3"/>
  <c r="AY391" i="3"/>
  <c r="AY448" i="3"/>
  <c r="AY586" i="3"/>
  <c r="AY142" i="3"/>
  <c r="AY336" i="3"/>
  <c r="AY17" i="3"/>
  <c r="AY47" i="3"/>
  <c r="AY383" i="3"/>
  <c r="AY576" i="3"/>
  <c r="AY272" i="3"/>
  <c r="AY15" i="3"/>
  <c r="AY250" i="3"/>
  <c r="AY445" i="3"/>
  <c r="AY551" i="3"/>
  <c r="AY151" i="3"/>
  <c r="AY451" i="3"/>
  <c r="AY200" i="3"/>
  <c r="AY307" i="3"/>
  <c r="C6" i="71"/>
  <c r="D7" i="71"/>
  <c r="L70" i="39"/>
  <c r="M68" i="39"/>
  <c r="D3" i="34"/>
  <c r="B2" i="34" s="1"/>
  <c r="B3" i="34" s="1"/>
  <c r="D14" i="12"/>
  <c r="M18" i="9"/>
  <c r="B118" i="9" s="1"/>
  <c r="B14" i="74" s="1"/>
  <c r="B1" i="74" s="1"/>
  <c r="C7" i="74" s="1"/>
  <c r="E6" i="6"/>
  <c r="C17" i="4"/>
  <c r="B4" i="52" s="1"/>
  <c r="B43" i="72" s="1"/>
  <c r="D3" i="37"/>
  <c r="D37" i="11"/>
  <c r="C37" i="11" s="1"/>
  <c r="L18" i="9"/>
  <c r="D3" i="33"/>
  <c r="D19" i="11"/>
  <c r="C19" i="11" s="1"/>
  <c r="E6" i="3"/>
  <c r="C35" i="68"/>
  <c r="C38" i="68"/>
  <c r="C12" i="12"/>
  <c r="C15" i="12"/>
  <c r="C38" i="11"/>
  <c r="C35" i="11"/>
  <c r="S19" i="6"/>
  <c r="S27" i="6" s="1"/>
  <c r="I27" i="6"/>
  <c r="W7" i="37"/>
  <c r="AC7" i="37"/>
  <c r="V42" i="37" s="1"/>
  <c r="I42" i="37" s="1"/>
  <c r="AB7" i="35"/>
  <c r="T38" i="35" s="1"/>
  <c r="G38" i="35" s="1"/>
  <c r="U7" i="35"/>
  <c r="C49" i="33"/>
  <c r="C48" i="33"/>
  <c r="R43" i="37"/>
  <c r="E42" i="37"/>
  <c r="H46" i="36"/>
  <c r="R39" i="35"/>
  <c r="E38" i="35"/>
  <c r="E53" i="33"/>
  <c r="F53" i="33" s="1"/>
  <c r="E52" i="33"/>
  <c r="F52" i="33" s="1"/>
  <c r="U7" i="37"/>
  <c r="AB7" i="37"/>
  <c r="T42" i="37" s="1"/>
  <c r="G42" i="37" s="1"/>
  <c r="I42" i="35"/>
  <c r="J42" i="35" s="1"/>
  <c r="I43" i="35"/>
  <c r="J43" i="35" s="1"/>
  <c r="B2" i="76"/>
  <c r="B3" i="76" s="1"/>
  <c r="B3" i="43"/>
  <c r="J14" i="15"/>
  <c r="C57" i="15"/>
  <c r="C36" i="15"/>
  <c r="C33" i="15"/>
  <c r="C31" i="15" s="1"/>
  <c r="C13" i="15"/>
  <c r="Q49" i="15"/>
  <c r="J19" i="15"/>
  <c r="J17" i="15" s="1"/>
  <c r="J59" i="15"/>
  <c r="J60" i="15" s="1"/>
  <c r="C33" i="67"/>
  <c r="J59" i="67"/>
  <c r="J60" i="67" s="1"/>
  <c r="C26" i="67" l="1"/>
  <c r="C23" i="67"/>
  <c r="C20" i="11"/>
  <c r="C24" i="11"/>
  <c r="D6" i="71"/>
  <c r="C5" i="71"/>
  <c r="B2" i="33"/>
  <c r="B3" i="33" s="1"/>
  <c r="L65" i="40"/>
  <c r="M63" i="40"/>
  <c r="D17" i="12"/>
  <c r="C17" i="12" s="1"/>
  <c r="C14" i="12"/>
  <c r="C16" i="12" s="1"/>
  <c r="D10" i="11"/>
  <c r="C10" i="11" s="1"/>
  <c r="D10" i="69"/>
  <c r="D20" i="12"/>
  <c r="C20" i="12" s="1"/>
  <c r="C18" i="12" s="1"/>
  <c r="D10" i="68"/>
  <c r="M70" i="39"/>
  <c r="N68" i="39"/>
  <c r="D25" i="6"/>
  <c r="R25" i="6" s="1"/>
  <c r="D24" i="6"/>
  <c r="D11" i="6"/>
  <c r="H22" i="6"/>
  <c r="C18" i="4"/>
  <c r="H25" i="6"/>
  <c r="D26" i="6"/>
  <c r="D10" i="6"/>
  <c r="H23" i="6"/>
  <c r="D15" i="6"/>
  <c r="D20" i="6"/>
  <c r="D13" i="6"/>
  <c r="H21" i="6"/>
  <c r="D23" i="6"/>
  <c r="H26" i="6"/>
  <c r="D8" i="6"/>
  <c r="D29" i="6"/>
  <c r="D21" i="6"/>
  <c r="D12" i="6"/>
  <c r="E61" i="40"/>
  <c r="D19" i="6"/>
  <c r="L19" i="9"/>
  <c r="M19" i="9"/>
  <c r="C118" i="9" s="1"/>
  <c r="C14" i="74" s="1"/>
  <c r="B2" i="74" s="1"/>
  <c r="D7" i="74" s="1"/>
  <c r="D6" i="6"/>
  <c r="H19" i="6"/>
  <c r="D22" i="6"/>
  <c r="D5" i="6"/>
  <c r="D28" i="6"/>
  <c r="D30" i="6" s="1"/>
  <c r="H24" i="6"/>
  <c r="D9" i="6"/>
  <c r="H20" i="6"/>
  <c r="D14" i="6"/>
  <c r="C33" i="11"/>
  <c r="C42" i="11" s="1"/>
  <c r="G46" i="37"/>
  <c r="H46" i="37" s="1"/>
  <c r="G47" i="37"/>
  <c r="H47" i="37" s="1"/>
  <c r="E43" i="35"/>
  <c r="F43" i="35" s="1"/>
  <c r="E42" i="35"/>
  <c r="F42" i="35" s="1"/>
  <c r="C39" i="35"/>
  <c r="B2" i="35" s="1"/>
  <c r="B3" i="35" s="1"/>
  <c r="C38" i="35"/>
  <c r="I46" i="36"/>
  <c r="C43" i="37"/>
  <c r="B2" i="37" s="1"/>
  <c r="B3" i="37" s="1"/>
  <c r="C42" i="37"/>
  <c r="G42" i="35"/>
  <c r="H42" i="35" s="1"/>
  <c r="G43" i="35"/>
  <c r="H43" i="35" s="1"/>
  <c r="E47" i="37"/>
  <c r="F47" i="37" s="1"/>
  <c r="E46" i="37"/>
  <c r="F46" i="37" s="1"/>
  <c r="I47" i="37"/>
  <c r="J47" i="37" s="1"/>
  <c r="I46" i="37"/>
  <c r="J46" i="37" s="1"/>
  <c r="Q48" i="15"/>
  <c r="L46" i="15"/>
  <c r="C64" i="15"/>
  <c r="C61" i="15"/>
  <c r="C59" i="15" s="1"/>
  <c r="Q48" i="67"/>
  <c r="C56" i="15"/>
  <c r="C65" i="15" s="1"/>
  <c r="Q70" i="15"/>
  <c r="C37" i="15"/>
  <c r="C30" i="15" s="1"/>
  <c r="C39" i="15" s="1"/>
  <c r="C75" i="15"/>
  <c r="J22" i="15"/>
  <c r="J13" i="15"/>
  <c r="J23" i="15" s="1"/>
  <c r="L51" i="15"/>
  <c r="C29" i="67" l="1"/>
  <c r="C21" i="12"/>
  <c r="C22" i="12" s="1"/>
  <c r="C30" i="12" s="1"/>
  <c r="C28" i="12" s="1"/>
  <c r="H27" i="6"/>
  <c r="R19" i="6"/>
  <c r="D27" i="6"/>
  <c r="D31" i="6" s="1"/>
  <c r="C4" i="52"/>
  <c r="B45" i="72" s="1"/>
  <c r="A10" i="51"/>
  <c r="B9" i="72" s="1"/>
  <c r="A7" i="51"/>
  <c r="B7" i="72" s="1"/>
  <c r="D5" i="71"/>
  <c r="M20" i="43"/>
  <c r="R20" i="6"/>
  <c r="R7" i="1" s="1"/>
  <c r="R26" i="6"/>
  <c r="J7" i="39"/>
  <c r="D16" i="6"/>
  <c r="O68" i="39"/>
  <c r="O70" i="39" s="1"/>
  <c r="N70" i="39"/>
  <c r="F7" i="39" s="1"/>
  <c r="D19" i="69"/>
  <c r="C10" i="69"/>
  <c r="C8" i="69" s="1"/>
  <c r="C5" i="69" s="1"/>
  <c r="C23" i="69" s="1"/>
  <c r="M65" i="40"/>
  <c r="N63" i="40"/>
  <c r="R22" i="6"/>
  <c r="R21" i="6"/>
  <c r="R23" i="6"/>
  <c r="R24" i="6"/>
  <c r="C10" i="68"/>
  <c r="D19" i="68"/>
  <c r="C28" i="11"/>
  <c r="C27" i="11" s="1"/>
  <c r="C25" i="11"/>
  <c r="C22" i="11" s="1"/>
  <c r="C31" i="11" s="1"/>
  <c r="H37" i="21"/>
  <c r="C39" i="11"/>
  <c r="C46" i="11" s="1"/>
  <c r="C45" i="11" s="1"/>
  <c r="J46" i="36"/>
  <c r="K46" i="36" s="1"/>
  <c r="L46" i="36" s="1"/>
  <c r="M46" i="36" s="1"/>
  <c r="N46" i="36" s="1"/>
  <c r="O46" i="36" s="1"/>
  <c r="J7" i="36" s="1"/>
  <c r="C58" i="15"/>
  <c r="C67" i="15" s="1"/>
  <c r="C68" i="15" s="1"/>
  <c r="C71" i="15" s="1"/>
  <c r="J16" i="15"/>
  <c r="J25" i="15" s="1"/>
  <c r="C80" i="15"/>
  <c r="C79" i="15" s="1"/>
  <c r="Q69" i="15"/>
  <c r="Q68" i="15" s="1"/>
  <c r="C40" i="15"/>
  <c r="C36" i="67" l="1"/>
  <c r="J14" i="67"/>
  <c r="J19" i="67"/>
  <c r="Q49" i="67"/>
  <c r="C13" i="67"/>
  <c r="C57" i="67"/>
  <c r="C27" i="12"/>
  <c r="C25" i="12" s="1"/>
  <c r="C32" i="12" s="1"/>
  <c r="B2" i="12" s="1"/>
  <c r="B3" i="12" s="1"/>
  <c r="AA7" i="39"/>
  <c r="R47" i="39" s="1"/>
  <c r="S7" i="39"/>
  <c r="AC7" i="39"/>
  <c r="V47" i="39" s="1"/>
  <c r="I47" i="39" s="1"/>
  <c r="I51" i="39" s="1"/>
  <c r="J51" i="39" s="1"/>
  <c r="W7" i="39"/>
  <c r="H7" i="39"/>
  <c r="I6" i="6"/>
  <c r="I5" i="6"/>
  <c r="O63" i="40"/>
  <c r="O65" i="40" s="1"/>
  <c r="F7" i="40" s="1"/>
  <c r="N65" i="40"/>
  <c r="H7" i="40" s="1"/>
  <c r="H7" i="36"/>
  <c r="AB7" i="36" s="1"/>
  <c r="T36" i="36" s="1"/>
  <c r="G36" i="36" s="1"/>
  <c r="C19" i="68"/>
  <c r="D37" i="68"/>
  <c r="C37" i="68" s="1"/>
  <c r="C33" i="68" s="1"/>
  <c r="C91" i="9" s="1"/>
  <c r="R6" i="1"/>
  <c r="R27" i="6"/>
  <c r="F7" i="36"/>
  <c r="S7" i="36" s="1"/>
  <c r="C19" i="69"/>
  <c r="C24" i="69" s="1"/>
  <c r="D37" i="69"/>
  <c r="C37" i="69" s="1"/>
  <c r="C33" i="69" s="1"/>
  <c r="U37" i="21"/>
  <c r="AB37" i="21"/>
  <c r="T48" i="21" s="1"/>
  <c r="C43" i="11"/>
  <c r="C41" i="11" s="1"/>
  <c r="C49" i="11" s="1"/>
  <c r="C51" i="11" s="1"/>
  <c r="C52" i="11" s="1"/>
  <c r="B2" i="11" s="1"/>
  <c r="B3" i="11" s="1"/>
  <c r="AA7" i="36"/>
  <c r="R36" i="36" s="1"/>
  <c r="U7" i="36"/>
  <c r="W7" i="36"/>
  <c r="AC7" i="36"/>
  <c r="V36" i="36" s="1"/>
  <c r="I36" i="36" s="1"/>
  <c r="Q67" i="15"/>
  <c r="L57" i="15"/>
  <c r="L60" i="15" s="1"/>
  <c r="L57" i="67"/>
  <c r="L60" i="67" s="1"/>
  <c r="L46" i="67" s="1"/>
  <c r="B2" i="15"/>
  <c r="B3" i="15" s="1"/>
  <c r="Q56" i="15"/>
  <c r="Q65" i="15"/>
  <c r="C43" i="15"/>
  <c r="Q47" i="15"/>
  <c r="Q53" i="15" s="1"/>
  <c r="C83" i="15"/>
  <c r="C82" i="15" s="1"/>
  <c r="C46" i="15"/>
  <c r="M21" i="67"/>
  <c r="F35" i="67"/>
  <c r="C61" i="67" l="1"/>
  <c r="C64" i="67"/>
  <c r="J13" i="67"/>
  <c r="J23" i="67" s="1"/>
  <c r="J22" i="67"/>
  <c r="C56" i="67"/>
  <c r="C65" i="67" s="1"/>
  <c r="C75" i="67"/>
  <c r="C37" i="67"/>
  <c r="Q70" i="67"/>
  <c r="C94" i="9"/>
  <c r="C92" i="9"/>
  <c r="J20" i="67"/>
  <c r="J17" i="67" s="1"/>
  <c r="F63" i="67"/>
  <c r="C62" i="67" s="1"/>
  <c r="C34" i="67"/>
  <c r="C31" i="67" s="1"/>
  <c r="C30" i="67" s="1"/>
  <c r="C39" i="67" s="1"/>
  <c r="AA7" i="40"/>
  <c r="R42" i="40" s="1"/>
  <c r="S7" i="40"/>
  <c r="AB7" i="40"/>
  <c r="T42" i="40" s="1"/>
  <c r="G42" i="40" s="1"/>
  <c r="U7" i="40"/>
  <c r="C39" i="68"/>
  <c r="C43" i="68" s="1"/>
  <c r="C42" i="68"/>
  <c r="J7" i="40"/>
  <c r="C20" i="68"/>
  <c r="C24" i="68"/>
  <c r="C39" i="69"/>
  <c r="C42" i="69"/>
  <c r="R16" i="1"/>
  <c r="U7" i="39"/>
  <c r="AB7" i="39"/>
  <c r="T47" i="39" s="1"/>
  <c r="G47" i="39" s="1"/>
  <c r="C20" i="69"/>
  <c r="R48" i="39"/>
  <c r="E47" i="39"/>
  <c r="G48" i="21"/>
  <c r="R49" i="21"/>
  <c r="C56" i="11"/>
  <c r="C57" i="11" s="1"/>
  <c r="I40" i="36"/>
  <c r="J40" i="36" s="1"/>
  <c r="G40" i="36"/>
  <c r="H40" i="36" s="1"/>
  <c r="G41" i="36"/>
  <c r="H41" i="36" s="1"/>
  <c r="R37" i="36"/>
  <c r="E36" i="36"/>
  <c r="I41" i="36" s="1"/>
  <c r="J41" i="36" s="1"/>
  <c r="Q66" i="15"/>
  <c r="Q75" i="15" s="1"/>
  <c r="Q57" i="15"/>
  <c r="Q62" i="15" s="1"/>
  <c r="Q66" i="67"/>
  <c r="Q57" i="67"/>
  <c r="J16" i="67" l="1"/>
  <c r="J25" i="67" s="1"/>
  <c r="C59" i="67"/>
  <c r="C58" i="67" s="1"/>
  <c r="C67" i="67" s="1"/>
  <c r="C68" i="67" s="1"/>
  <c r="C71" i="67" s="1"/>
  <c r="C41" i="68"/>
  <c r="AC7" i="40"/>
  <c r="V42" i="40" s="1"/>
  <c r="I42" i="40" s="1"/>
  <c r="W7" i="40"/>
  <c r="G46" i="40"/>
  <c r="H46" i="40" s="1"/>
  <c r="G47" i="40"/>
  <c r="H47" i="40" s="1"/>
  <c r="C47" i="39"/>
  <c r="C48" i="39"/>
  <c r="R43" i="40"/>
  <c r="E42" i="40"/>
  <c r="C25" i="69"/>
  <c r="C22" i="69" s="1"/>
  <c r="C28" i="69"/>
  <c r="C27" i="69" s="1"/>
  <c r="C25" i="68"/>
  <c r="C22" i="68" s="1"/>
  <c r="C28" i="68"/>
  <c r="C27" i="68" s="1"/>
  <c r="C80" i="67"/>
  <c r="C79" i="67" s="1"/>
  <c r="Q69" i="67"/>
  <c r="Q68" i="67" s="1"/>
  <c r="C40" i="67"/>
  <c r="G52" i="39"/>
  <c r="H52" i="39" s="1"/>
  <c r="G51" i="39"/>
  <c r="H51" i="39" s="1"/>
  <c r="C43" i="69"/>
  <c r="C41" i="69" s="1"/>
  <c r="C46" i="69"/>
  <c r="C45" i="69" s="1"/>
  <c r="I52" i="39"/>
  <c r="J52" i="39" s="1"/>
  <c r="E51" i="39"/>
  <c r="F51" i="39" s="1"/>
  <c r="E52" i="39"/>
  <c r="F52" i="39" s="1"/>
  <c r="C46" i="68"/>
  <c r="C45" i="68" s="1"/>
  <c r="C49" i="21"/>
  <c r="B2" i="21" s="1"/>
  <c r="C48" i="21"/>
  <c r="G53" i="21"/>
  <c r="H53" i="21" s="1"/>
  <c r="G52" i="21"/>
  <c r="H52" i="21" s="1"/>
  <c r="E53" i="21"/>
  <c r="F53" i="21" s="1"/>
  <c r="C37" i="36"/>
  <c r="B2" i="36" s="1"/>
  <c r="B3" i="36" s="1"/>
  <c r="C36" i="36"/>
  <c r="E40" i="36"/>
  <c r="F40" i="36" s="1"/>
  <c r="E41" i="36"/>
  <c r="F41" i="36" s="1"/>
  <c r="L51" i="67"/>
  <c r="C19" i="9"/>
  <c r="C49" i="68" l="1"/>
  <c r="C51" i="68" s="1"/>
  <c r="C31" i="69"/>
  <c r="C49" i="69"/>
  <c r="C51" i="69" s="1"/>
  <c r="Q67" i="67"/>
  <c r="C45" i="67"/>
  <c r="C46" i="67" s="1"/>
  <c r="C43" i="67"/>
  <c r="Q56" i="67"/>
  <c r="Q62" i="67" s="1"/>
  <c r="Q65" i="67"/>
  <c r="Q75" i="67" s="1"/>
  <c r="D2" i="67"/>
  <c r="Q47" i="67"/>
  <c r="Q53" i="67" s="1"/>
  <c r="C83" i="67"/>
  <c r="C82" i="67" s="1"/>
  <c r="B63" i="39"/>
  <c r="F63" i="39" s="1"/>
  <c r="B58" i="39"/>
  <c r="F58" i="39" s="1"/>
  <c r="B65" i="39"/>
  <c r="F65" i="39" s="1"/>
  <c r="B57" i="39"/>
  <c r="F57" i="39" s="1"/>
  <c r="B62" i="39"/>
  <c r="F62" i="39" s="1"/>
  <c r="B61" i="39"/>
  <c r="F61" i="39" s="1"/>
  <c r="B59" i="39"/>
  <c r="F59" i="39" s="1"/>
  <c r="B56" i="39"/>
  <c r="F56" i="39" s="1"/>
  <c r="F66" i="39" s="1"/>
  <c r="B2" i="39" s="1"/>
  <c r="B3" i="39" s="1"/>
  <c r="B64" i="39"/>
  <c r="F64" i="39" s="1"/>
  <c r="B60" i="39"/>
  <c r="F60" i="39" s="1"/>
  <c r="E46" i="40"/>
  <c r="F46" i="40" s="1"/>
  <c r="E47" i="40"/>
  <c r="F47" i="40" s="1"/>
  <c r="C42" i="40"/>
  <c r="C43" i="40"/>
  <c r="C31" i="68"/>
  <c r="I46" i="40"/>
  <c r="J46" i="40" s="1"/>
  <c r="I47" i="40"/>
  <c r="J47" i="40" s="1"/>
  <c r="C102" i="9"/>
  <c r="C21" i="9"/>
  <c r="B3" i="21"/>
  <c r="C20" i="9"/>
  <c r="C52" i="68" l="1"/>
  <c r="B2" i="68" s="1"/>
  <c r="B3" i="68" s="1"/>
  <c r="C52" i="69"/>
  <c r="B2" i="69" s="1"/>
  <c r="B3" i="69" s="1"/>
  <c r="B55" i="40"/>
  <c r="F55" i="40" s="1"/>
  <c r="B59" i="40"/>
  <c r="F59" i="40" s="1"/>
  <c r="B57" i="40"/>
  <c r="F57" i="40" s="1"/>
  <c r="B52" i="40"/>
  <c r="F52" i="40" s="1"/>
  <c r="B51" i="40"/>
  <c r="F51" i="40" s="1"/>
  <c r="B60" i="40"/>
  <c r="F60" i="40" s="1"/>
  <c r="B58" i="40"/>
  <c r="F58" i="40" s="1"/>
  <c r="B54" i="40"/>
  <c r="F54" i="40" s="1"/>
  <c r="B56" i="40"/>
  <c r="F56" i="40" s="1"/>
  <c r="F61" i="40"/>
  <c r="B2" i="40" s="1"/>
  <c r="B3" i="40" s="1"/>
  <c r="B53" i="40"/>
  <c r="F53" i="40" s="1"/>
  <c r="B3" i="67"/>
  <c r="B2" i="67"/>
  <c r="C103" i="9"/>
  <c r="D20" i="9"/>
  <c r="AO6" i="1"/>
  <c r="D19" i="9"/>
  <c r="C57" i="68" l="1"/>
  <c r="C56" i="68" s="1"/>
  <c r="C57" i="69"/>
  <c r="C56" i="69" s="1"/>
  <c r="D103" i="9"/>
  <c r="G20" i="9"/>
  <c r="L49" i="21" s="1"/>
  <c r="B6" i="70"/>
  <c r="B2" i="70" s="1"/>
  <c r="B3" i="70" s="1"/>
  <c r="D102" i="9"/>
  <c r="G19" i="9"/>
  <c r="G21" i="9" s="1"/>
  <c r="D21" i="9"/>
  <c r="D22" i="9"/>
  <c r="R24" i="31" l="1"/>
  <c r="R26" i="31" s="1"/>
  <c r="S26" i="31" s="1"/>
  <c r="C32" i="9"/>
  <c r="D34" i="9" s="1"/>
  <c r="C34" i="9"/>
  <c r="S24" i="31" l="1"/>
  <c r="X24" i="31"/>
  <c r="R29" i="31"/>
  <c r="S29" i="31" s="1"/>
  <c r="R27" i="31"/>
  <c r="S27" i="31" s="1"/>
  <c r="R25" i="31"/>
  <c r="S25" i="31" s="1"/>
  <c r="C35" i="9"/>
  <c r="D35" i="9"/>
  <c r="R28" i="31"/>
  <c r="S28" i="31" s="1"/>
  <c r="S22" i="31" l="1"/>
  <c r="D118" i="9"/>
  <c r="D119" i="9" s="1"/>
  <c r="D5" i="52" s="1"/>
  <c r="B49" i="72" s="1"/>
  <c r="F118" i="9"/>
  <c r="F119" i="9" s="1"/>
  <c r="F5" i="52" s="1"/>
  <c r="B53" i="72" s="1"/>
  <c r="T25" i="31" l="1"/>
  <c r="B20" i="31"/>
  <c r="B21" i="31" s="1"/>
  <c r="R22" i="31"/>
  <c r="H118" i="9"/>
  <c r="C104" i="9" s="1"/>
  <c r="G118" i="9"/>
  <c r="G4" i="52" s="1"/>
  <c r="B52" i="72" s="1"/>
  <c r="F4" i="52"/>
  <c r="B51" i="72" s="1"/>
  <c r="D4" i="52"/>
  <c r="B47" i="72" s="1"/>
  <c r="H119" i="9" l="1"/>
  <c r="H5" i="52" s="1"/>
  <c r="I118" i="9"/>
  <c r="H101" i="9"/>
  <c r="D5" i="53" s="1"/>
  <c r="H4" i="52"/>
  <c r="D14" i="74"/>
  <c r="F14" i="74" s="1"/>
  <c r="C105" i="9"/>
  <c r="H102" i="9"/>
  <c r="D7" i="53" s="1"/>
  <c r="B21" i="72" s="1"/>
  <c r="I4" i="52"/>
  <c r="E118" i="9"/>
  <c r="E4" i="52" s="1"/>
  <c r="B48" i="72" s="1"/>
  <c r="H107" i="9" l="1"/>
  <c r="M49" i="9" s="1"/>
  <c r="D45" i="9"/>
  <c r="M54" i="9" s="1"/>
  <c r="M48" i="9"/>
  <c r="E14" i="74"/>
  <c r="B5" i="74"/>
  <c r="D5" i="74" s="1"/>
  <c r="D53" i="9"/>
  <c r="H108" i="9"/>
  <c r="D15" i="53" s="1"/>
  <c r="B31" i="72" s="1"/>
  <c r="B20" i="72"/>
  <c r="D6" i="53"/>
  <c r="B22" i="72" s="1"/>
  <c r="C72" i="9" l="1"/>
  <c r="D55" i="9"/>
  <c r="M53" i="9" s="1"/>
  <c r="C78" i="9"/>
  <c r="C73" i="9" s="1"/>
  <c r="D13" i="53"/>
  <c r="B30" i="72" s="1"/>
  <c r="D122" i="9"/>
  <c r="G14" i="74" s="1"/>
  <c r="B6" i="74" s="1"/>
  <c r="C85" i="9"/>
  <c r="C64" i="9"/>
  <c r="C63" i="9" s="1"/>
  <c r="C67" i="9" s="1"/>
  <c r="C68" i="9" s="1"/>
  <c r="D54" i="9" s="1"/>
  <c r="D48" i="9" s="1"/>
  <c r="M52" i="9" s="1"/>
  <c r="C93" i="9"/>
  <c r="C86" i="9" s="1"/>
  <c r="D52" i="9"/>
  <c r="C5" i="74"/>
  <c r="D8" i="52"/>
  <c r="L65" i="9"/>
  <c r="M65" i="9" s="1"/>
  <c r="L67" i="9"/>
  <c r="M67" i="9" s="1"/>
  <c r="L64" i="9"/>
  <c r="M64" i="9" s="1"/>
  <c r="L68" i="9"/>
  <c r="M68" i="9" s="1"/>
  <c r="L66" i="9"/>
  <c r="M66" i="9" s="1"/>
  <c r="L63" i="9"/>
  <c r="M63" i="9" s="1"/>
  <c r="D59" i="9"/>
  <c r="M55" i="9" s="1"/>
  <c r="C79" i="9"/>
  <c r="D14" i="53"/>
  <c r="B32" i="72" s="1"/>
  <c r="C95" i="9" l="1"/>
  <c r="C96" i="9" s="1"/>
  <c r="E96" i="9" s="1"/>
  <c r="E97" i="9" s="1"/>
  <c r="D123" i="9"/>
  <c r="D9" i="52" s="1"/>
  <c r="C80" i="9"/>
  <c r="E80" i="9" s="1"/>
  <c r="E81" i="9" s="1"/>
  <c r="M69" i="9"/>
  <c r="N69" i="9" s="1"/>
  <c r="D6" i="74"/>
  <c r="C6" i="74"/>
  <c r="C97" i="9" l="1"/>
  <c r="C81" i="9"/>
  <c r="D58" i="9" l="1"/>
  <c r="D56" i="9" s="1"/>
  <c r="N57" i="9" s="1"/>
  <c r="P57" i="9" s="1"/>
  <c r="N58" i="9" l="1"/>
  <c r="N59" i="9"/>
  <c r="N61" i="9" s="1"/>
  <c r="H112" i="9" s="1"/>
  <c r="D21" i="53" s="1"/>
  <c r="B39" i="72" s="1"/>
  <c r="H111" i="9"/>
  <c r="D19" i="53" s="1"/>
  <c r="N60" i="9" l="1"/>
  <c r="D126" i="9"/>
  <c r="D12" i="52" s="1"/>
  <c r="B38" i="72"/>
  <c r="D20" i="53"/>
  <c r="B40" i="72" s="1"/>
  <c r="I14" i="74" l="1"/>
  <c r="B8" i="74" s="1"/>
  <c r="C8" i="74" s="1"/>
  <c r="D127" i="9"/>
  <c r="D13" i="52"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<sst xmlns="http://schemas.openxmlformats.org/spreadsheetml/2006/main" count="7479" uniqueCount="3173">
  <si>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</si>
  <si>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</si>
  <si>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</si>
  <si>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</si>
  <si>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</si>
  <si>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</si>
  <si>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</si>
  <si>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</si>
  <si>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</si>
  <si>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</si>
  <si>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</si>
  <si>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</si>
  <si>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</si>
  <si>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</si>
  <si>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</si>
  <si>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</si>
  <si>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</si>
  <si>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</si>
  <si>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</si>
  <si>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</si>
  <si>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</si>
  <si>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</si>
  <si>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</si>
  <si>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</si>
  <si>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</si>
  <si>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</si>
  <si>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</si>
  <si>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</si>
  <si>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</si>
  <si>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</si>
  <si>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</si>
  <si>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</si>
  <si>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</si>
  <si>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</si>
  <si>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</si>
  <si>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</si>
  <si>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</si>
  <si>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</si>
  <si>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</si>
  <si>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</si>
  <si>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</si>
  <si>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</si>
  <si>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</si>
  <si>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</si>
  <si>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</si>
  <si>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</si>
  <si>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</si>
  <si>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</si>
  <si>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</si>
  <si>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</si>
  <si>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</si>
  <si>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</si>
  <si>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</si>
  <si>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</si>
  <si>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</si>
  <si>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</si>
  <si>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</si>
  <si>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</si>
  <si>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</si>
  <si>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</si>
  <si>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</si>
  <si>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</si>
  <si>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</si>
  <si>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</si>
  <si>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</si>
  <si>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</si>
  <si>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</si>
  <si>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</si>
  <si>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</si>
  <si>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</si>
  <si>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</si>
  <si>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</si>
  <si>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</si>
  <si>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</si>
  <si>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</si>
  <si>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</si>
  <si>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</si>
  <si>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</si>
  <si>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</si>
  <si>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</si>
  <si>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</si>
  <si>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</si>
  <si>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</si>
  <si>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</si>
  <si>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</si>
  <si>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</si>
  <si>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</si>
  <si>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</si>
  <si>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</si>
  <si>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</si>
  <si>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</si>
  <si>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</si>
  <si>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</si>
  <si>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</si>
  <si>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</si>
  <si>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</si>
  <si>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</si>
  <si>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</si>
  <si>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</si>
  <si>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</si>
  <si>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</si>
  <si>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</si>
  <si>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</si>
  <si>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</si>
  <si>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</si>
  <si>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</si>
  <si>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</si>
  <si>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</si>
  <si>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</si>
  <si>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</si>
  <si>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</si>
  <si>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</si>
  <si>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</si>
  <si>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</si>
  <si>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</si>
  <si>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</si>
  <si>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</si>
  <si>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</si>
  <si>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</si>
  <si>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</si>
  <si>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</si>
  <si>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</si>
  <si>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</si>
  <si>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</si>
  <si>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</si>
  <si>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</si>
  <si>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</si>
  <si>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</si>
  <si>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</si>
  <si>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</si>
  <si>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</si>
  <si>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</si>
  <si>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</si>
  <si>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</si>
  <si>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</si>
  <si>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</si>
  <si>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</si>
  <si>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</si>
  <si>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</si>
  <si>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</si>
  <si>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</si>
  <si>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</si>
  <si>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</si>
  <si>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</si>
  <si>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</si>
  <si>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</si>
  <si>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</si>
  <si>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</si>
  <si>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</si>
  <si>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</si>
  <si>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</si>
  <si>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</si>
  <si>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</si>
  <si>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</si>
  <si>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</si>
  <si>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</si>
  <si>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</si>
  <si>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</si>
  <si>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</si>
  <si>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</si>
  <si>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</si>
  <si>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</si>
  <si>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</si>
  <si>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</si>
  <si>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</si>
  <si>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</si>
  <si>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</si>
  <si>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</si>
  <si>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</si>
  <si>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</si>
  <si>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</si>
  <si>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</si>
  <si>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</si>
  <si>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</si>
  <si>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</si>
  <si>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</si>
  <si>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</si>
  <si>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</si>
  <si>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</si>
  <si>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</si>
  <si>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</si>
  <si>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</si>
  <si>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</si>
  <si>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</si>
  <si>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</si>
  <si>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</si>
  <si>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</si>
  <si>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</si>
  <si>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</si>
  <si>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</si>
  <si>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</si>
  <si>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</si>
  <si>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</si>
  <si>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</si>
  <si>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</si>
  <si>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</si>
  <si>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</si>
  <si>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</si>
  <si>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</si>
  <si>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</si>
  <si>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</si>
  <si>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</si>
  <si>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</si>
  <si>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</si>
  <si>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</si>
  <si>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</si>
  <si>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</si>
  <si>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</si>
  <si>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</si>
  <si>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</si>
  <si>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</si>
  <si>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</si>
  <si>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</si>
  <si>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</si>
  <si>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</si>
  <si>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</si>
  <si>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</si>
  <si>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</si>
  <si>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</si>
  <si>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</si>
  <si>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</si>
  <si>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</si>
  <si>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</si>
  <si>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</si>
  <si>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</si>
  <si>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</si>
  <si>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</si>
  <si>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</si>
  <si>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</si>
  <si>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</si>
  <si>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</si>
  <si>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</si>
  <si>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</si>
  <si>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</si>
  <si>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</si>
  <si>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</si>
  <si>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</si>
  <si>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</si>
  <si>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</si>
  <si>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</si>
  <si>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</si>
  <si>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</si>
  <si>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</si>
  <si>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</si>
  <si>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</si>
  <si>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</si>
  <si>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</si>
  <si>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</si>
  <si>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</si>
  <si>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</si>
  <si>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</si>
  <si>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</si>
  <si>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</si>
  <si>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</si>
  <si>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</si>
  <si>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</si>
  <si>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</si>
  <si>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</si>
  <si>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</si>
  <si>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</si>
  <si>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</si>
  <si>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</si>
  <si>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</si>
  <si>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</si>
  <si>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</si>
  <si>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</si>
  <si>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</si>
  <si>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</si>
  <si>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</si>
  <si>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</si>
  <si>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</si>
  <si>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</si>
  <si>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</si>
  <si>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</si>
  <si>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</si>
  <si>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</si>
  <si>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</si>
  <si>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</si>
  <si>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</si>
  <si>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</si>
  <si>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</si>
  <si>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</si>
  <si>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</si>
  <si>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</si>
  <si>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</si>
  <si>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</si>
  <si>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</si>
  <si>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</si>
  <si>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</si>
  <si>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</si>
  <si>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</si>
  <si>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</si>
  <si>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</si>
  <si>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</si>
  <si>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</si>
  <si>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</si>
  <si>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</si>
  <si>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</si>
  <si>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</si>
  <si>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</si>
  <si>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</si>
  <si>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</si>
  <si>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</si>
  <si>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</si>
  <si>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</si>
  <si>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</si>
  <si>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</si>
  <si>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</si>
  <si>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</si>
  <si>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</si>
  <si>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</si>
  <si>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</si>
  <si>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</si>
  <si>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</si>
  <si>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</si>
  <si>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</si>
  <si>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</si>
  <si>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</si>
  <si>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</si>
  <si>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</si>
  <si>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</si>
  <si>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</si>
  <si>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</si>
  <si>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</si>
  <si>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</si>
  <si>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</si>
  <si>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</si>
  <si>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</si>
  <si>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</si>
  <si>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</si>
  <si>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</si>
  <si>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</si>
  <si>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</si>
  <si>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</si>
  <si>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</si>
  <si>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</si>
  <si>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</si>
  <si>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</si>
  <si>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</si>
  <si>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</si>
  <si>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</si>
  <si>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</si>
  <si>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</si>
  <si>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</si>
  <si>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</si>
  <si>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</si>
  <si>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</si>
  <si>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</si>
  <si>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</si>
  <si>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</si>
  <si>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</si>
  <si>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</si>
  <si>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</si>
  <si>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</si>
  <si>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</si>
  <si>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</si>
  <si>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</si>
  <si>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</si>
  <si>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</si>
  <si>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</si>
  <si>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</si>
  <si>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</si>
  <si>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</si>
  <si>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</si>
  <si>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</si>
  <si>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</si>
  <si>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</si>
  <si>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</si>
  <si>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</si>
  <si>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</si>
  <si>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</si>
  <si>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</si>
  <si>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</si>
  <si>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</si>
  <si>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</si>
  <si>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</si>
  <si>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</si>
  <si>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</si>
  <si>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</si>
  <si>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</si>
  <si>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</si>
  <si>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</si>
  <si>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</si>
  <si>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</si>
  <si>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</si>
  <si>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</si>
  <si>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</si>
  <si>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</si>
  <si>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</si>
  <si>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</si>
  <si>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</si>
  <si>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</si>
  <si>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</si>
  <si>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</si>
  <si>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</si>
  <si>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</si>
  <si>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</si>
  <si>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</si>
  <si>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</si>
  <si>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</si>
  <si>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</si>
  <si>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</si>
  <si>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</si>
  <si>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</si>
  <si>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</si>
  <si>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</si>
  <si>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</si>
  <si>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</si>
  <si>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</si>
  <si>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</si>
  <si>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</si>
  <si>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</si>
  <si>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</si>
  <si>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</si>
  <si>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</si>
  <si>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</si>
  <si>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</si>
  <si>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</si>
  <si>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</si>
  <si>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</si>
  <si>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</si>
  <si>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</si>
  <si>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</si>
  <si>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</si>
  <si>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</si>
  <si>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</si>
  <si>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</si>
  <si>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</si>
  <si>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</si>
  <si>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</si>
  <si>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</si>
  <si>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</si>
  <si>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</si>
  <si>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</si>
  <si>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</si>
  <si>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</si>
  <si>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</si>
  <si>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</si>
  <si>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</si>
  <si>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</si>
  <si>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</si>
  <si>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</si>
  <si>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</si>
  <si>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</si>
  <si>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</si>
  <si>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</si>
  <si>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</si>
  <si>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</si>
  <si>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</si>
  <si>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</si>
  <si>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</si>
  <si>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</si>
  <si>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</si>
  <si>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</si>
  <si>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</si>
  <si>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</si>
  <si>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</si>
  <si>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</si>
  <si>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</si>
  <si>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</si>
  <si>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</si>
  <si>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</si>
  <si>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</si>
  <si>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</si>
  <si>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</si>
  <si>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</si>
  <si>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</si>
  <si>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</si>
  <si>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</si>
  <si>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</si>
  <si>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</si>
  <si>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</si>
  <si>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</si>
  <si>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</si>
  <si>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</si>
  <si>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</si>
  <si>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</si>
  <si>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</si>
  <si>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</si>
  <si>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</si>
  <si>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</si>
  <si>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</si>
  <si>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</si>
  <si>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</si>
  <si>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</si>
  <si>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</si>
  <si>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</si>
  <si>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</si>
  <si>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</si>
  <si>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</si>
  <si>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</si>
  <si>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</si>
  <si>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</si>
  <si>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</si>
  <si>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</si>
  <si>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</si>
  <si>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</si>
  <si>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</si>
  <si>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</si>
  <si>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</si>
  <si>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</si>
  <si>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</si>
  <si>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</si>
  <si>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</si>
  <si>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</si>
  <si>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</si>
  <si>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</si>
  <si>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</si>
  <si>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</si>
  <si>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</si>
  <si>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</si>
  <si>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</si>
  <si>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</si>
  <si>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</si>
  <si>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</si>
  <si>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</si>
  <si>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</si>
  <si>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</si>
  <si>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</si>
  <si>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</si>
  <si>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</si>
  <si>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</si>
  <si>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</si>
  <si>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</si>
  <si>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</si>
  <si>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</si>
  <si>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</si>
  <si>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</si>
  <si>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</si>
  <si>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</si>
  <si>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</si>
  <si>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</si>
  <si>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</si>
  <si>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</si>
  <si>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</si>
  <si>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</si>
  <si>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</si>
  <si>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</si>
  <si>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</si>
  <si>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</si>
  <si>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</si>
  <si>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</si>
  <si>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</si>
  <si>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</si>
  <si>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</si>
  <si>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</si>
  <si>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</si>
  <si>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</si>
  <si>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</si>
  <si>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</si>
  <si>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</si>
  <si>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</si>
  <si>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</si>
  <si>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</si>
  <si>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</si>
  <si>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</si>
  <si>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</si>
  <si>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</si>
  <si>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</si>
  <si>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</si>
  <si>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</si>
  <si>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</si>
  <si>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</si>
  <si>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</si>
  <si>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</si>
  <si>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</si>
  <si>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</si>
  <si>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</si>
  <si>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</si>
  <si>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</si>
  <si>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</si>
  <si>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</si>
  <si>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</si>
  <si>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</si>
  <si>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</si>
  <si>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</si>
  <si>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</si>
  <si>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</si>
  <si>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</si>
  <si>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</si>
  <si>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</si>
  <si>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</si>
  <si>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</si>
  <si>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</si>
  <si>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</si>
  <si>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</si>
  <si>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</si>
  <si>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</si>
  <si>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</si>
  <si>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</si>
  <si>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</si>
  <si>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</si>
  <si>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</si>
  <si>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</si>
  <si>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</si>
  <si>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</si>
  <si>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</si>
  <si>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</si>
  <si>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</si>
  <si>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</si>
  <si>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</si>
  <si>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</si>
  <si>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</si>
  <si>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</si>
  <si>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</si>
  <si>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</si>
  <si>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</si>
  <si>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</si>
  <si>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</si>
  <si>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</si>
  <si>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</si>
  <si>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</si>
  <si>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</si>
  <si>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</si>
  <si>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</si>
  <si>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</si>
  <si>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</si>
  <si>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</si>
  <si>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</si>
  <si>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</si>
  <si>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</si>
  <si>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</si>
  <si>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</si>
  <si>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</si>
  <si>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</si>
  <si>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</si>
  <si>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</si>
  <si>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</si>
  <si>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</si>
  <si>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</si>
  <si>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</si>
  <si>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</si>
  <si>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</si>
  <si>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</si>
  <si>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</si>
  <si>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</si>
  <si>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</si>
  <si>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</si>
  <si>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</si>
  <si>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</si>
  <si>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</si>
  <si>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</si>
  <si>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</si>
  <si>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</si>
  <si>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</si>
  <si>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</si>
  <si>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</si>
  <si>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</si>
  <si>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</si>
  <si>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</si>
  <si>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</si>
  <si>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</si>
  <si>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</si>
  <si>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</si>
  <si>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</si>
  <si>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</si>
  <si>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</si>
  <si>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</si>
  <si>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</si>
  <si>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</si>
  <si>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</si>
  <si>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</si>
  <si>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</si>
  <si>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</si>
  <si>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</si>
  <si>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</si>
  <si>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</si>
  <si>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</si>
  <si>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</si>
  <si>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</si>
  <si>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</si>
  <si>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</si>
  <si>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</si>
  <si>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</si>
  <si>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</si>
  <si>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</si>
  <si>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</si>
  <si>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</si>
  <si>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</si>
  <si>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</si>
  <si>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</si>
  <si>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</si>
  <si>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</si>
  <si>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</si>
  <si>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</si>
  <si>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</si>
  <si>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</si>
  <si>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</si>
  <si>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</si>
  <si>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</si>
  <si>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</si>
  <si>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</si>
  <si>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</si>
  <si>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</si>
  <si>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</si>
  <si>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</si>
  <si>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</si>
  <si>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</si>
  <si>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</si>
  <si>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</si>
  <si>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</si>
  <si>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</si>
  <si>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</si>
  <si>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</si>
  <si>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</si>
  <si>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</si>
  <si>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</si>
  <si>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</si>
  <si>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</si>
  <si>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</si>
  <si>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</si>
  <si>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</si>
  <si>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</si>
  <si>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</si>
  <si>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</si>
  <si>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</si>
  <si>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</si>
  <si>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</si>
  <si>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</si>
  <si>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</si>
  <si>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</si>
  <si>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</si>
  <si>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</si>
  <si>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</si>
  <si>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</si>
  <si>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</si>
  <si>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</si>
  <si>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</si>
  <si>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</si>
  <si>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</si>
  <si>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</si>
  <si>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</si>
  <si>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</si>
  <si>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</si>
  <si>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</si>
  <si>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</si>
  <si>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</si>
  <si>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</si>
  <si>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</si>
  <si>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</si>
  <si>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</si>
  <si>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</si>
  <si>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</si>
  <si>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</si>
  <si>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</si>
  <si>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</si>
  <si>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</si>
  <si>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</si>
  <si>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</si>
  <si>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</si>
  <si>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</si>
  <si>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</si>
  <si>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</si>
  <si>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</si>
  <si>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</si>
  <si>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</si>
  <si>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</si>
  <si>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</si>
  <si>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</si>
  <si>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</si>
  <si>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</si>
  <si>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</si>
  <si>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</si>
  <si>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</si>
  <si>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</si>
  <si>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</si>
  <si>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</si>
  <si>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</si>
  <si>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</si>
  <si>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</si>
  <si>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</si>
  <si>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</si>
  <si>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</si>
  <si>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</si>
  <si>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</si>
  <si>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</si>
  <si>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</si>
  <si>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</si>
  <si>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</si>
  <si>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</si>
  <si>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</si>
  <si>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</si>
  <si>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</si>
  <si>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</si>
  <si>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</si>
  <si>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</si>
  <si>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</si>
  <si>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</si>
  <si>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</si>
  <si>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</si>
  <si>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</si>
  <si>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</si>
  <si>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</si>
  <si>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</si>
  <si>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</si>
  <si>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</si>
  <si>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</si>
  <si>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</si>
  <si>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</si>
  <si>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</si>
  <si>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</si>
  <si>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</si>
  <si>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</si>
  <si>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</si>
  <si>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</si>
  <si>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</si>
  <si>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</si>
  <si>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</si>
  <si>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</si>
  <si>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</si>
  <si>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</si>
  <si>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</si>
  <si>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</si>
  <si>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</si>
  <si>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</si>
  <si>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</si>
  <si>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</si>
  <si>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</si>
  <si>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</si>
  <si>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</si>
  <si>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</si>
  <si>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</si>
  <si>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</si>
  <si>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</si>
  <si>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</si>
  <si>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</si>
  <si>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</si>
  <si>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</si>
  <si>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</si>
  <si>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</si>
  <si>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</si>
  <si>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</si>
  <si>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</si>
  <si>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</si>
  <si>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</si>
  <si>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</si>
  <si>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</si>
  <si>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</si>
  <si>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</si>
  <si>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</si>
  <si>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</si>
  <si>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</si>
  <si>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</si>
  <si>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</si>
  <si>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</si>
  <si>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</si>
  <si>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</si>
  <si>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</si>
  <si>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</si>
  <si>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</si>
  <si>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</si>
  <si>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</si>
  <si>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</si>
  <si>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</si>
  <si>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</si>
  <si>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</si>
  <si>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</si>
  <si>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</si>
  <si>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</si>
  <si>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</si>
  <si>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</si>
  <si>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</si>
  <si>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</si>
  <si>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</si>
  <si>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</si>
  <si>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</si>
  <si>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</si>
  <si>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</si>
  <si>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</si>
  <si>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</si>
  <si>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</si>
  <si>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</si>
  <si>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</si>
  <si>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</si>
  <si>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</si>
  <si>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</si>
  <si>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</si>
  <si>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</si>
  <si>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</si>
  <si>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</si>
  <si>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</si>
  <si>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</si>
  <si>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</si>
  <si>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</si>
  <si>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</si>
  <si>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</si>
  <si>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</si>
  <si>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</si>
  <si>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</si>
  <si>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</si>
  <si>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</si>
  <si>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</si>
  <si>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</si>
  <si>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</si>
  <si>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</si>
  <si>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</si>
  <si>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</si>
  <si>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</si>
  <si>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</si>
  <si>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</si>
  <si>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</si>
  <si>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</si>
  <si>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</si>
  <si>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</si>
  <si>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</si>
  <si>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</si>
  <si>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</si>
  <si>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</si>
  <si>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</si>
  <si>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</si>
  <si>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</si>
  <si>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</si>
  <si>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</si>
  <si>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</si>
  <si>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</si>
  <si>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</si>
  <si>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</si>
  <si>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</si>
  <si>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</si>
  <si>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</si>
  <si>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</si>
  <si>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</si>
  <si>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</si>
  <si>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</si>
  <si>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</si>
  <si>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</si>
  <si>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</si>
  <si>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</si>
  <si>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</si>
  <si>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</si>
  <si>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</si>
  <si>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</si>
  <si>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</si>
  <si>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</si>
  <si>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</si>
  <si>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</si>
  <si>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</si>
  <si>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</si>
  <si>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</si>
  <si>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</si>
  <si>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</si>
  <si>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</si>
  <si>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</si>
  <si>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</si>
  <si>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</si>
  <si>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</si>
  <si>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</si>
  <si>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</si>
  <si>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</si>
  <si>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</si>
  <si>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</si>
  <si>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</si>
  <si>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</si>
  <si>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</si>
  <si>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</si>
  <si>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</si>
  <si>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</si>
  <si>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</si>
  <si>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</si>
  <si>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</si>
  <si>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</si>
  <si>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</si>
  <si>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</si>
  <si>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</si>
  <si>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</si>
  <si>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</si>
  <si>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</si>
  <si>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</si>
  <si>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</si>
  <si>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</si>
  <si>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</si>
  <si>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</si>
  <si>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</si>
  <si>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</si>
  <si>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</si>
  <si>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</si>
  <si>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</si>
  <si>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</si>
  <si>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</si>
  <si>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</si>
  <si>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</si>
  <si>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</si>
  <si>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</si>
  <si>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</si>
  <si>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</si>
  <si>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</si>
  <si>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</si>
  <si>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</si>
  <si>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</si>
  <si>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</si>
  <si>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</si>
  <si>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</si>
  <si>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</si>
  <si>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</si>
  <si>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</si>
  <si>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</si>
  <si>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</si>
  <si>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</si>
  <si>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</si>
  <si>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</si>
  <si>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</si>
  <si>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</si>
  <si>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</si>
  <si>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</si>
  <si>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</si>
  <si>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</si>
  <si>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</si>
  <si>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</si>
  <si>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</si>
  <si>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</si>
  <si>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</si>
  <si>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</si>
  <si>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</si>
  <si>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</si>
  <si>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</si>
  <si>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</si>
  <si>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</si>
  <si>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</si>
  <si>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</si>
  <si>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</si>
  <si>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</si>
  <si>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</si>
  <si>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</si>
  <si>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</si>
  <si>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</si>
  <si>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</si>
  <si>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</si>
  <si>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</si>
  <si>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</si>
  <si>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</si>
  <si>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</si>
  <si>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</si>
  <si>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</si>
  <si>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</si>
  <si>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</si>
  <si>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</si>
  <si>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</si>
  <si>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</si>
  <si>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</si>
  <si>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</si>
  <si>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</si>
  <si>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</si>
  <si>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</si>
  <si>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</si>
  <si>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</si>
  <si>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</si>
  <si>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</si>
  <si>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</si>
  <si>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</si>
  <si>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</si>
  <si>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</si>
  <si>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</si>
  <si>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</si>
  <si>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</si>
  <si>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</si>
  <si>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</si>
  <si>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</si>
  <si>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</si>
  <si>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</si>
  <si>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</si>
  <si>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</si>
  <si>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</si>
  <si>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</si>
  <si>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</si>
  <si>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</si>
  <si>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</si>
  <si>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</si>
  <si>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</si>
  <si>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</si>
  <si>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</si>
  <si>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</si>
  <si>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</si>
  <si>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</si>
  <si>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</si>
  <si>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</si>
  <si>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</si>
  <si>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</si>
  <si>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</si>
  <si>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</si>
  <si>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</si>
  <si>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</si>
  <si>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</si>
  <si>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</si>
  <si>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</si>
  <si>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</si>
  <si>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</si>
  <si>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</si>
  <si>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</si>
  <si>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</si>
  <si>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</si>
  <si>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</si>
  <si>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</si>
  <si>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</si>
  <si>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</si>
  <si>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</si>
  <si>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</si>
  <si>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</si>
  <si>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</si>
  <si>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</si>
  <si>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</si>
  <si>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</si>
  <si>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</si>
  <si>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</si>
  <si>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</si>
  <si>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</si>
  <si>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</si>
  <si>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</si>
  <si>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</si>
  <si>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</si>
  <si>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</si>
  <si>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</si>
  <si>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</si>
  <si>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</si>
  <si>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</si>
  <si>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</si>
  <si>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</si>
  <si>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</si>
  <si>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</si>
  <si>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</si>
  <si>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</si>
  <si>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</si>
  <si>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</si>
  <si>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</si>
  <si>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</si>
  <si>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</si>
  <si>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</si>
  <si>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</si>
  <si>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</si>
  <si>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</si>
  <si>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</si>
  <si>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</si>
  <si>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</si>
  <si>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</si>
  <si>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</si>
  <si>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</si>
  <si>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</si>
  <si>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</si>
  <si>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</si>
  <si>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</si>
  <si>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</si>
  <si>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</si>
  <si>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</si>
  <si>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</si>
  <si>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</si>
  <si>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</si>
  <si>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</si>
  <si>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</si>
  <si>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</si>
  <si>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</si>
  <si>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</si>
  <si>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</si>
  <si>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</si>
  <si>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</si>
  <si>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</si>
  <si>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</si>
  <si>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</si>
  <si>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</si>
  <si>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</si>
  <si>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</si>
  <si>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</si>
  <si>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</si>
  <si>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</si>
  <si>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</si>
  <si>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</si>
  <si>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</si>
  <si>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</si>
  <si>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</si>
  <si>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</si>
  <si>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</si>
  <si>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</si>
  <si>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</si>
  <si>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</si>
  <si>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</si>
  <si>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</si>
  <si>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</si>
  <si>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</si>
  <si>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</si>
  <si>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</si>
  <si>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</si>
  <si>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</si>
  <si>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</si>
  <si>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</si>
  <si>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</si>
  <si>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</si>
  <si>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</si>
  <si>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</si>
  <si>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</si>
  <si>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</si>
  <si>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</si>
  <si>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</si>
  <si>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</si>
  <si>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</si>
  <si>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</si>
  <si>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</si>
  <si>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</si>
  <si>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</si>
  <si>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</si>
  <si>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</si>
  <si>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</si>
  <si>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</si>
  <si>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</si>
  <si>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</si>
  <si>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</si>
  <si>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</si>
  <si>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</si>
  <si>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</si>
  <si>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</si>
  <si>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</si>
  <si>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</si>
  <si>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</si>
  <si>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</si>
  <si>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</si>
  <si>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</si>
  <si>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</si>
  <si>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</si>
  <si>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</si>
  <si>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</si>
  <si>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</si>
  <si>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</si>
  <si>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</si>
  <si>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</si>
  <si>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</si>
  <si>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</si>
  <si>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</si>
  <si>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</si>
  <si>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</si>
  <si>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</si>
  <si>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</si>
  <si>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</si>
  <si>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</si>
  <si>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</si>
  <si>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</si>
  <si>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</si>
  <si>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</si>
  <si>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</si>
  <si>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</si>
  <si>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</si>
  <si>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</si>
  <si>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</si>
  <si>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</si>
  <si>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</si>
  <si>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</si>
  <si>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</si>
  <si>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</si>
  <si>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</si>
  <si>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</si>
  <si>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</si>
  <si>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</si>
  <si>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</si>
  <si>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</si>
  <si>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</si>
  <si>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</si>
  <si>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</si>
  <si>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</si>
  <si>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</si>
  <si>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</si>
  <si>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</si>
  <si>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</si>
  <si>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</si>
  <si>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</si>
  <si>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</si>
  <si>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</si>
  <si>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</si>
  <si>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</si>
  <si>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</si>
  <si>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</si>
  <si>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</si>
  <si>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</si>
  <si>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</si>
  <si>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</si>
  <si>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</si>
  <si>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</si>
  <si>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</si>
  <si>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</si>
  <si>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</si>
  <si>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</si>
  <si>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</si>
  <si>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</si>
  <si>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</si>
  <si>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</si>
  <si>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</si>
  <si>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</si>
  <si>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</si>
  <si>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</si>
  <si>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</si>
  <si>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</si>
  <si>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</si>
  <si>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</si>
  <si>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</si>
  <si>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</si>
  <si>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</si>
  <si>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</si>
  <si>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</si>
  <si>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</si>
  <si>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</si>
  <si>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</si>
  <si>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</si>
  <si>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</si>
  <si>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</si>
  <si>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</si>
  <si>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</si>
  <si>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</si>
  <si>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</si>
  <si>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</si>
  <si>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</si>
  <si>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</si>
  <si>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</si>
  <si>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</si>
  <si>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</si>
  <si>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</si>
  <si>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</si>
  <si>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</si>
  <si>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</si>
  <si>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</si>
  <si>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</si>
  <si>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</si>
  <si>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</si>
  <si>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</si>
  <si>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</si>
  <si>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</si>
  <si>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</si>
  <si>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</si>
  <si>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</si>
  <si>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</si>
  <si>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</si>
  <si>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</si>
  <si>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</si>
  <si>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</si>
  <si>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</si>
  <si>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</si>
  <si>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</si>
  <si>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</si>
  <si>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</si>
  <si>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</si>
  <si>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</si>
  <si>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</si>
  <si>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</si>
  <si>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</si>
  <si>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</si>
  <si>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</si>
  <si>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</si>
  <si>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</si>
  <si>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</si>
  <si>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</si>
  <si>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</si>
  <si>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</si>
  <si>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</si>
  <si>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</si>
  <si>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</si>
  <si>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</si>
  <si>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</si>
  <si>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</si>
  <si>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</si>
  <si>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</si>
  <si>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</si>
  <si>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</si>
  <si>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</si>
  <si>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</si>
  <si>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</si>
  <si>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</si>
  <si>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</si>
  <si>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</si>
  <si>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</si>
  <si>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</si>
  <si>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</si>
  <si>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</si>
  <si>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</si>
  <si>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</si>
  <si>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</si>
  <si>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</si>
  <si>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</si>
  <si>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</si>
  <si>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</si>
  <si>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</si>
  <si>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</si>
  <si>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</si>
  <si>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</si>
  <si>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</si>
  <si>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</si>
  <si>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</si>
  <si>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</si>
  <si>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</si>
  <si>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</si>
  <si>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</si>
  <si>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</si>
  <si>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</si>
  <si>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</si>
  <si>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</si>
  <si>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</si>
  <si>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</si>
  <si>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</si>
  <si>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</si>
  <si>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</si>
  <si>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</si>
  <si>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</si>
  <si>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</si>
  <si>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</si>
  <si>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</si>
  <si>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</si>
  <si>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</si>
  <si>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</si>
  <si>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</si>
  <si>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</si>
  <si>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</si>
  <si>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</si>
  <si>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</si>
  <si>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</si>
  <si>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</si>
  <si>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</si>
  <si>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</si>
  <si>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</si>
  <si>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</si>
  <si>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</si>
  <si>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</si>
  <si>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</si>
  <si>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</si>
  <si>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</si>
  <si>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</si>
  <si>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</si>
  <si>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</si>
  <si>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</si>
  <si>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</si>
  <si>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</si>
  <si>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</si>
  <si>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</si>
  <si>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</si>
  <si>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</si>
  <si>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</si>
  <si>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</si>
  <si>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</si>
  <si>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</si>
  <si>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</si>
  <si>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</si>
  <si>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</si>
  <si>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</si>
  <si>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</si>
  <si>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</si>
  <si>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</si>
  <si>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</si>
  <si>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</si>
  <si>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</si>
  <si>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</si>
  <si>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</si>
  <si>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</si>
  <si>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</si>
  <si>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</si>
  <si>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</si>
  <si>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</si>
  <si>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</si>
  <si>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</si>
  <si>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</si>
  <si>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</si>
  <si>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</si>
  <si>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</si>
  <si>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</si>
  <si>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</si>
  <si>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</si>
  <si>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</si>
  <si>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</si>
  <si>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</si>
  <si>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</si>
  <si>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</si>
  <si>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</si>
  <si>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</si>
  <si>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</si>
  <si>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</si>
  <si>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</si>
  <si>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</si>
  <si>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</si>
  <si>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</si>
  <si>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</si>
  <si>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</si>
  <si>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</si>
  <si>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</si>
  <si>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</si>
  <si>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</si>
  <si>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</si>
  <si>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</si>
  <si>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</si>
  <si>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</si>
  <si>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</si>
  <si>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</si>
  <si>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</si>
  <si>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</si>
  <si>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</si>
  <si>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</si>
  <si>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</si>
  <si>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</si>
  <si>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</si>
  <si>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</si>
  <si>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</si>
  <si>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</si>
  <si>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</si>
  <si>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</si>
  <si>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</si>
  <si>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</si>
  <si>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</si>
  <si>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</si>
  <si>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</si>
  <si>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</si>
  <si>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</si>
  <si>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</si>
  <si>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</si>
  <si>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</si>
  <si>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</si>
  <si>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</si>
  <si>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</si>
  <si>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</si>
  <si>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</si>
  <si>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</si>
  <si>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</si>
  <si>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</si>
  <si>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</si>
  <si>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</si>
  <si>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</si>
  <si>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</si>
  <si>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</si>
  <si>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</si>
  <si>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</si>
  <si>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</si>
  <si>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</si>
  <si>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</si>
  <si>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</si>
  <si>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</si>
  <si>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</si>
  <si>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</si>
  <si>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</si>
  <si>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</si>
  <si>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</si>
  <si>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</si>
  <si>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</si>
  <si>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</si>
  <si>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</si>
  <si>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</si>
  <si>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</si>
  <si>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</si>
  <si>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</si>
  <si>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</si>
  <si>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</si>
  <si>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</si>
  <si>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</si>
  <si>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</si>
  <si>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</si>
  <si>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</si>
  <si>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</si>
  <si>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</si>
  <si>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</si>
  <si>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</si>
  <si>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</si>
  <si>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</si>
  <si>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</si>
  <si>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</si>
  <si>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</si>
  <si>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</si>
  <si>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</si>
  <si>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</si>
  <si>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</si>
  <si>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</si>
  <si>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</si>
  <si>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</si>
  <si>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</si>
  <si>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</si>
  <si>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</si>
  <si>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</si>
  <si>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</si>
  <si>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</si>
  <si>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</si>
  <si>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</si>
  <si>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</si>
  <si>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</si>
  <si>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</si>
  <si>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</si>
  <si>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</si>
  <si>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</si>
  <si>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</si>
  <si>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</si>
  <si>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</si>
  <si>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</si>
  <si>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</si>
  <si>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</si>
  <si>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</si>
  <si>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</si>
  <si>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</si>
  <si>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</si>
  <si>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</si>
  <si>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</si>
  <si>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</si>
  <si>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</si>
  <si>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</si>
  <si>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</si>
  <si>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</si>
  <si>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</si>
  <si>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</si>
  <si>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</si>
  <si>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</si>
  <si>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</si>
  <si>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</si>
  <si>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</si>
  <si>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</si>
  <si>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</si>
  <si>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</si>
  <si>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</si>
  <si>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</si>
  <si>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</si>
  <si>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</si>
  <si>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</si>
  <si>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</si>
  <si>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</si>
  <si>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</si>
  <si>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</si>
  <si>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</si>
  <si>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</si>
  <si>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</si>
  <si>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</si>
  <si>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</si>
  <si>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</si>
  <si>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</si>
  <si>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</si>
  <si>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</si>
  <si>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</si>
  <si>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</si>
  <si>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</si>
  <si>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</si>
  <si>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</si>
  <si>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</si>
  <si>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</si>
  <si>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</si>
  <si>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</si>
  <si>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</si>
  <si>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</si>
  <si>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</si>
  <si>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</si>
  <si>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</si>
  <si>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</si>
  <si>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</si>
  <si>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</si>
  <si>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</si>
  <si>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</si>
  <si>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</si>
  <si>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</si>
  <si>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</si>
  <si>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</si>
  <si>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</si>
  <si>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</si>
  <si>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</si>
  <si>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</si>
  <si>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</si>
  <si>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</si>
  <si>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</si>
  <si>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</si>
  <si>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</si>
  <si>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</si>
  <si>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</si>
  <si>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</si>
  <si>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</si>
  <si>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</si>
  <si>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</si>
  <si>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</si>
  <si>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</si>
  <si>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</si>
  <si>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</si>
  <si>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</si>
  <si>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</si>
  <si>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</si>
  <si>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</si>
  <si>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</si>
  <si>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</si>
  <si>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</si>
  <si>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</si>
  <si>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</si>
  <si>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</si>
  <si>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</si>
  <si>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</si>
  <si>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</si>
  <si>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</si>
  <si>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</si>
  <si>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</si>
  <si>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</si>
  <si>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</si>
  <si>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</si>
  <si>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</si>
  <si>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</si>
  <si>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</si>
  <si>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</si>
  <si>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</si>
  <si>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</si>
  <si>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</si>
  <si>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</si>
  <si>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</si>
  <si>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</si>
  <si>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</si>
  <si>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</si>
  <si>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</si>
  <si>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</si>
  <si>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</si>
  <si>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</si>
  <si>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</si>
  <si>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</si>
  <si>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</si>
  <si>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</si>
  <si>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</si>
  <si>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</si>
  <si>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</si>
  <si>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</si>
  <si>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</si>
  <si>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</si>
  <si>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</si>
  <si>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</si>
  <si>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</si>
  <si>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</si>
  <si>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</si>
  <si>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</si>
  <si>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</si>
  <si>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</si>
  <si>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</si>
  <si>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</si>
  <si>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</si>
  <si>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</si>
  <si>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</si>
  <si>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</si>
  <si>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</si>
  <si>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</si>
  <si>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</si>
  <si>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</si>
  <si>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</si>
  <si>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</si>
  <si>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</si>
  <si>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</si>
  <si>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</si>
  <si>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</si>
  <si>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</si>
  <si>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</si>
  <si>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</si>
  <si>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</si>
  <si>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</si>
  <si>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</si>
  <si>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</si>
  <si>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</si>
  <si>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</si>
  <si>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</si>
  <si>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</si>
  <si>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</si>
  <si>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</si>
  <si>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</si>
  <si>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</si>
  <si>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</si>
  <si>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</si>
  <si>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</si>
  <si>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</si>
  <si>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</si>
  <si>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</si>
  <si>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</si>
  <si>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</si>
  <si>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</si>
  <si>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</si>
  <si>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</si>
  <si>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</si>
  <si>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</si>
  <si>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</si>
  <si>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</si>
  <si>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</si>
  <si>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</si>
  <si>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</si>
  <si>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</si>
  <si>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</si>
  <si>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</si>
  <si>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</si>
  <si>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</si>
  <si>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</si>
  <si>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</si>
  <si>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</si>
  <si>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</si>
  <si>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</si>
  <si>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</si>
  <si>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</si>
  <si>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</si>
  <si>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</si>
  <si>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</si>
  <si>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</si>
  <si>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</si>
  <si>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</si>
  <si>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</si>
  <si>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</si>
  <si>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</si>
  <si>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</si>
  <si>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</si>
  <si>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</si>
  <si>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</si>
  <si>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</si>
  <si>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</si>
  <si>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</si>
  <si>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</si>
  <si>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</si>
  <si>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</si>
  <si>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</si>
  <si>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</si>
  <si>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</si>
  <si>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</si>
  <si>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</si>
  <si>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</si>
  <si>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</si>
  <si>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</si>
  <si>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</si>
  <si>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</si>
  <si>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</si>
  <si>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</si>
  <si>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</si>
  <si>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</si>
  <si>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</si>
  <si>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</si>
  <si>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</si>
  <si>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</si>
  <si>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</si>
  <si>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</si>
  <si>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</si>
  <si>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</si>
  <si>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</si>
  <si>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</si>
  <si>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</si>
  <si>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</si>
  <si>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</si>
  <si>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</si>
  <si>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</si>
  <si>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</si>
  <si>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</si>
  <si>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</si>
  <si>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</si>
  <si>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</si>
  <si>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</si>
  <si>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</si>
  <si>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</si>
  <si>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</si>
  <si>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</si>
  <si>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</si>
  <si>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</si>
  <si>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</si>
  <si>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</si>
  <si>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</si>
  <si>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</si>
  <si>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</si>
  <si>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</si>
  <si>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</si>
  <si>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</si>
  <si>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</si>
  <si>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</si>
  <si>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</si>
  <si>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</si>
  <si>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</si>
  <si>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</si>
  <si>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</si>
  <si>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</si>
  <si>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</si>
  <si>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</si>
  <si>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</si>
  <si>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</si>
  <si>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</si>
  <si>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</si>
  <si>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</si>
  <si>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</si>
  <si>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</si>
  <si>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</si>
  <si>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</si>
  <si>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</si>
  <si>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</si>
  <si>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</si>
  <si>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</si>
  <si>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</si>
  <si>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</si>
  <si>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</si>
  <si>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</si>
  <si>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</si>
  <si>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</si>
  <si>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</si>
  <si>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</si>
  <si>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</si>
  <si>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</si>
  <si>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</si>
  <si>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</si>
  <si>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</si>
  <si>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</si>
  <si>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</si>
  <si>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</si>
  <si>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</si>
  <si>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</si>
  <si>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</si>
  <si>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</si>
  <si>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</si>
  <si>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</si>
  <si>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</si>
  <si>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</si>
  <si>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</si>
  <si>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</si>
  <si>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</si>
  <si>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</si>
  <si>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</si>
  <si>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</si>
  <si>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</si>
  <si>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</si>
  <si>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</si>
  <si>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</si>
  <si>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</si>
  <si>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</si>
  <si>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</si>
  <si>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</si>
  <si>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</si>
  <si>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</si>
  <si>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</si>
  <si>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</si>
  <si>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</si>
  <si>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</si>
  <si>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</si>
  <si>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</si>
  <si>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</si>
  <si>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</si>
  <si>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</si>
  <si>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</si>
  <si>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</si>
  <si>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</si>
  <si>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</si>
  <si>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</si>
  <si>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</si>
  <si>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</si>
  <si>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</si>
  <si>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</si>
  <si>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</si>
  <si>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</si>
  <si>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</si>
  <si>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</si>
  <si>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</si>
  <si>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</si>
  <si>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</si>
  <si>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</si>
  <si>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</si>
  <si>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</si>
  <si>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</si>
  <si>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</si>
  <si>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</si>
  <si>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</si>
  <si>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</si>
  <si>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</si>
  <si>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</si>
  <si>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</si>
  <si>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</si>
  <si>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</si>
  <si>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</si>
  <si>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</si>
  <si>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</si>
  <si>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</si>
  <si>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</si>
  <si>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</si>
  <si>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</si>
  <si>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</si>
  <si>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</si>
  <si>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</si>
  <si>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</si>
  <si>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</si>
  <si>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</si>
  <si>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</si>
  <si>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</si>
  <si>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</si>
  <si>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</si>
  <si>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</si>
  <si>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</si>
  <si>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</si>
  <si>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</si>
  <si>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</si>
  <si>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</si>
  <si>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</si>
  <si>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</si>
  <si>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</si>
  <si>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</si>
  <si>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</si>
  <si>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</si>
  <si>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</si>
  <si>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</si>
  <si>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</si>
  <si>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</si>
  <si>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</si>
  <si>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</si>
  <si>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</si>
  <si>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</si>
  <si>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</si>
  <si>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</si>
  <si>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</si>
  <si>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</si>
  <si>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</si>
  <si>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</si>
  <si>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</si>
  <si>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</si>
  <si>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</si>
  <si>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</si>
  <si>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</si>
  <si>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</si>
  <si>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</si>
  <si>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</si>
  <si>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</si>
  <si>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</si>
  <si>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</si>
  <si>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</si>
  <si>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</si>
  <si>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</si>
  <si>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</si>
  <si>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</si>
  <si>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</si>
  <si>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</si>
  <si>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</si>
  <si>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</si>
  <si>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</si>
  <si>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</si>
  <si>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</si>
  <si>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</si>
  <si>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</si>
  <si>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</si>
  <si>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</si>
  <si>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</si>
  <si>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</si>
  <si>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</si>
  <si>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</si>
  <si>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</si>
  <si>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</si>
  <si>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</si>
  <si>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</si>
  <si>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</si>
  <si>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</si>
  <si>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</si>
  <si>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</si>
  <si>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</si>
  <si>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</si>
  <si>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</si>
  <si>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</si>
  <si>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</si>
  <si>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</si>
  <si>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</si>
  <si>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</si>
  <si>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</si>
  <si>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</si>
  <si>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</si>
  <si>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</si>
  <si>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</si>
  <si>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</si>
  <si>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</si>
  <si>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</si>
  <si>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</si>
  <si>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</si>
  <si>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</si>
  <si>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</si>
  <si>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</si>
  <si>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</si>
  <si>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</si>
  <si>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</si>
  <si>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</si>
  <si>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</si>
  <si>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</si>
  <si>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</si>
  <si>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</si>
  <si>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</si>
  <si>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</si>
  <si>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</si>
  <si>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</si>
  <si>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</si>
  <si>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</si>
  <si>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</si>
  <si>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</si>
  <si>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</si>
  <si>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</si>
  <si>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</si>
  <si>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</si>
  <si>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</si>
  <si>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</si>
  <si>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</si>
  <si>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</si>
  <si>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</si>
  <si>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</si>
  <si>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</si>
  <si>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</si>
  <si>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</si>
  <si>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</si>
  <si>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</si>
  <si>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</si>
  <si>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</si>
  <si>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</si>
  <si>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</si>
  <si>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</si>
  <si>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</si>
  <si>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</si>
  <si>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</si>
  <si>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</si>
  <si>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</si>
  <si>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</si>
  <si>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</si>
  <si>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</si>
  <si>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</si>
  <si>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</si>
  <si>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</si>
  <si>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</si>
  <si>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</si>
  <si>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</si>
  <si>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</si>
  <si>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</si>
  <si>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</si>
  <si>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</si>
  <si>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</si>
  <si>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</si>
  <si>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</si>
  <si>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</si>
  <si>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</si>
  <si>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</si>
  <si>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</si>
  <si>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</si>
  <si>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</si>
  <si>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</si>
  <si>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</si>
  <si>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</si>
  <si>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</si>
  <si>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</si>
  <si>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</si>
  <si>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</si>
  <si>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</si>
  <si>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</si>
  <si>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</si>
  <si>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</si>
  <si>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</si>
  <si>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</si>
  <si>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</si>
  <si>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</si>
  <si>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</si>
  <si>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</si>
  <si>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</si>
  <si>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</si>
  <si>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</si>
  <si>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</si>
  <si>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</si>
  <si>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</si>
  <si>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</si>
  <si>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</si>
  <si>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</si>
  <si>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</si>
  <si>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</si>
  <si>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</si>
  <si>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</si>
  <si>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</si>
  <si>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</si>
  <si>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</si>
  <si>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</si>
  <si>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</si>
  <si>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</si>
  <si>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</si>
  <si>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</si>
  <si>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</si>
  <si>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</si>
  <si>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</si>
  <si>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</si>
  <si>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</si>
  <si>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</si>
  <si>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</si>
  <si>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</si>
  <si>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</si>
  <si>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</si>
  <si>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</si>
  <si>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</si>
  <si>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</si>
  <si>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</si>
  <si>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</si>
  <si>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</si>
  <si>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</si>
  <si>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</si>
  <si>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</si>
  <si>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</si>
  <si>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</si>
  <si>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</si>
  <si>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</si>
  <si>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</si>
  <si>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</si>
  <si>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</si>
  <si>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</si>
  <si>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</si>
  <si>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</si>
  <si>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</si>
  <si>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</si>
  <si>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</si>
  <si>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</si>
  <si>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</si>
  <si>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</si>
  <si>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</si>
  <si>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</si>
  <si>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</si>
  <si>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</si>
  <si>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</si>
  <si>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</si>
  <si>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</si>
  <si>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</si>
  <si>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</si>
  <si>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</si>
  <si>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</si>
  <si>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</si>
  <si>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</si>
  <si>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</si>
  <si>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</si>
  <si>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</si>
  <si>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</si>
  <si>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</si>
  <si>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</si>
  <si>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</si>
  <si>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</si>
  <si>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</si>
  <si>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</si>
  <si>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</si>
  <si>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</si>
  <si>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</si>
  <si>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</si>
  <si>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</si>
  <si>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</si>
  <si>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</si>
  <si>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</si>
  <si>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</si>
  <si>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</si>
  <si>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</si>
  <si>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</si>
  <si>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</si>
  <si>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</si>
  <si>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</si>
  <si>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</si>
  <si>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</si>
  <si>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</si>
  <si>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</si>
  <si>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</si>
  <si>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</si>
  <si>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</si>
  <si>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</si>
  <si>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</si>
  <si>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</si>
  <si>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</si>
  <si>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</si>
  <si>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</si>
  <si>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</si>
  <si>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</si>
  <si>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</si>
  <si>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</si>
  <si>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</si>
  <si>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</si>
  <si>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</si>
  <si>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</si>
  <si>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</si>
  <si>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</si>
  <si>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</si>
  <si>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</si>
  <si>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</si>
  <si>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</si>
  <si>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</si>
  <si>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</si>
  <si>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</si>
  <si>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</si>
  <si>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</si>
  <si>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</si>
  <si>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</si>
  <si>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</si>
  <si>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</si>
  <si>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</si>
  <si>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</si>
  <si>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</si>
  <si>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</si>
  <si>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</si>
  <si>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</si>
  <si>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</si>
  <si>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</si>
  <si>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</si>
  <si>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</si>
  <si>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</si>
  <si>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</si>
  <si>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</si>
  <si>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</si>
  <si>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</si>
  <si>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</si>
  <si>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</si>
  <si>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</si>
  <si>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</si>
  <si>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</si>
  <si>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</si>
  <si>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</si>
  <si>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</si>
  <si>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</si>
  <si>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</si>
  <si>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</si>
  <si>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</si>
  <si>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</si>
  <si>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</si>
  <si>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</si>
  <si>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</si>
  <si>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</si>
  <si>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</si>
  <si>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</si>
  <si>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</si>
  <si>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</si>
  <si>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</si>
  <si>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</si>
  <si>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</si>
  <si>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</si>
  <si>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</si>
  <si>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</si>
  <si>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</si>
  <si>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</si>
  <si>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</si>
  <si>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</si>
  <si>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</si>
  <si>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</si>
  <si>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</si>
  <si>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</si>
  <si>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</si>
  <si>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</si>
  <si>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</si>
  <si>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</si>
  <si>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</si>
  <si>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</si>
  <si>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</si>
  <si>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</si>
  <si>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</si>
  <si>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</si>
  <si>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</si>
  <si>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</si>
  <si>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</si>
  <si>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</si>
  <si>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</si>
  <si>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</si>
  <si>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</si>
  <si>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</si>
  <si>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</si>
  <si>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</si>
  <si>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</si>
  <si>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</si>
  <si>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</si>
  <si>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</si>
  <si>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</si>
  <si>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</si>
  <si>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</si>
  <si>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</si>
  <si>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</si>
  <si>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</si>
  <si>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</si>
  <si>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</si>
  <si>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</si>
  <si>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</si>
  <si>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</si>
  <si>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</si>
  <si>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</si>
  <si>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</si>
  <si>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</si>
  <si>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</si>
  <si>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</si>
  <si>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</si>
  <si>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</si>
  <si>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</si>
  <si>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</si>
  <si>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</si>
  <si>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</si>
  <si>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</si>
  <si>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</si>
  <si>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</si>
  <si>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</si>
  <si>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</si>
  <si>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</si>
  <si>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</si>
  <si>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</si>
  <si>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</si>
  <si>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</si>
  <si>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</si>
  <si>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</si>
  <si>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</si>
  <si>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</si>
  <si>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</si>
  <si>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</si>
  <si>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</si>
  <si>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</si>
  <si>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</si>
  <si>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</si>
  <si>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</si>
  <si>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</si>
  <si>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</si>
  <si>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</si>
  <si>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</si>
  <si>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</si>
  <si>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</si>
  <si>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</si>
  <si>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</si>
  <si>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</si>
  <si>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</si>
  <si>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</si>
  <si>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</si>
  <si>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</si>
  <si>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</si>
  <si>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</si>
  <si>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</si>
  <si>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</si>
  <si>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</si>
  <si>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</si>
  <si>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</si>
  <si>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</si>
  <si>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</si>
  <si>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</si>
  <si>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</si>
  <si>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</si>
  <si>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</si>
  <si>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</si>
  <si>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</si>
  <si>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</si>
  <si>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</si>
  <si>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</si>
  <si>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</si>
  <si>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</si>
  <si>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</si>
  <si>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</si>
  <si>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</si>
  <si>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</si>
  <si>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</si>
  <si>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</si>
  <si>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</si>
  <si>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</si>
  <si>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</si>
  <si>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</si>
  <si>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</si>
  <si>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</si>
  <si>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</si>
  <si>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</si>
  <si>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</si>
  <si>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</si>
  <si>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</si>
  <si>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</si>
  <si>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</si>
  <si>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</si>
  <si>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</si>
  <si>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</si>
  <si>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</si>
  <si>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</si>
  <si>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</si>
  <si>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</si>
  <si>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</si>
  <si>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</si>
  <si>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</si>
  <si>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</si>
  <si>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</si>
  <si>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</si>
  <si>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</si>
  <si>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</si>
  <si>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</si>
  <si>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</si>
  <si>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</si>
  <si>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</si>
  <si>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</si>
  <si>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</si>
  <si>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</si>
  <si>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</si>
  <si>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</si>
  <si>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</si>
  <si>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</si>
  <si>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</si>
  <si>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</si>
  <si>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</si>
  <si>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</si>
  <si>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</si>
  <si>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</si>
  <si>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</si>
  <si>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</si>
  <si>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</si>
  <si>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</si>
  <si>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</si>
  <si>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</si>
  <si>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</si>
  <si>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</si>
  <si>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</si>
  <si>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</si>
  <si>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</si>
  <si>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</si>
  <si>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</si>
  <si>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</si>
  <si>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</si>
  <si>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</si>
  <si>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</si>
  <si>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</si>
  <si>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</si>
  <si>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</si>
  <si>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</si>
  <si>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</si>
  <si>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</si>
  <si>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</si>
  <si>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</si>
  <si>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</si>
  <si>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</si>
  <si>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</si>
  <si>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</si>
  <si>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</si>
  <si>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</si>
  <si>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</si>
  <si>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</si>
  <si>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</si>
  <si>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</si>
  <si>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</si>
  <si>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</si>
  <si>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</si>
  <si>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</si>
  <si>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</si>
  <si>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</si>
  <si>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</si>
  <si>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</si>
  <si>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</si>
  <si>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</si>
  <si>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</si>
  <si>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</si>
  <si>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</si>
  <si>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</si>
  <si>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</si>
  <si>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</si>
  <si>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</si>
  <si>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</si>
  <si>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</si>
  <si>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</si>
  <si>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</si>
  <si>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</si>
  <si>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</si>
  <si>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</si>
  <si>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</si>
  <si>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</si>
  <si>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</si>
  <si>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</si>
  <si>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</si>
  <si>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</si>
  <si>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</si>
  <si>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</si>
  <si>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</si>
  <si>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</si>
  <si>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</si>
  <si>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</si>
  <si>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</si>
  <si>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</si>
  <si>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</si>
  <si>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</si>
  <si>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</si>
  <si>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</si>
  <si>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</si>
  <si>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</si>
  <si>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</si>
  <si>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</si>
  <si>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</si>
  <si>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</si>
  <si>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</si>
  <si>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</si>
  <si>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</si>
  <si>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</si>
  <si>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</si>
  <si>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</si>
  <si>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</si>
  <si>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</si>
  <si>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</si>
  <si>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</si>
  <si>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</si>
  <si>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</si>
  <si>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</si>
  <si>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</si>
  <si>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</si>
  <si>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</si>
  <si>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</si>
  <si>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</si>
  <si>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</si>
  <si>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</si>
  <si>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</si>
  <si>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</si>
  <si>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</si>
  <si>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</si>
  <si>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</si>
  <si>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</si>
  <si>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</si>
  <si>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</si>
  <si>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</si>
  <si>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</si>
  <si>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</si>
  <si>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</si>
  <si>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</si>
  <si>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</si>
  <si>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</si>
  <si>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</si>
  <si>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</si>
  <si>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</si>
  <si>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</si>
  <si>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</si>
  <si>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</si>
  <si>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</si>
  <si>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</si>
  <si>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</si>
  <si>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</si>
  <si>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</si>
  <si>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</si>
  <si>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</si>
  <si>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</si>
  <si>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</si>
  <si>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</si>
  <si>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</si>
  <si>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</si>
  <si>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</si>
  <si>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</si>
  <si>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</si>
  <si>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</si>
  <si>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</si>
  <si>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</si>
  <si>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</si>
  <si>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</si>
  <si>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</si>
  <si>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</si>
  <si>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</si>
  <si>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</si>
  <si>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</si>
  <si>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</si>
  <si>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</si>
  <si>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</si>
  <si>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</si>
  <si>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</si>
  <si>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</si>
  <si>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</si>
  <si>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</si>
  <si>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</si>
  <si>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</si>
  <si>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</si>
  <si>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</si>
  <si>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</si>
  <si>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</si>
  <si>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</si>
  <si>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</si>
  <si>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</si>
  <si>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</si>
  <si>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</si>
  <si>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</si>
  <si>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</si>
  <si>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</si>
  <si>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</si>
  <si>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</si>
  <si>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</si>
  <si>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</si>
  <si>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</si>
  <si>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</si>
  <si>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</si>
  <si>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</si>
  <si>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</si>
  <si>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</si>
  <si>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</si>
  <si>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</si>
  <si>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</si>
  <si>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</si>
  <si>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</si>
  <si>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</si>
  <si>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</si>
  <si>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</si>
  <si>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</si>
  <si>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</si>
  <si>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</si>
  <si>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</si>
  <si>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</si>
  <si>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</si>
  <si>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</si>
  <si>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</si>
  <si>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</si>
  <si>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</si>
  <si>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</si>
  <si>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</si>
  <si>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</si>
  <si>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</si>
  <si>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</si>
  <si>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</si>
  <si>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</si>
  <si>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</si>
  <si>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</si>
  <si>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</si>
  <si>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</si>
  <si>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</si>
  <si>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</si>
  <si>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</si>
  <si>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</si>
  <si>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</si>
  <si>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</si>
  <si>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</si>
  <si>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</si>
  <si>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</si>
  <si>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</si>
  <si>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</si>
  <si>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</si>
  <si>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</si>
  <si>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</si>
  <si>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</si>
  <si>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</si>
  <si>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</si>
  <si>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</si>
  <si>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</si>
  <si>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</si>
  <si>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</si>
  <si>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</si>
  <si>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</si>
  <si>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</si>
  <si>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</si>
  <si>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</si>
  <si>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</si>
  <si>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</si>
  <si>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</si>
  <si>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</si>
  <si>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</si>
  <si>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</si>
  <si>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</si>
  <si>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</si>
  <si>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</si>
  <si>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</si>
  <si>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</si>
  <si>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</si>
  <si>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</si>
  <si>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</si>
  <si>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</si>
  <si>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</si>
  <si>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</si>
  <si>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</si>
  <si>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</si>
  <si>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</si>
  <si>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</si>
  <si>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</si>
  <si>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</si>
  <si>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</si>
  <si>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</si>
  <si>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</si>
  <si>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</si>
  <si>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</si>
  <si>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</si>
  <si>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</si>
  <si>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</si>
  <si>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</si>
  <si>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</si>
  <si>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</si>
  <si>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</si>
  <si>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</si>
  <si>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</si>
  <si>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</si>
  <si>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</si>
  <si>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</si>
  <si>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</si>
  <si>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</si>
  <si>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</si>
  <si>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</si>
  <si>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</si>
  <si>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</si>
  <si>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</si>
  <si>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</si>
  <si>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</si>
  <si>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</si>
  <si>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</si>
  <si>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</si>
  <si>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</si>
  <si>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</si>
  <si>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</si>
  <si>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</si>
  <si>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</si>
  <si>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</si>
  <si>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</si>
  <si>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</si>
  <si>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</si>
  <si>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</si>
  <si>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</si>
  <si>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</si>
  <si>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</si>
  <si>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</si>
  <si>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</si>
  <si>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</si>
  <si>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</si>
  <si>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</si>
  <si>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</si>
  <si>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</si>
  <si>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</si>
  <si>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</si>
  <si>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</si>
  <si>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</si>
  <si>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</si>
  <si>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</si>
  <si>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</si>
  <si>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</si>
  <si>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</si>
  <si>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</si>
  <si>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</si>
  <si>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</si>
  <si>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</si>
  <si>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</si>
  <si>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</si>
  <si>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</si>
  <si>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</si>
  <si>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</si>
  <si>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</si>
  <si>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</si>
  <si>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</si>
  <si>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</si>
  <si>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</si>
  <si>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</si>
  <si>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</si>
  <si>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</si>
  <si>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</si>
  <si>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</si>
  <si>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</si>
  <si>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</si>
  <si>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</si>
  <si>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</si>
  <si>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</si>
  <si>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</si>
  <si>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</si>
  <si>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</si>
  <si>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</si>
  <si>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</si>
  <si>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</si>
  <si>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</si>
  <si>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</si>
  <si>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</si>
  <si>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</si>
  <si>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</si>
  <si>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</si>
  <si>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</si>
  <si>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</si>
  <si>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</si>
  <si>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</si>
  <si>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</si>
  <si>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</si>
  <si>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</si>
  <si>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</si>
  <si>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</si>
  <si>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</si>
  <si>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</si>
  <si>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</si>
  <si>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</si>
  <si>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</si>
  <si>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</si>
  <si>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</si>
  <si>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</si>
  <si>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</si>
  <si>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</si>
  <si>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</si>
  <si>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</si>
  <si>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</si>
  <si>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</si>
  <si>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</si>
  <si>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</si>
  <si>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</si>
  <si>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</si>
  <si>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</si>
  <si>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</si>
  <si>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</si>
  <si>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</si>
  <si>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</si>
  <si>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</si>
  <si>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</si>
  <si>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</si>
  <si>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</si>
  <si>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</si>
  <si>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</si>
  <si>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</si>
  <si>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</si>
  <si>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</si>
  <si>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</si>
  <si>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</si>
  <si>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</si>
  <si>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</si>
  <si>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</si>
  <si>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</si>
  <si>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</si>
  <si>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</si>
  <si>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</si>
  <si>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</si>
  <si>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</si>
  <si>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</si>
  <si>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</si>
  <si>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</si>
  <si>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</si>
  <si>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</si>
  <si>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</si>
  <si>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</si>
  <si>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</si>
  <si>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</si>
  <si>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</si>
  <si>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</si>
  <si>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</si>
  <si>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</si>
  <si>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</si>
  <si>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</si>
  <si>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</si>
  <si>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</si>
  <si>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</si>
  <si>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</si>
  <si>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</si>
  <si>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</si>
  <si>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</si>
  <si>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</si>
  <si>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</si>
  <si>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</si>
  <si>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</si>
  <si>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</si>
  <si>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</si>
  <si>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</si>
  <si>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</si>
  <si>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</si>
  <si>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</si>
  <si>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</si>
  <si>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</si>
  <si>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</si>
  <si>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</si>
  <si>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</si>
  <si>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</si>
  <si>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</si>
  <si>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</si>
  <si>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</si>
  <si>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</si>
  <si>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</si>
  <si>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</si>
  <si>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</si>
  <si>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</si>
  <si>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</si>
  <si>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</si>
  <si>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</si>
  <si>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</si>
  <si>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</si>
  <si>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</si>
  <si>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</si>
  <si>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</si>
  <si>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</si>
  <si>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</si>
  <si>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</si>
  <si>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</si>
  <si>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</si>
  <si>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</si>
  <si>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</si>
  <si>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</si>
  <si>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</si>
  <si>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</si>
  <si>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</si>
  <si>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</si>
  <si>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</si>
  <si>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</si>
  <si>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</si>
  <si>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</si>
  <si>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</si>
  <si>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</si>
  <si>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</si>
  <si>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</si>
  <si>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</si>
  <si>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</si>
  <si>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</si>
  <si>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</si>
  <si>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</si>
  <si>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</si>
  <si>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</si>
  <si>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</si>
  <si>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</si>
  <si>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</si>
  <si>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</si>
  <si>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</si>
  <si>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</si>
  <si>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</si>
  <si>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</si>
  <si>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</si>
  <si>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</si>
  <si>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</si>
  <si>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</si>
  <si>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</si>
  <si>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</si>
  <si>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</si>
  <si>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</si>
  <si>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</si>
  <si>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</si>
  <si>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</si>
  <si>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</si>
  <si>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</si>
  <si>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</si>
  <si>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</si>
  <si>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</si>
  <si>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</si>
  <si>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</si>
  <si>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</si>
  <si>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</si>
  <si>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</si>
  <si>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</si>
  <si>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</si>
  <si>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</si>
  <si>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</si>
  <si>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</si>
  <si>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</si>
  <si>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</si>
  <si>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</si>
  <si>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</si>
  <si>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</si>
  <si>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</si>
  <si>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</si>
  <si>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</si>
  <si>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</si>
  <si>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</si>
  <si>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</si>
  <si>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</si>
  <si>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</si>
  <si>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</si>
  <si>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</si>
  <si>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</si>
  <si>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</si>
  <si>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</si>
  <si>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</si>
  <si>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</si>
  <si>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</si>
  <si>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</si>
  <si>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</si>
  <si>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</si>
  <si>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</si>
  <si>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</si>
  <si>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</si>
  <si>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</si>
  <si>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</si>
  <si>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</si>
  <si>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</si>
  <si>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</si>
  <si>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</si>
  <si>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</si>
  <si>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</si>
  <si>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</si>
  <si>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</si>
  <si>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</si>
  <si>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</si>
  <si>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</si>
  <si>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</si>
  <si>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</si>
  <si>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</si>
  <si>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</si>
  <si>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</si>
  <si>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</si>
  <si>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</si>
  <si>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</si>
  <si>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</si>
  <si>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</si>
  <si>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</si>
  <si>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</si>
  <si>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</si>
  <si>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</si>
  <si>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</si>
  <si>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</si>
  <si>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</si>
  <si>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</si>
  <si>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</si>
  <si>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</si>
  <si>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</si>
  <si>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</si>
  <si>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</si>
  <si>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</si>
  <si>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</si>
  <si>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</si>
  <si>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</si>
  <si>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</si>
  <si>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</si>
  <si>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</si>
  <si>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</si>
  <si>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</si>
  <si>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吴薇</t>
  </si>
  <si>
    <t>郑燚</t>
  </si>
  <si>
    <t>深圳前海深粤供应链有限公司</t>
    <phoneticPr fontId="7" type="noConversion"/>
  </si>
  <si>
    <t>华澳国际信托有限公司</t>
    <phoneticPr fontId="7" type="noConversion"/>
  </si>
  <si>
    <t>抵押</t>
  </si>
  <si>
    <t>房地产抵押价值</t>
  </si>
  <si>
    <t>其他：</t>
  </si>
  <si>
    <t>广东省深圳市</t>
    <phoneticPr fontId="7"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</si>
  <si>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7" type="noConversion"/>
  </si>
  <si>
    <t>企业</t>
  </si>
  <si>
    <t>宝能地产股份有限公司</t>
    <phoneticPr fontId="7"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</si>
  <si>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</si>
  <si>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</si>
  <si>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</si>
  <si>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</si>
  <si>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</si>
  <si>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</si>
  <si>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</si>
  <si>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</si>
  <si>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</si>
  <si>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</si>
  <si>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</si>
  <si>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</si>
  <si>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</si>
  <si>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</si>
  <si>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</si>
  <si>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</si>
  <si>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</si>
  <si>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</si>
  <si>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</si>
  <si>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</si>
  <si>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</si>
  <si>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8" type="noConversion"/>
  </si>
  <si>
    <t>建成</t>
    <phoneticPr fontId="4" type="noConversion"/>
  </si>
  <si>
    <t>直线</t>
    <phoneticPr fontId="4" type="noConversion"/>
  </si>
  <si>
    <t>收益法 (元)</t>
  </si>
  <si>
    <t>较好</t>
  </si>
  <si>
    <t>较好</t>
    <phoneticPr fontId="42" type="noConversion"/>
  </si>
  <si>
    <t>较好</t>
    <phoneticPr fontId="26" type="noConversion"/>
  </si>
  <si>
    <t>较好</t>
    <phoneticPr fontId="42" type="noConversion"/>
  </si>
  <si>
    <t>六通</t>
  </si>
  <si>
    <t>六通</t>
    <phoneticPr fontId="26" type="noConversion"/>
  </si>
  <si>
    <t>比较法-住宅</t>
  </si>
  <si>
    <t>太古城</t>
    <phoneticPr fontId="4" type="noConversion"/>
  </si>
  <si>
    <t>住宅</t>
    <phoneticPr fontId="26" type="noConversion"/>
  </si>
  <si>
    <t>出让</t>
  </si>
  <si>
    <t>50-60（含）</t>
  </si>
  <si>
    <t>高层</t>
  </si>
  <si>
    <t>高层</t>
    <phoneticPr fontId="26" type="noConversion"/>
  </si>
  <si>
    <t>钢混</t>
  </si>
  <si>
    <t>钢混</t>
    <phoneticPr fontId="26" type="noConversion"/>
  </si>
  <si>
    <t>高档</t>
  </si>
  <si>
    <t>高档</t>
    <phoneticPr fontId="26" type="noConversion"/>
  </si>
  <si>
    <t>中档</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</si>
  <si>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</si>
  <si>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</si>
  <si>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</si>
  <si>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</si>
  <si>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</si>
  <si>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</si>
  <si>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</si>
  <si>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</si>
  <si>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专业</t>
  </si>
  <si>
    <t>专业</t>
    <phoneticPr fontId="26" type="noConversion"/>
  </si>
  <si>
    <t>普通</t>
    <phoneticPr fontId="26" type="noConversion"/>
  </si>
  <si>
    <t>楼层</t>
    <phoneticPr fontId="26" type="noConversion"/>
  </si>
  <si>
    <t>高区</t>
  </si>
  <si>
    <t>高区</t>
    <phoneticPr fontId="26" type="noConversion"/>
  </si>
  <si>
    <t>中区</t>
    <phoneticPr fontId="26" type="noConversion"/>
  </si>
  <si>
    <t>低区</t>
    <phoneticPr fontId="26" type="noConversion"/>
  </si>
  <si>
    <t>高区</t>
    <phoneticPr fontId="26" type="noConversion"/>
  </si>
  <si>
    <t>总价</t>
  </si>
  <si>
    <t>总价</t>
    <phoneticPr fontId="141" type="noConversion"/>
  </si>
  <si>
    <t>建筑面积</t>
    <phoneticPr fontId="141" type="noConversion"/>
  </si>
  <si>
    <t>单价</t>
    <phoneticPr fontId="141" type="noConversion"/>
  </si>
  <si>
    <t>朝向</t>
    <phoneticPr fontId="141" type="noConversion"/>
  </si>
  <si>
    <t>楼层</t>
    <phoneticPr fontId="141" type="noConversion"/>
  </si>
  <si>
    <t>装修</t>
    <phoneticPr fontId="141" type="noConversion"/>
  </si>
  <si>
    <t>东</t>
    <phoneticPr fontId="141" type="noConversion"/>
  </si>
  <si>
    <t>低区</t>
    <phoneticPr fontId="141" type="noConversion"/>
  </si>
  <si>
    <t>精装修</t>
    <phoneticPr fontId="141" type="noConversion"/>
  </si>
  <si>
    <t>东</t>
    <phoneticPr fontId="141" type="noConversion"/>
  </si>
  <si>
    <t>高区</t>
    <phoneticPr fontId="141" type="noConversion"/>
  </si>
  <si>
    <t>东南</t>
  </si>
  <si>
    <t>东南</t>
    <phoneticPr fontId="141" type="noConversion"/>
  </si>
  <si>
    <t>简单装修</t>
    <phoneticPr fontId="141" type="noConversion"/>
  </si>
  <si>
    <t>东北</t>
  </si>
  <si>
    <t>东北</t>
    <phoneticPr fontId="141" type="noConversion"/>
  </si>
  <si>
    <t>北</t>
    <phoneticPr fontId="141" type="noConversion"/>
  </si>
  <si>
    <t>中区</t>
    <phoneticPr fontId="141" type="noConversion"/>
  </si>
  <si>
    <t>押一</t>
  </si>
  <si>
    <t>按租金收入计税</t>
  </si>
  <si>
    <t>非生产用房</t>
  </si>
  <si>
    <t>钢</t>
  </si>
  <si>
    <t>装修</t>
    <phoneticPr fontId="4" type="noConversion"/>
  </si>
  <si>
    <t>朝向</t>
    <phoneticPr fontId="4" type="noConversion"/>
  </si>
  <si>
    <t>楼层</t>
    <phoneticPr fontId="4"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</si>
  <si>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6"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</si>
  <si>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6" type="noConversion"/>
  </si>
  <si>
    <r>
      <rPr>
        <sz val="11"/>
        <color indexed="8"/>
        <rFont val="宋体"/>
        <family val="3"/>
        <charset val="134"/>
      </rPr>
      <t>东南</t>
    </r>
    <r>
      <rPr>
        <sz val="11"/>
        <color indexed="8"/>
        <rFont val="Arial"/>
        <family val="2"/>
      </rPr>
      <t/>
    </r>
    <phoneticPr fontId="26" type="noConversion"/>
  </si>
  <si>
    <r>
      <rPr>
        <sz val="11"/>
        <color indexed="8"/>
        <rFont val="宋体"/>
        <family val="3"/>
        <charset val="134"/>
      </rPr>
      <t>西南</t>
    </r>
    <r>
      <rPr>
        <sz val="11"/>
        <color indexed="8"/>
        <rFont val="Arial"/>
        <family val="2"/>
      </rPr>
      <t/>
    </r>
    <phoneticPr fontId="26" type="noConversion"/>
  </si>
  <si>
    <r>
      <rPr>
        <sz val="11"/>
        <color indexed="8"/>
        <rFont val="宋体"/>
        <family val="3"/>
        <charset val="134"/>
      </rPr>
      <t>南</t>
    </r>
    <r>
      <rPr>
        <sz val="11"/>
        <color indexed="8"/>
        <rFont val="Arial"/>
        <family val="2"/>
      </rPr>
      <t/>
    </r>
    <phoneticPr fontId="26" type="noConversion"/>
  </si>
  <si>
    <r>
      <rPr>
        <sz val="11"/>
        <color indexed="8"/>
        <rFont val="宋体"/>
        <family val="3"/>
        <charset val="134"/>
      </rPr>
      <t>偏东南</t>
    </r>
    <r>
      <rPr>
        <sz val="11"/>
        <color indexed="8"/>
        <rFont val="Arial"/>
        <family val="2"/>
      </rPr>
      <t/>
    </r>
    <phoneticPr fontId="26" type="noConversion"/>
  </si>
  <si>
    <r>
      <rPr>
        <sz val="11"/>
        <color indexed="8"/>
        <rFont val="宋体"/>
        <family val="3"/>
        <charset val="134"/>
      </rPr>
      <t>偏西南</t>
    </r>
    <r>
      <rPr>
        <sz val="11"/>
        <color indexed="8"/>
        <rFont val="Arial"/>
        <family val="2"/>
      </rPr>
      <t/>
    </r>
    <phoneticPr fontId="26" type="noConversion"/>
  </si>
  <si>
    <r>
      <rPr>
        <sz val="11"/>
        <color indexed="8"/>
        <rFont val="宋体"/>
        <family val="3"/>
        <charset val="134"/>
      </rPr>
      <t>东西</t>
    </r>
    <r>
      <rPr>
        <sz val="11"/>
        <color indexed="8"/>
        <rFont val="Arial"/>
        <family val="2"/>
      </rPr>
      <t/>
    </r>
    <phoneticPr fontId="26" type="noConversion"/>
  </si>
  <si>
    <r>
      <rPr>
        <sz val="11"/>
        <color indexed="8"/>
        <rFont val="宋体"/>
        <family val="3"/>
        <charset val="134"/>
      </rPr>
      <t>东</t>
    </r>
    <r>
      <rPr>
        <sz val="11"/>
        <color indexed="8"/>
        <rFont val="Arial"/>
        <family val="2"/>
      </rPr>
      <t/>
    </r>
    <phoneticPr fontId="26" type="noConversion"/>
  </si>
  <si>
    <t>东北</t>
    <phoneticPr fontId="26" type="noConversion"/>
  </si>
  <si>
    <t>南</t>
  </si>
  <si>
    <t>南</t>
    <phoneticPr fontId="26" type="noConversion"/>
  </si>
  <si>
    <t>询价总价</t>
    <phoneticPr fontId="26" type="noConversion"/>
  </si>
  <si>
    <t>单价</t>
    <phoneticPr fontId="26" type="noConversion"/>
  </si>
  <si>
    <t>自定义</t>
  </si>
  <si>
    <t>正常</t>
  </si>
  <si>
    <t>非个人房产</t>
  </si>
  <si>
    <t>购房发票</t>
  </si>
  <si>
    <t>2016年5月1日前购买</t>
  </si>
  <si>
    <t>抵押权</t>
    <phoneticPr fontId="26" type="noConversion"/>
  </si>
  <si>
    <t>成新度</t>
  </si>
  <si>
    <t>情况3</t>
  </si>
  <si>
    <t>自行开发建设</t>
  </si>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</sst>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
      <sz val="10"/>
      <color rgb="FFFFFF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5" fillId="0" borderId="0" applyFont="0" applyFill="0" applyBorder="0" applyAlignment="0" applyProtection="0">
      <alignment vertical="center"/>
    </xf>
  </cellStyleXfs>
  <cellXfs count="34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60" xfId="0" applyFont="1" applyFill="1" applyBorder="1" applyAlignment="1" applyProtection="1">
      <alignment vertical="center" wrapText="1"/>
      <protection locked="0"/>
    </xf>
    <xf numFmtId="0" fontId="8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13" borderId="0" xfId="0" applyFont="1" applyFill="1" applyAlignment="1" applyProtection="1">
      <alignment vertical="center"/>
      <protection locked="0"/>
    </xf>
    <xf numFmtId="9" fontId="50" fillId="13" borderId="0" xfId="17" applyFont="1" applyFill="1" applyAlignment="1" applyProtection="1">
      <alignment vertical="center"/>
      <protection locked="0"/>
    </xf>
    <xf numFmtId="177" fontId="50" fillId="20" borderId="1" xfId="1" applyNumberFormat="1" applyFont="1" applyFill="1" applyBorder="1" applyAlignment="1" applyProtection="1">
      <alignment horizontal="center" vertical="center"/>
      <protection locked="0"/>
    </xf>
    <xf numFmtId="49" fontId="236" fillId="0" borderId="10" xfId="0" applyNumberFormat="1" applyFont="1" applyFill="1" applyBorder="1" applyAlignment="1" applyProtection="1">
      <alignment vertical="center" wrapText="1"/>
      <protection locked="0"/>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20" borderId="0" xfId="0" applyFill="1">
      <alignment vertical="center"/>
    </xf>
    <xf numFmtId="0" fontId="99" fillId="20" borderId="0" xfId="0" applyFont="1" applyFill="1">
      <alignment vertical="center"/>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53" fillId="6" borderId="52" xfId="0" applyNumberFormat="1" applyFont="1" applyFill="1" applyBorder="1" applyAlignment="1" applyProtection="1">
      <alignment vertical="center" wrapText="1"/>
      <protection locked="0"/>
    </xf>
    <xf numFmtId="0" fontId="257" fillId="6" borderId="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7" fillId="6" borderId="1" xfId="0" applyNumberFormat="1" applyFont="1" applyFill="1" applyBorder="1" applyAlignment="1" applyProtection="1">
      <alignment horizontal="left" vertical="center"/>
    </xf>
    <xf numFmtId="9" fontId="257" fillId="6" borderId="1" xfId="0" applyNumberFormat="1" applyFont="1" applyFill="1" applyBorder="1" applyAlignment="1" applyProtection="1">
      <alignment horizontal="left" vertical="center"/>
    </xf>
    <xf numFmtId="9" fontId="257" fillId="6" borderId="13" xfId="0" applyNumberFormat="1" applyFont="1" applyFill="1" applyBorder="1" applyAlignment="1" applyProtection="1">
      <alignment horizontal="left" vertical="center"/>
    </xf>
    <xf numFmtId="0" fontId="257" fillId="6" borderId="36" xfId="0" applyFont="1" applyFill="1" applyBorder="1" applyAlignment="1" applyProtection="1">
      <alignment horizontal="left" vertical="center" wrapText="1"/>
    </xf>
    <xf numFmtId="0" fontId="257" fillId="6" borderId="54" xfId="0" applyFont="1" applyFill="1" applyBorder="1" applyAlignment="1" applyProtection="1">
      <alignment horizontal="left" vertical="center"/>
    </xf>
    <xf numFmtId="0" fontId="257" fillId="6" borderId="0" xfId="0" applyFont="1" applyFill="1" applyBorder="1" applyAlignment="1" applyProtection="1">
      <alignment horizontal="left" vertical="center" wrapText="1"/>
    </xf>
    <xf numFmtId="0" fontId="257" fillId="6" borderId="60" xfId="0" applyFont="1" applyFill="1" applyBorder="1" applyAlignment="1" applyProtection="1">
      <alignment horizontal="left" vertical="center" wrapText="1"/>
    </xf>
    <xf numFmtId="0" fontId="47" fillId="20" borderId="1" xfId="0" applyFont="1" applyFill="1" applyBorder="1" applyAlignment="1" applyProtection="1">
      <alignment horizontal="left" vertical="center" wrapText="1"/>
    </xf>
    <xf numFmtId="181" fontId="119" fillId="5" borderId="1" xfId="0" applyNumberFormat="1" applyFont="1" applyFill="1" applyBorder="1" applyAlignment="1" applyProtection="1">
      <alignment horizontal="center" vertical="center"/>
      <protection locked="0"/>
    </xf>
    <xf numFmtId="10" fontId="105" fillId="5" borderId="1" xfId="0" applyNumberFormat="1" applyFont="1" applyFill="1" applyBorder="1" applyAlignment="1" applyProtection="1">
      <alignment horizontal="center" vertical="center"/>
      <protection locked="0"/>
    </xf>
    <xf numFmtId="183" fontId="105" fillId="5" borderId="1" xfId="0" applyNumberFormat="1" applyFont="1" applyFill="1" applyBorder="1" applyAlignment="1" applyProtection="1">
      <alignment horizontal="center" vertical="center"/>
      <protection locked="0"/>
    </xf>
    <xf numFmtId="181" fontId="105" fillId="5" borderId="24" xfId="0" applyNumberFormat="1" applyFont="1" applyFill="1" applyBorder="1" applyAlignment="1" applyProtection="1">
      <alignment horizontal="center" vertical="center"/>
      <protection locked="0"/>
    </xf>
    <xf numFmtId="177" fontId="57" fillId="19" borderId="1" xfId="0" applyNumberFormat="1" applyFont="1" applyFill="1" applyBorder="1" applyAlignment="1" applyProtection="1">
      <alignment horizontal="left"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256" fillId="6" borderId="1" xfId="0" applyNumberFormat="1" applyFont="1" applyFill="1" applyBorder="1" applyAlignment="1" applyProtection="1">
      <alignment horizontal="center" vertical="center" wrapText="1"/>
    </xf>
    <xf numFmtId="0" fontId="256"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9" fontId="258" fillId="5" borderId="0" xfId="0" applyNumberFormat="1" applyFont="1" applyFill="1" applyProtection="1">
      <alignment vertical="center"/>
      <protection locked="0"/>
    </xf>
    <xf numFmtId="0" fontId="258" fillId="5" borderId="1" xfId="0"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0</c:v>
                </c:pt>
                <c:pt idx="14" formatCode="General">
                  <c:v>0</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0</c:v>
                </c:pt>
                <c:pt idx="14">
                  <c:v>0</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40597376"/>
        <c:axId val="40598912"/>
      </c:barChart>
      <c:catAx>
        <c:axId val="40597376"/>
        <c:scaling>
          <c:orientation val="minMax"/>
        </c:scaling>
        <c:delete val="0"/>
        <c:axPos val="b"/>
        <c:numFmt formatCode="General" sourceLinked="0"/>
        <c:majorTickMark val="out"/>
        <c:minorTickMark val="none"/>
        <c:tickLblPos val="nextTo"/>
        <c:crossAx val="40598912"/>
        <c:crosses val="autoZero"/>
        <c:auto val="1"/>
        <c:lblAlgn val="ctr"/>
        <c:lblOffset val="100"/>
        <c:noMultiLvlLbl val="0"/>
      </c:catAx>
      <c:valAx>
        <c:axId val="40598912"/>
        <c:scaling>
          <c:orientation val="minMax"/>
        </c:scaling>
        <c:delete val="0"/>
        <c:axPos val="l"/>
        <c:majorGridlines/>
        <c:numFmt formatCode="0_ " sourceLinked="1"/>
        <c:majorTickMark val="out"/>
        <c:minorTickMark val="none"/>
        <c:tickLblPos val="nextTo"/>
        <c:crossAx val="4059737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16006</v>
      </c>
    </row>
    <row r="39" spans="1:2" s="1364" customFormat="1">
      <c r="A39" s="1362" t="s">
        <v>1210</v>
      </c>
      <c r="B39" s="1363">
        <f ca="1">'预评函-2'!D21</f>
        <v>153698</v>
      </c>
    </row>
    <row r="40" spans="1:2" s="1364" customFormat="1">
      <c r="A40" s="1362" t="s">
        <v>1211</v>
      </c>
      <c r="B40" s="1363" t="str">
        <f ca="1">'预评函-2'!D20</f>
        <v>壹亿陆仟零陆万元整</v>
      </c>
    </row>
    <row r="41" spans="1:2" s="1364" customFormat="1">
      <c r="A41" s="1362" t="s">
        <v>1257</v>
      </c>
      <c r="B41" s="1363" t="str">
        <f>'预评函-3'!A4</f>
        <v>广东省深圳市南山区太古城花园（北区）二期B-25A等6套住宅用房房地产房地产</v>
      </c>
    </row>
    <row r="42" spans="1:2" s="1364" customFormat="1">
      <c r="A42" s="1362" t="s">
        <v>1255</v>
      </c>
      <c r="B42" s="1363" t="str">
        <f>'预评函-3'!B2</f>
        <v>建筑面积</v>
      </c>
    </row>
    <row r="43" spans="1:2" s="1364" customFormat="1">
      <c r="A43" s="1362" t="s">
        <v>1256</v>
      </c>
      <c r="B43" s="1363">
        <f>'预评函-3'!B4</f>
        <v>1041.3899999999999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9" t="s">
        <v>832</v>
      </c>
      <c r="C54" s="1736" t="s">
        <v>1248</v>
      </c>
    </row>
    <row r="55" spans="1:4">
      <c r="A55" s="3108"/>
      <c r="B55" s="1739" t="s">
        <v>833</v>
      </c>
      <c r="C55" s="1736" t="s">
        <v>1249</v>
      </c>
    </row>
    <row r="56" spans="1:4">
      <c r="A56" s="3108"/>
      <c r="B56" s="1739" t="s">
        <v>834</v>
      </c>
      <c r="C56" s="1736" t="s">
        <v>1253</v>
      </c>
    </row>
    <row r="57" spans="1:4">
      <c r="A57" s="31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2910</v>
      </c>
      <c r="B1" s="3117"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118"/>
      <c r="D1" s="3118"/>
      <c r="E1" s="3118"/>
      <c r="F1" s="3118"/>
      <c r="G1" s="3118"/>
      <c r="H1" s="3118"/>
      <c r="I1" s="3119"/>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2911</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2912</v>
      </c>
      <c r="B3" s="2594">
        <v>44132</v>
      </c>
      <c r="C3" s="2595" t="s">
        <v>2913</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5" thickBot="1">
      <c r="A4" s="1249" t="s">
        <v>2914</v>
      </c>
      <c r="B4" s="2596" t="s">
        <v>3051</v>
      </c>
      <c r="C4" s="2597">
        <f ca="1">SUMIF(注册房地产估价师,B4,估价师及机构信息!B3:B24)</f>
        <v>1419970001</v>
      </c>
      <c r="D4" s="2596" t="s">
        <v>3052</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36.75" thickTop="1">
      <c r="A5" s="2600" t="s">
        <v>2915</v>
      </c>
      <c r="B5" s="3026" t="s">
        <v>3053</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2916</v>
      </c>
      <c r="B6" s="3027" t="s">
        <v>3054</v>
      </c>
      <c r="C6" s="2604"/>
      <c r="D6" s="2605"/>
      <c r="E6" s="2872"/>
      <c r="F6" s="2874"/>
      <c r="G6" s="2874"/>
      <c r="H6" s="2874"/>
      <c r="I6" s="2874"/>
      <c r="J6" s="2658"/>
      <c r="K6" s="2824" t="str">
        <f>IF(COUNTIF(B6,"*上海银行*"),"上海银行","")</f>
        <v/>
      </c>
      <c r="L6" s="2822"/>
      <c r="M6" s="2822"/>
      <c r="N6" s="2658"/>
      <c r="O6" s="2669"/>
      <c r="P6" s="2658"/>
      <c r="Q6" s="2658"/>
      <c r="R6" s="2658"/>
    </row>
    <row r="7" spans="1:28" ht="38.25">
      <c r="A7" s="2603" t="s">
        <v>2917</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2918</v>
      </c>
      <c r="B8" s="2608" t="s">
        <v>3055</v>
      </c>
      <c r="C8" s="2609"/>
      <c r="D8" s="3120" t="s">
        <v>2919</v>
      </c>
      <c r="E8" s="2610" t="s">
        <v>3056</v>
      </c>
      <c r="F8" s="2611"/>
      <c r="G8" s="2873"/>
      <c r="H8" s="2873"/>
      <c r="I8" s="2873"/>
      <c r="J8" s="2658"/>
      <c r="K8" s="2823"/>
      <c r="L8" s="2822"/>
      <c r="M8" s="2822"/>
      <c r="N8" s="2658"/>
      <c r="O8" s="2669"/>
      <c r="P8" s="2658"/>
      <c r="Q8" s="2658"/>
      <c r="R8" s="2658"/>
    </row>
    <row r="9" spans="1:28" ht="13.5" thickBot="1">
      <c r="A9" s="2612" t="s">
        <v>2920</v>
      </c>
      <c r="B9" s="2613" t="s">
        <v>3056</v>
      </c>
      <c r="C9" s="2614"/>
      <c r="D9" s="3121"/>
      <c r="E9" s="2613" t="s">
        <v>1252</v>
      </c>
      <c r="F9" s="2615"/>
      <c r="G9" s="2875"/>
      <c r="H9" s="2875"/>
      <c r="I9" s="2875"/>
      <c r="J9" s="2658"/>
      <c r="K9" s="2825"/>
      <c r="L9" s="2822"/>
      <c r="M9" s="2822"/>
      <c r="N9" s="2658"/>
      <c r="O9" s="2669"/>
      <c r="P9" s="2658"/>
      <c r="Q9" s="2658"/>
      <c r="R9" s="2658"/>
    </row>
    <row r="10" spans="1:28" ht="13.5" thickTop="1">
      <c r="A10" s="2616" t="s">
        <v>2921</v>
      </c>
      <c r="B10" s="2617" t="s">
        <v>3057</v>
      </c>
      <c r="C10" s="3028" t="s">
        <v>3058</v>
      </c>
      <c r="D10" s="2602"/>
      <c r="E10" s="2618" t="s">
        <v>2922</v>
      </c>
      <c r="F10" s="2876" t="s">
        <v>3059</v>
      </c>
      <c r="G10" s="2877"/>
      <c r="H10" s="2878"/>
      <c r="I10" s="2879"/>
      <c r="J10" s="2658"/>
      <c r="K10" s="2825"/>
      <c r="L10" s="2822"/>
      <c r="M10" s="2822"/>
      <c r="N10" s="2658"/>
      <c r="O10" s="2669"/>
      <c r="P10" s="2658"/>
      <c r="Q10" s="2658"/>
      <c r="R10" s="2658"/>
    </row>
    <row r="11" spans="1:28" ht="24">
      <c r="A11" s="2619" t="s">
        <v>2923</v>
      </c>
      <c r="B11" s="2620" t="s">
        <v>3060</v>
      </c>
      <c r="C11" s="3029" t="s">
        <v>3061</v>
      </c>
      <c r="D11" s="2621"/>
      <c r="E11" s="2591"/>
      <c r="F11" s="2591"/>
      <c r="G11" s="2591"/>
      <c r="H11" s="2591"/>
      <c r="I11" s="2591"/>
      <c r="J11" s="2658"/>
      <c r="K11" s="2825"/>
      <c r="L11" s="2822"/>
      <c r="M11" s="2822"/>
      <c r="N11" s="2658"/>
      <c r="O11" s="2669"/>
      <c r="P11" s="2658"/>
      <c r="Q11" s="2658"/>
      <c r="R11" s="2658"/>
    </row>
    <row r="12" spans="1:28">
      <c r="A12" s="2622" t="s">
        <v>2924</v>
      </c>
      <c r="B12" s="2620" t="s">
        <v>3096</v>
      </c>
      <c r="C12" s="329" t="s">
        <v>2925</v>
      </c>
      <c r="D12" s="2623" t="s">
        <v>2926</v>
      </c>
      <c r="E12" s="2623" t="s">
        <v>2927</v>
      </c>
      <c r="F12" s="2623" t="s">
        <v>2928</v>
      </c>
      <c r="G12" s="2623" t="s">
        <v>2929</v>
      </c>
      <c r="H12" s="2623" t="s">
        <v>2930</v>
      </c>
      <c r="I12" s="2623" t="s">
        <v>2931</v>
      </c>
      <c r="J12" s="2658"/>
      <c r="K12" s="2825"/>
      <c r="L12" s="2822"/>
      <c r="M12" s="2822"/>
      <c r="N12" s="2658"/>
      <c r="O12" s="2669"/>
      <c r="P12" s="2658"/>
      <c r="Q12" s="2658"/>
      <c r="R12" s="2658"/>
    </row>
    <row r="13" spans="1:28">
      <c r="A13" s="1240"/>
      <c r="B13" s="2624"/>
      <c r="C13" s="2625" t="s">
        <v>2932</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2933</v>
      </c>
      <c r="D14" s="2626">
        <v>70</v>
      </c>
      <c r="E14" s="2626">
        <v>40</v>
      </c>
      <c r="F14" s="2626"/>
      <c r="G14" s="2626"/>
      <c r="H14" s="2626"/>
      <c r="I14" s="2626"/>
      <c r="J14" s="2658"/>
      <c r="K14" s="2826"/>
      <c r="L14" s="2822"/>
      <c r="M14" s="2822"/>
      <c r="N14" s="2658"/>
      <c r="O14" s="2669"/>
      <c r="P14" s="2658"/>
      <c r="Q14" s="2658"/>
      <c r="R14" s="2658"/>
    </row>
    <row r="15" spans="1:28">
      <c r="A15" s="326"/>
      <c r="B15" s="2627"/>
      <c r="C15" s="2628" t="s">
        <v>2934</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2935</v>
      </c>
      <c r="B16" s="3127"/>
      <c r="C16" s="3128"/>
      <c r="D16" s="3129"/>
      <c r="E16" s="2632" t="s">
        <v>2936</v>
      </c>
      <c r="F16" s="3130"/>
      <c r="G16" s="3131"/>
      <c r="H16" s="3131"/>
      <c r="I16" s="3132"/>
      <c r="J16" s="2658"/>
      <c r="K16" s="2827"/>
      <c r="L16" s="2670"/>
      <c r="M16" s="2670"/>
      <c r="N16" s="2726"/>
      <c r="O16" s="2670"/>
      <c r="P16" s="2726"/>
      <c r="Q16" s="2658"/>
      <c r="R16" s="2658"/>
    </row>
    <row r="17" spans="1:28">
      <c r="A17" s="319" t="s">
        <v>2937</v>
      </c>
      <c r="B17" s="308" t="s">
        <v>2938</v>
      </c>
      <c r="C17" s="11">
        <f>'数据-汇总表'!E3</f>
        <v>1041.3899999999999</v>
      </c>
      <c r="D17" s="2542" t="s">
        <v>2939</v>
      </c>
      <c r="E17" s="3133" t="s">
        <v>2940</v>
      </c>
      <c r="F17" s="3134"/>
      <c r="G17" s="3134"/>
      <c r="H17" s="3134"/>
      <c r="I17" s="3135"/>
      <c r="J17" s="2658"/>
      <c r="K17" s="2828"/>
      <c r="L17" s="2670"/>
      <c r="M17" s="2670"/>
      <c r="N17" s="2726"/>
      <c r="O17" s="2670"/>
      <c r="P17" s="2726"/>
      <c r="Q17" s="2658"/>
      <c r="R17" s="2658"/>
      <c r="S17" s="2658"/>
      <c r="T17" s="2658"/>
      <c r="U17" s="2658"/>
      <c r="V17" s="2658"/>
    </row>
    <row r="18" spans="1:28" ht="13.5" thickBot="1">
      <c r="A18" s="2633" t="s">
        <v>70</v>
      </c>
      <c r="B18" s="1249" t="s">
        <v>2941</v>
      </c>
      <c r="C18" s="2634">
        <f>'数据-汇总表'!D3</f>
        <v>0</v>
      </c>
      <c r="D18" s="1251" t="s">
        <v>2942</v>
      </c>
      <c r="E18" s="3136" t="s">
        <v>2943</v>
      </c>
      <c r="F18" s="3137"/>
      <c r="G18" s="3137"/>
      <c r="H18" s="3137"/>
      <c r="I18" s="3138"/>
      <c r="J18" s="2658"/>
      <c r="K18" s="2828"/>
      <c r="L18" s="2670"/>
      <c r="M18" s="2670"/>
      <c r="N18" s="2726"/>
      <c r="O18" s="2670"/>
      <c r="P18" s="2726"/>
      <c r="Q18" s="2658"/>
      <c r="R18" s="2658"/>
      <c r="S18" s="2658"/>
      <c r="T18" s="2658"/>
      <c r="U18" s="2658"/>
      <c r="V18" s="2658"/>
    </row>
    <row r="19" spans="1:28" ht="39.75" thickTop="1" thickBot="1">
      <c r="A19" s="333" t="s">
        <v>1741</v>
      </c>
      <c r="B19" s="313" t="s">
        <v>2944</v>
      </c>
      <c r="C19" s="1748" t="s">
        <v>3062</v>
      </c>
      <c r="D19" s="1749" t="s">
        <v>2945</v>
      </c>
      <c r="E19" s="1750" t="s">
        <v>3063</v>
      </c>
      <c r="F19" s="1751" t="str">
        <f>IF(AND(C19="是",E19="否"),"是否提供他项权证或相关说明","")</f>
        <v>是否提供他项权证或相关说明</v>
      </c>
      <c r="G19" s="1752" t="s">
        <v>3063</v>
      </c>
      <c r="H19" s="2874"/>
      <c r="I19" s="2874"/>
      <c r="J19" s="2658"/>
      <c r="K19" s="2825"/>
      <c r="L19" s="2822"/>
      <c r="M19" s="2822"/>
      <c r="N19" s="2726"/>
      <c r="O19" s="2670"/>
      <c r="P19" s="2726"/>
      <c r="Q19" s="2658"/>
      <c r="R19" s="2658"/>
      <c r="S19" s="2658"/>
      <c r="T19" s="2658"/>
      <c r="U19" s="2658"/>
      <c r="V19" s="2658"/>
    </row>
    <row r="20" spans="1:28">
      <c r="A20" s="2842" t="s">
        <v>2946</v>
      </c>
      <c r="B20" s="3123" t="s">
        <v>2947</v>
      </c>
      <c r="C20" s="3124"/>
      <c r="D20" s="3125" t="s">
        <v>2948</v>
      </c>
      <c r="E20" s="3126"/>
      <c r="F20" s="2857" t="s">
        <v>1742</v>
      </c>
      <c r="G20" s="2874"/>
      <c r="H20" s="2874"/>
      <c r="I20" s="2874"/>
      <c r="J20" s="2658"/>
      <c r="K20" s="3122" t="s">
        <v>2949</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24.75" thickBot="1">
      <c r="A21" s="2842"/>
      <c r="B21" s="2843" t="s">
        <v>2950</v>
      </c>
      <c r="C21" s="2844" t="s">
        <v>3064</v>
      </c>
      <c r="D21" s="1753" t="s">
        <v>2951</v>
      </c>
      <c r="E21" s="2845" t="s">
        <v>3064</v>
      </c>
      <c r="F21" s="2858"/>
      <c r="G21" s="2874"/>
      <c r="H21" s="2874"/>
      <c r="I21" s="2874"/>
      <c r="J21" s="2658"/>
      <c r="K21" s="312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5" thickBot="1">
      <c r="A22" s="2842"/>
      <c r="B22" s="2846"/>
      <c r="C22" s="2844"/>
      <c r="D22" s="2873"/>
      <c r="E22" s="2873"/>
      <c r="F22" s="2873"/>
      <c r="G22" s="2874"/>
      <c r="H22" s="2874"/>
      <c r="I22" s="2874"/>
      <c r="J22" s="2658"/>
      <c r="K22" s="312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2952</v>
      </c>
      <c r="B23" s="2719" t="s">
        <v>2953</v>
      </c>
      <c r="C23" s="2848"/>
      <c r="D23" s="2849" t="s">
        <v>2953</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5"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5" thickTop="1">
      <c r="A27" s="3110" t="s">
        <v>2954</v>
      </c>
      <c r="B27" s="326" t="s">
        <v>2955</v>
      </c>
      <c r="C27" s="2635" t="s">
        <v>3065</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110"/>
      <c r="B28" s="308" t="s">
        <v>2956</v>
      </c>
      <c r="C28" s="2637" t="s">
        <v>3066</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110"/>
      <c r="B29" s="308" t="s">
        <v>2957</v>
      </c>
      <c r="C29" s="2639" t="s">
        <v>3063</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111"/>
      <c r="B30" s="308" t="s">
        <v>2958</v>
      </c>
      <c r="C30" s="3112"/>
      <c r="D30" s="3113"/>
      <c r="E30" s="2874"/>
      <c r="F30" s="2874"/>
      <c r="G30" s="2874"/>
      <c r="H30" s="2874"/>
      <c r="I30" s="2874"/>
      <c r="J30" s="2658"/>
      <c r="K30" s="2825"/>
      <c r="L30" s="2822"/>
      <c r="M30" s="2822"/>
      <c r="N30" s="2658"/>
      <c r="O30" s="2669"/>
      <c r="P30" s="2658"/>
      <c r="Q30" s="2658"/>
      <c r="R30" s="2658"/>
      <c r="S30" s="2658"/>
      <c r="T30" s="2658"/>
      <c r="U30" s="2658"/>
      <c r="V30" s="2658"/>
    </row>
    <row r="31" spans="1:28">
      <c r="A31" s="3114" t="s">
        <v>2959</v>
      </c>
      <c r="B31" s="2641" t="s">
        <v>3067</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115"/>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115"/>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2960</v>
      </c>
      <c r="B34" s="2211" t="s">
        <v>3068</v>
      </c>
      <c r="C34" s="2211" t="s">
        <v>3069</v>
      </c>
      <c r="D34" s="2211" t="s">
        <v>3070</v>
      </c>
      <c r="E34" s="2211" t="s">
        <v>3071</v>
      </c>
      <c r="F34" s="2211" t="s">
        <v>3072</v>
      </c>
      <c r="G34" s="2211" t="s">
        <v>3073</v>
      </c>
      <c r="H34" s="2211" t="s">
        <v>70</v>
      </c>
      <c r="I34" s="2874"/>
      <c r="J34" s="2658"/>
      <c r="K34" s="2646">
        <f>COUNTIF(B34:H34,"——")</f>
        <v>1</v>
      </c>
      <c r="L34" s="329" t="s">
        <v>2961</v>
      </c>
      <c r="M34" s="329" t="s">
        <v>2962</v>
      </c>
      <c r="N34" s="329" t="s">
        <v>2963</v>
      </c>
      <c r="O34" s="329" t="s">
        <v>2964</v>
      </c>
      <c r="P34" s="329" t="s">
        <v>2965</v>
      </c>
      <c r="Q34" s="329" t="s">
        <v>2966</v>
      </c>
      <c r="R34" s="329" t="s">
        <v>2967</v>
      </c>
      <c r="S34" s="3109" t="s">
        <v>2968</v>
      </c>
      <c r="T34" s="2647" t="str">
        <f>NUMBERSTRING(7-K34,1)&amp;"通"</f>
        <v>六通</v>
      </c>
      <c r="U34" s="2658"/>
      <c r="V34" s="2658"/>
    </row>
    <row r="35" spans="1:30" ht="25.5">
      <c r="A35" s="2648"/>
      <c r="B35" s="3116" t="s">
        <v>2969</v>
      </c>
      <c r="C35" s="3116"/>
      <c r="D35" s="3116"/>
      <c r="E35" s="3116"/>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09"/>
      <c r="T35" s="335" t="str">
        <f>IF(T34="一通",L35,IF(T34="二通",M35,IF(T34="三通",N35,IF(T34="四通",O35,IF(T34="五通",P35,IF(T34="六通",Q35,R35))))))</f>
        <v>通路、通电、通讯、通上水、通下水、燃气</v>
      </c>
      <c r="U35" s="2658"/>
      <c r="V35" s="2658"/>
    </row>
    <row r="36" spans="1:30">
      <c r="A36" s="2649"/>
      <c r="B36" s="672" t="s">
        <v>2927</v>
      </c>
      <c r="C36" s="672" t="s">
        <v>2928</v>
      </c>
      <c r="D36" s="672" t="s">
        <v>2926</v>
      </c>
      <c r="E36" s="672" t="s">
        <v>2931</v>
      </c>
      <c r="F36" s="2880"/>
      <c r="G36" s="2874"/>
      <c r="H36" s="2874"/>
      <c r="I36" s="2874"/>
      <c r="J36" s="2658"/>
      <c r="K36" s="2825"/>
      <c r="L36" s="2822"/>
      <c r="M36" s="2822"/>
      <c r="N36" s="2658"/>
      <c r="O36" s="2669"/>
      <c r="P36" s="2658"/>
      <c r="Q36" s="2658"/>
      <c r="R36" s="2658"/>
      <c r="S36" s="2658"/>
      <c r="T36" s="2658"/>
      <c r="U36" s="2658"/>
      <c r="V36" s="2658"/>
    </row>
    <row r="37" spans="1:30">
      <c r="A37" s="2840" t="s">
        <v>2970</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5" thickBot="1">
      <c r="A38" s="2841" t="s">
        <v>2971</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25" thickTop="1" thickBot="1">
      <c r="A39" s="2652" t="s">
        <v>2972</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2973</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5">
      <c r="A42" s="329" t="s">
        <v>2974</v>
      </c>
      <c r="B42" s="11" t="s">
        <v>2975</v>
      </c>
      <c r="C42" s="11" t="s">
        <v>2976</v>
      </c>
      <c r="D42" s="11" t="s">
        <v>2977</v>
      </c>
      <c r="E42" s="11" t="s">
        <v>2978</v>
      </c>
      <c r="F42" s="11" t="s">
        <v>2979</v>
      </c>
      <c r="G42" s="11" t="s">
        <v>2980</v>
      </c>
      <c r="H42" s="11" t="s">
        <v>2981</v>
      </c>
      <c r="I42" s="11" t="s">
        <v>2982</v>
      </c>
      <c r="J42" s="2836" t="s">
        <v>2983</v>
      </c>
      <c r="K42" s="2837" t="s">
        <v>2984</v>
      </c>
      <c r="L42" s="2837" t="s">
        <v>2985</v>
      </c>
      <c r="M42" s="2837" t="s">
        <v>2986</v>
      </c>
      <c r="N42" s="2830" t="s">
        <v>2987</v>
      </c>
      <c r="O42" s="2830" t="s">
        <v>2988</v>
      </c>
      <c r="P42" s="2830" t="s">
        <v>2989</v>
      </c>
      <c r="Q42" s="2831" t="s">
        <v>2990</v>
      </c>
      <c r="R42" s="2831" t="s">
        <v>2991</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1775</v>
      </c>
      <c r="I9" s="1788" t="s">
        <v>3080</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2.75">
      <c r="A10" s="1779"/>
      <c r="B10" s="1779"/>
      <c r="C10" s="1779"/>
      <c r="D10" s="1779"/>
      <c r="E10" s="1779"/>
      <c r="F10" s="1779"/>
      <c r="G10" s="1201"/>
      <c r="H10" s="28"/>
      <c r="I10" s="1788" t="s">
        <v>3081</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3082</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1"/>
      <c r="B13" s="1181"/>
      <c r="C13" s="1181" t="s">
        <v>3074</v>
      </c>
      <c r="D13" s="1810" t="s">
        <v>3062</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1"/>
      <c r="B14" s="1181"/>
      <c r="C14" s="1755" t="s">
        <v>3075</v>
      </c>
      <c r="D14" s="1810" t="s">
        <v>3062</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1"/>
      <c r="B15" s="1181"/>
      <c r="C15" s="1755" t="s">
        <v>3076</v>
      </c>
      <c r="D15" s="1810" t="s">
        <v>3062</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1"/>
      <c r="B16" s="1181"/>
      <c r="C16" s="1755" t="s">
        <v>3077</v>
      </c>
      <c r="D16" s="1810" t="s">
        <v>3062</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5.5">
      <c r="A17" s="1181"/>
      <c r="B17" s="1181"/>
      <c r="C17" s="1755" t="s">
        <v>3078</v>
      </c>
      <c r="D17" s="1810" t="s">
        <v>3062</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3079</v>
      </c>
      <c r="D18" s="1810" t="s">
        <v>3062</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59"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0"/>
      <c r="C1" s="1300"/>
      <c r="D1" s="1300"/>
      <c r="E1" s="1300"/>
      <c r="F1" s="1300"/>
      <c r="G1" s="1300"/>
      <c r="H1" s="1300"/>
      <c r="I1" s="1300"/>
      <c r="J1" s="1300"/>
      <c r="K1" s="1300"/>
      <c r="L1" s="1300"/>
      <c r="M1" s="1300"/>
      <c r="N1" s="1300"/>
      <c r="O1" s="1300"/>
      <c r="P1" s="1300"/>
    </row>
    <row r="2" spans="1:16" ht="15">
      <c r="A2" s="3150" t="s">
        <v>1815</v>
      </c>
      <c r="B2" s="3150"/>
      <c r="C2" s="3150"/>
      <c r="D2" s="903" t="s">
        <v>1791</v>
      </c>
      <c r="E2" s="1824" t="s">
        <v>1792</v>
      </c>
      <c r="F2" s="2869"/>
      <c r="G2" s="2860"/>
      <c r="H2" s="2861"/>
      <c r="I2" s="2545" t="s">
        <v>1816</v>
      </c>
      <c r="J2" s="2869"/>
      <c r="K2" s="2869"/>
      <c r="L2" s="2869"/>
      <c r="M2" s="2869"/>
      <c r="N2" s="2871"/>
      <c r="O2" s="2869"/>
      <c r="P2" s="2869"/>
    </row>
    <row r="3" spans="1:16" ht="15.75" thickBot="1">
      <c r="A3" s="3151" t="s">
        <v>1789</v>
      </c>
      <c r="B3" s="3151"/>
      <c r="C3" s="3151"/>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5">
      <c r="A4" s="3152"/>
      <c r="B4" s="3153"/>
      <c r="C4" s="3154"/>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c r="A5" s="47" t="s">
        <v>1793</v>
      </c>
      <c r="B5" s="3155" t="s">
        <v>1794</v>
      </c>
      <c r="C5" s="3155"/>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55" t="s">
        <v>1795</v>
      </c>
      <c r="C6" s="3155"/>
      <c r="D6" s="48">
        <f>ROUND($D$3*E6/$E$3,2)</f>
        <v>0</v>
      </c>
      <c r="E6" s="49">
        <f>E3-E5</f>
        <v>0</v>
      </c>
      <c r="F6" s="2869"/>
      <c r="G6" s="2863" t="s">
        <v>1796</v>
      </c>
      <c r="H6" s="1307" t="s">
        <v>1797</v>
      </c>
      <c r="I6" s="2864" t="e">
        <f>ROUND(F31/D31,2)</f>
        <v>#DIV/0!</v>
      </c>
      <c r="J6" s="2869"/>
      <c r="K6" s="2869"/>
      <c r="L6" s="2869"/>
      <c r="M6" s="2869"/>
      <c r="N6" s="2869"/>
      <c r="O6" s="2869"/>
      <c r="P6" s="2869"/>
    </row>
    <row r="7" spans="1:16" ht="15.75" thickBot="1">
      <c r="A7" s="3147"/>
      <c r="B7" s="3148"/>
      <c r="C7" s="3149"/>
      <c r="D7" s="1826" t="s">
        <v>1791</v>
      </c>
      <c r="E7" s="1830" t="s">
        <v>1798</v>
      </c>
      <c r="F7" s="2869"/>
      <c r="G7" s="2865" t="s">
        <v>1799</v>
      </c>
      <c r="H7" s="2866"/>
      <c r="I7" s="2867"/>
      <c r="J7" s="2869"/>
      <c r="K7" s="2869"/>
      <c r="L7" s="2869"/>
      <c r="M7" s="2869"/>
      <c r="N7" s="2869"/>
      <c r="O7" s="2869"/>
      <c r="P7" s="2869"/>
    </row>
    <row r="8" spans="1:16">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c r="A9" s="1831"/>
      <c r="B9" s="1832"/>
      <c r="C9" s="48" t="s">
        <v>1803</v>
      </c>
      <c r="D9" s="48">
        <f t="shared" si="0"/>
        <v>0</v>
      </c>
      <c r="E9" s="52">
        <v>0</v>
      </c>
      <c r="F9" s="2869"/>
      <c r="G9" s="2870"/>
      <c r="H9" s="2870"/>
      <c r="I9" s="2869"/>
      <c r="J9" s="2869"/>
      <c r="K9" s="2869"/>
      <c r="L9" s="2869"/>
      <c r="M9" s="2869"/>
      <c r="N9" s="2869"/>
      <c r="O9" s="2869"/>
      <c r="P9" s="2869"/>
    </row>
    <row r="10" spans="1:16">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29"/>
      <c r="B16" s="1832"/>
      <c r="C16" s="50" t="s">
        <v>1807</v>
      </c>
      <c r="D16" s="50">
        <f>SUM(D8:D15)</f>
        <v>0</v>
      </c>
      <c r="E16" s="53">
        <f>SUM(E8:E15)</f>
        <v>1041.3899999999999</v>
      </c>
      <c r="F16" s="2869"/>
      <c r="G16" s="2870"/>
      <c r="H16" s="1833" t="s">
        <v>1819</v>
      </c>
      <c r="I16" s="1834"/>
      <c r="J16" s="1300"/>
      <c r="K16" s="3144" t="s">
        <v>1819</v>
      </c>
      <c r="L16" s="3145"/>
      <c r="M16" s="3145"/>
      <c r="N16" s="3145"/>
      <c r="O16" s="3145"/>
      <c r="P16" s="3146"/>
    </row>
    <row r="17" spans="1:19" ht="15">
      <c r="A17" s="1835" t="s">
        <v>1820</v>
      </c>
      <c r="B17" s="1836" t="s">
        <v>1821</v>
      </c>
      <c r="C17" s="1837" t="s">
        <v>1822</v>
      </c>
      <c r="D17" s="1838" t="s">
        <v>1810</v>
      </c>
      <c r="E17" s="1839" t="s">
        <v>1811</v>
      </c>
      <c r="F17" s="1840"/>
      <c r="G17" s="1841"/>
      <c r="H17" s="1842" t="s">
        <v>1823</v>
      </c>
      <c r="I17" s="1843" t="s">
        <v>1808</v>
      </c>
      <c r="J17" s="1300"/>
      <c r="K17" s="3141" t="s">
        <v>1824</v>
      </c>
      <c r="L17" s="3142"/>
      <c r="M17" s="3143"/>
      <c r="N17" s="3141" t="s">
        <v>1825</v>
      </c>
      <c r="O17" s="3142"/>
      <c r="P17" s="3143"/>
      <c r="R17" s="1825" t="s">
        <v>1826</v>
      </c>
      <c r="S17" s="60"/>
    </row>
    <row r="18" spans="1:19" ht="15">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c r="A20" s="1856"/>
      <c r="B20" s="50" t="s">
        <v>1837</v>
      </c>
      <c r="C20" s="3030" t="s">
        <v>3083</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5">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7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Y528" sqref="Y528"/>
      <selection pane="topRight" activeCell="Y528" sqref="Y528"/>
      <selection pane="bottomLeft" activeCell="Y528" sqref="Y528"/>
      <selection pane="bottomRight" activeCell="G49" sqref="G4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7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3168</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7" t="s">
        <v>1885</v>
      </c>
      <c r="AP5" s="1158"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（北区）二期B-25A</v>
      </c>
      <c r="B6" s="1899" t="str">
        <f>IF(A6=0,"","经营性")</f>
        <v>经营性</v>
      </c>
      <c r="C6" s="1900" t="s">
        <v>3081</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3061">
        <v>0.04</v>
      </c>
      <c r="I6" s="3061">
        <v>0.04</v>
      </c>
      <c r="J6" s="70">
        <v>8.5000000000000006E-2</v>
      </c>
      <c r="K6" s="1160">
        <f>SUMIF('数据-汇总表'!C$19:C$33,A6,'数据-汇总表'!E$19:E$33)</f>
        <v>173.04</v>
      </c>
      <c r="L6" s="3033">
        <v>4500</v>
      </c>
      <c r="M6" s="71">
        <f t="shared" ref="M6:M14" si="0">ROUND(K6*L6/10000,0)</f>
        <v>78</v>
      </c>
      <c r="N6" s="739">
        <f>N19</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3062">
        <v>0.02</v>
      </c>
      <c r="AL6" s="3063">
        <v>1.5E-3</v>
      </c>
      <c r="AM6" s="3064">
        <v>1.7999999999999999E-2</v>
      </c>
      <c r="AN6" s="1901" t="s">
        <v>3086</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v>
      </c>
      <c r="B7" s="1899" t="str">
        <f t="shared" ref="B7:B13" si="1">IF(A7=0,"","经营性")</f>
        <v>经营性</v>
      </c>
      <c r="C7" s="1900" t="s">
        <v>3081</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3031" t="s">
        <v>3084</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908" t="s">
        <v>1895</v>
      </c>
      <c r="B19" s="108">
        <v>0</v>
      </c>
      <c r="C19" s="3013" t="s">
        <v>3042</v>
      </c>
      <c r="D19" s="2888"/>
      <c r="E19" s="2885"/>
      <c r="F19" s="2885"/>
      <c r="G19" s="2885"/>
      <c r="H19" s="2885"/>
      <c r="I19" s="2885"/>
      <c r="J19" s="2885"/>
      <c r="K19" s="2884"/>
      <c r="L19" s="2884"/>
      <c r="M19" s="3031" t="s">
        <v>3085</v>
      </c>
      <c r="N19" s="3032">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909" t="s">
        <v>1896</v>
      </c>
      <c r="B20" s="109">
        <v>2</v>
      </c>
      <c r="C20" s="3014" t="s">
        <v>3040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910" t="s">
        <v>1897</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909"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910"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1901</v>
      </c>
      <c r="B26" s="1912"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7.75">
      <c r="A27" s="1913" t="s">
        <v>1904</v>
      </c>
      <c r="B27" s="112"/>
      <c r="C27" s="3015" t="s">
        <v>3044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1905</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1906</v>
      </c>
      <c r="B29" s="117"/>
      <c r="C29" s="3016" t="s">
        <v>3030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1907</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1908</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1909</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1910</v>
      </c>
      <c r="B33" s="681">
        <v>0.03</v>
      </c>
      <c r="C33" s="3017" t="s">
        <v>3031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1911</v>
      </c>
      <c r="B34" s="118">
        <v>0.06</v>
      </c>
      <c r="C34" s="3017" t="s">
        <v>3032</v>
      </c>
      <c r="D34" s="2896" t="s">
        <v>3041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1912</v>
      </c>
      <c r="B35" s="115">
        <f>B30</f>
        <v>180</v>
      </c>
      <c r="C35" s="3017" t="s">
        <v>3033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9">
        <v>1.4999999999999999E-2</v>
      </c>
      <c r="C36" s="3017" t="s">
        <v>3034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17" t="s">
        <v>1914</v>
      </c>
      <c r="B37" s="120">
        <v>0.02</v>
      </c>
      <c r="C37" s="3017" t="s">
        <v>3035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15" t="s">
        <v>1915</v>
      </c>
      <c r="B38" s="118">
        <v>0.02</v>
      </c>
      <c r="C38" s="3017" t="s">
        <v>3035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18"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1917</v>
      </c>
      <c r="B40" s="1209">
        <f ca="1">存贷款利率!G1</f>
        <v>4.7500000000000001E-2</v>
      </c>
      <c r="C40" s="3017" t="s">
        <v>3036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13"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19"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19"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20" t="s">
        <v>1921</v>
      </c>
      <c r="B44" s="124">
        <v>7.0000000000000007E-2</v>
      </c>
      <c r="C44" s="3017" t="s">
        <v>3045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20" t="s">
        <v>1922</v>
      </c>
      <c r="B45" s="122">
        <v>0.03</v>
      </c>
      <c r="C45" s="3016" t="s">
        <v>3037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20" t="s">
        <v>1923</v>
      </c>
      <c r="B46" s="122">
        <v>0.02</v>
      </c>
      <c r="C46" s="3016" t="s">
        <v>3038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1924</v>
      </c>
      <c r="B47" s="125">
        <v>0</v>
      </c>
      <c r="C47" s="3019" t="s">
        <v>3046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22" t="s">
        <v>1925</v>
      </c>
      <c r="B48" s="126">
        <v>0.03</v>
      </c>
      <c r="C48" s="3016" t="s">
        <v>3037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1926</v>
      </c>
      <c r="B49" s="122">
        <v>5.0000000000000001E-4</v>
      </c>
      <c r="C49" s="3016" t="s">
        <v>3039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23"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23"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15" t="s">
        <v>1930</v>
      </c>
      <c r="B53" s="1924" t="s">
        <v>212</v>
      </c>
      <c r="C53" s="2871" t="s">
        <v>1931</v>
      </c>
      <c r="D53" s="3018" t="s">
        <v>3043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25"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25" t="s">
        <v>1933</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25" t="s">
        <v>1934</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25" t="s">
        <v>1935</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25" t="s">
        <v>1936</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25" t="s">
        <v>1937</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25"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25"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25"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6"/>
    <col min="30" max="16384" width="9" style="1872"/>
  </cols>
  <sheetData>
    <row r="1" spans="1:29" s="2676" customFormat="1" ht="18.75" thickBot="1">
      <c r="A1" s="3156" t="s">
        <v>3022</v>
      </c>
      <c r="B1" s="3157"/>
      <c r="C1" s="3157"/>
      <c r="D1" s="3157"/>
      <c r="E1" s="3157"/>
      <c r="F1" s="3157"/>
      <c r="G1" s="3157"/>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3018</v>
      </c>
      <c r="D2" s="2680"/>
      <c r="E2" s="2677"/>
      <c r="F2" s="2681"/>
      <c r="G2" s="2679" t="s">
        <v>3019</v>
      </c>
      <c r="H2" s="906"/>
      <c r="I2" s="906"/>
      <c r="J2" s="906"/>
      <c r="K2" s="906"/>
      <c r="L2" s="906"/>
      <c r="M2" s="906"/>
      <c r="N2" s="906"/>
      <c r="O2" s="906"/>
      <c r="P2" s="906"/>
      <c r="Q2" s="906"/>
      <c r="R2" s="906"/>
    </row>
    <row r="3" spans="1:29" ht="25.5">
      <c r="A3" s="2660" t="s">
        <v>3020</v>
      </c>
      <c r="B3" s="2682" t="s">
        <v>2992</v>
      </c>
      <c r="C3" s="3034" t="s">
        <v>3088</v>
      </c>
      <c r="D3" s="2683"/>
      <c r="E3" s="2661" t="s">
        <v>3020</v>
      </c>
      <c r="F3" s="2684" t="s">
        <v>2993</v>
      </c>
      <c r="G3" s="2685" t="s">
        <v>3021</v>
      </c>
      <c r="H3" s="906"/>
      <c r="I3" s="906"/>
      <c r="J3" s="906"/>
      <c r="K3" s="906"/>
      <c r="L3" s="906"/>
      <c r="M3" s="906"/>
      <c r="N3" s="906"/>
      <c r="O3" s="906"/>
      <c r="P3" s="906"/>
      <c r="Q3" s="906"/>
      <c r="R3" s="906"/>
    </row>
    <row r="4" spans="1:29" ht="36">
      <c r="A4" s="2661"/>
      <c r="B4" s="329" t="s">
        <v>2994</v>
      </c>
      <c r="C4" s="3035" t="s">
        <v>3089</v>
      </c>
      <c r="D4" s="2683"/>
      <c r="E4" s="2686"/>
      <c r="F4" s="1557" t="s">
        <v>2995</v>
      </c>
      <c r="G4" s="2687" t="s">
        <v>2996</v>
      </c>
      <c r="H4" s="906"/>
      <c r="I4" s="906"/>
      <c r="J4" s="906"/>
      <c r="K4" s="906"/>
      <c r="L4" s="906"/>
      <c r="M4" s="906"/>
      <c r="N4" s="906"/>
      <c r="O4" s="906"/>
      <c r="P4" s="906"/>
      <c r="Q4" s="906"/>
      <c r="R4" s="906"/>
    </row>
    <row r="5" spans="1:29" ht="24">
      <c r="A5" s="2661"/>
      <c r="B5" s="329" t="s">
        <v>2997</v>
      </c>
      <c r="C5" s="3035" t="s">
        <v>3089</v>
      </c>
      <c r="D5" s="2683"/>
      <c r="E5" s="2686"/>
      <c r="F5" s="329" t="s">
        <v>2998</v>
      </c>
      <c r="G5" s="2687" t="s">
        <v>2999</v>
      </c>
      <c r="H5" s="906"/>
      <c r="I5" s="906"/>
      <c r="J5" s="906"/>
      <c r="K5" s="906"/>
      <c r="L5" s="906"/>
      <c r="M5" s="906"/>
      <c r="N5" s="906"/>
      <c r="O5" s="906"/>
      <c r="P5" s="906"/>
      <c r="Q5" s="906"/>
      <c r="R5" s="906"/>
    </row>
    <row r="6" spans="1:29">
      <c r="A6" s="2661"/>
      <c r="B6" s="329" t="s">
        <v>3000</v>
      </c>
      <c r="C6" s="3036" t="s">
        <v>3090</v>
      </c>
      <c r="D6" s="2683"/>
      <c r="E6" s="2686"/>
      <c r="F6" s="329" t="s">
        <v>3001</v>
      </c>
      <c r="G6" s="2687" t="s">
        <v>3002</v>
      </c>
      <c r="H6" s="906"/>
      <c r="I6" s="906"/>
      <c r="J6" s="906"/>
      <c r="K6" s="906"/>
      <c r="L6" s="906"/>
      <c r="M6" s="906"/>
      <c r="N6" s="906"/>
      <c r="O6" s="906"/>
      <c r="P6" s="906"/>
      <c r="Q6" s="906"/>
      <c r="R6" s="906"/>
    </row>
    <row r="7" spans="1:29" ht="24.75" thickBot="1">
      <c r="A7" s="2661"/>
      <c r="B7" s="329" t="s">
        <v>2998</v>
      </c>
      <c r="C7" s="3036" t="s">
        <v>3090</v>
      </c>
      <c r="D7" s="2688"/>
      <c r="E7" s="2689"/>
      <c r="F7" s="2690" t="s">
        <v>3003</v>
      </c>
      <c r="G7" s="2691" t="s">
        <v>3004</v>
      </c>
      <c r="H7" s="906"/>
      <c r="I7" s="906"/>
      <c r="J7" s="906"/>
      <c r="K7" s="906"/>
      <c r="L7" s="906"/>
      <c r="M7" s="906"/>
      <c r="N7" s="906"/>
      <c r="O7" s="906"/>
      <c r="P7" s="906"/>
      <c r="Q7" s="906"/>
      <c r="R7" s="906"/>
    </row>
    <row r="8" spans="1:29">
      <c r="A8" s="2661"/>
      <c r="B8" s="329" t="s">
        <v>3001</v>
      </c>
      <c r="C8" s="3036" t="s">
        <v>3092</v>
      </c>
      <c r="D8" s="2688"/>
      <c r="E8" s="2688"/>
      <c r="F8" s="2692"/>
      <c r="G8" s="2692"/>
      <c r="H8" s="906"/>
      <c r="I8" s="906"/>
      <c r="J8" s="906"/>
      <c r="K8" s="906"/>
      <c r="L8" s="906"/>
      <c r="M8" s="906"/>
      <c r="N8" s="906"/>
      <c r="O8" s="906"/>
      <c r="P8" s="906"/>
      <c r="Q8" s="906"/>
      <c r="R8" s="906"/>
    </row>
    <row r="9" spans="1:29">
      <c r="A9" s="2661"/>
      <c r="B9" s="329" t="s">
        <v>3005</v>
      </c>
      <c r="C9" s="3035" t="s">
        <v>3090</v>
      </c>
      <c r="D9" s="2683"/>
      <c r="E9" s="2688"/>
      <c r="F9" s="2692"/>
      <c r="G9" s="2692"/>
      <c r="H9" s="906"/>
      <c r="I9" s="906"/>
      <c r="J9" s="906"/>
      <c r="K9" s="906"/>
      <c r="L9" s="906"/>
      <c r="M9" s="906"/>
      <c r="N9" s="906"/>
      <c r="O9" s="906"/>
      <c r="P9" s="906"/>
      <c r="Q9" s="906"/>
      <c r="R9" s="906"/>
    </row>
    <row r="10" spans="1:29" s="2698" customFormat="1" ht="15" thickBot="1">
      <c r="A10" s="2662"/>
      <c r="B10" s="2693" t="s">
        <v>3006</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8">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75" thickBot="1">
      <c r="A13" s="2707" t="s">
        <v>3023</v>
      </c>
      <c r="B13" s="2701"/>
      <c r="C13" s="2701"/>
      <c r="D13" s="2699"/>
      <c r="E13" s="2701"/>
      <c r="F13" s="2701"/>
      <c r="G13" s="2701"/>
    </row>
    <row r="14" spans="1:29" ht="15" thickBot="1">
      <c r="A14" s="2711"/>
      <c r="B14" s="2711"/>
      <c r="C14" s="2712" t="s">
        <v>3007</v>
      </c>
      <c r="D14" s="2683"/>
      <c r="E14" s="2713"/>
      <c r="F14" s="2713"/>
      <c r="G14" s="2679" t="s">
        <v>3008</v>
      </c>
    </row>
    <row r="15" spans="1:29" ht="25.5">
      <c r="A15" s="2663" t="s">
        <v>3009</v>
      </c>
      <c r="B15" s="2714" t="s">
        <v>2992</v>
      </c>
      <c r="C15" s="2715" t="str">
        <f>C3</f>
        <v>较好</v>
      </c>
      <c r="D15" s="2683"/>
      <c r="E15" s="2664" t="s">
        <v>3010</v>
      </c>
      <c r="F15" s="2714" t="s">
        <v>3011</v>
      </c>
      <c r="G15" s="2716" t="str">
        <f>G3</f>
        <v>估价对象位于XX开发区，园区建设成熟度XX，产业集聚程度XX</v>
      </c>
    </row>
    <row r="16" spans="1:29" ht="38.25">
      <c r="A16" s="2665"/>
      <c r="B16" s="2717" t="s">
        <v>2994</v>
      </c>
      <c r="C16" s="2718" t="str">
        <f>C4</f>
        <v>较好</v>
      </c>
      <c r="D16" s="2683"/>
      <c r="E16" s="2666"/>
      <c r="F16" s="2719" t="s">
        <v>2995</v>
      </c>
      <c r="G16" s="2720" t="str">
        <f>G4</f>
        <v>估价对象周边道路状况、公共交通通达情况、停车便捷程度，综合评价交通便捷度较好</v>
      </c>
    </row>
    <row r="17" spans="1:18">
      <c r="A17" s="2665"/>
      <c r="B17" s="2717" t="s">
        <v>2997</v>
      </c>
      <c r="C17" s="2718" t="str">
        <f>C5</f>
        <v>较好</v>
      </c>
      <c r="D17" s="2688"/>
      <c r="E17" s="2666"/>
      <c r="F17" s="2719" t="s">
        <v>3012</v>
      </c>
      <c r="G17" s="2721"/>
    </row>
    <row r="18" spans="1:18" ht="25.5">
      <c r="A18" s="2665"/>
      <c r="B18" s="2719" t="s">
        <v>3000</v>
      </c>
      <c r="C18" s="2720" t="str">
        <f>C6</f>
        <v>较好</v>
      </c>
      <c r="D18" s="2688"/>
      <c r="E18" s="2666"/>
      <c r="F18" s="2719" t="s">
        <v>3003</v>
      </c>
      <c r="G18" s="2720" t="str">
        <f>G7</f>
        <v>该园区内是否有污染型企业，绿化情况，卫生条件，整体环境状况判断</v>
      </c>
    </row>
    <row r="19" spans="1:18" ht="25.5">
      <c r="A19" s="2665"/>
      <c r="B19" s="2719" t="s">
        <v>3013</v>
      </c>
      <c r="C19" s="2721"/>
      <c r="D19" s="2683"/>
      <c r="E19" s="2666"/>
      <c r="F19" s="329" t="s">
        <v>2998</v>
      </c>
      <c r="G19" s="2720" t="str">
        <f>G5</f>
        <v>估价对象所在区域公共配套设施齐备情况</v>
      </c>
    </row>
    <row r="20" spans="1:18">
      <c r="A20" s="2665"/>
      <c r="B20" s="2719" t="s">
        <v>3014</v>
      </c>
      <c r="C20" s="2718" t="str">
        <f>C9</f>
        <v>较好</v>
      </c>
      <c r="D20" s="2688"/>
      <c r="E20" s="2666"/>
      <c r="F20" s="329" t="s">
        <v>3001</v>
      </c>
      <c r="G20" s="2720" t="str">
        <f>G6</f>
        <v>估价对象所在区域基础设施水平</v>
      </c>
    </row>
    <row r="21" spans="1:18">
      <c r="A21" s="2665"/>
      <c r="B21" s="329" t="s">
        <v>2998</v>
      </c>
      <c r="C21" s="2720" t="str">
        <f>C7</f>
        <v>较好</v>
      </c>
      <c r="D21" s="2683"/>
      <c r="E21" s="2666"/>
      <c r="F21" s="2719" t="s">
        <v>3015</v>
      </c>
      <c r="G21" s="2722"/>
    </row>
    <row r="22" spans="1:18" ht="13.5" customHeight="1">
      <c r="A22" s="2665"/>
      <c r="B22" s="329" t="s">
        <v>3001</v>
      </c>
      <c r="C22" s="2720" t="str">
        <f>C8</f>
        <v>六通</v>
      </c>
      <c r="D22" s="2683"/>
      <c r="E22" s="2666"/>
      <c r="F22" s="2719" t="s">
        <v>3006</v>
      </c>
      <c r="G22" s="2721"/>
    </row>
    <row r="23" spans="1:18" s="906" customFormat="1" ht="15" thickBot="1">
      <c r="A23" s="2665"/>
      <c r="B23" s="2719" t="s">
        <v>3015</v>
      </c>
      <c r="C23" s="2722"/>
      <c r="D23" s="1927"/>
      <c r="E23" s="2667"/>
      <c r="F23" s="2723" t="s">
        <v>3016</v>
      </c>
      <c r="G23" s="2724"/>
      <c r="H23" s="2708"/>
      <c r="I23" s="2709"/>
      <c r="J23" s="2708"/>
      <c r="K23" s="2708"/>
      <c r="L23" s="2709"/>
      <c r="M23" s="2708"/>
      <c r="N23" s="2708"/>
      <c r="O23" s="2709"/>
      <c r="P23" s="2708"/>
      <c r="Q23" s="2708"/>
      <c r="R23" s="2710"/>
    </row>
    <row r="24" spans="1:18" s="906" customFormat="1" ht="15" thickBot="1">
      <c r="A24" s="2668"/>
      <c r="B24" s="2723" t="s">
        <v>3017</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0" sqref="H40"/>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1041.3899999999999</v>
      </c>
      <c r="C1" s="2898"/>
      <c r="D1" s="2898"/>
      <c r="E1" s="2898"/>
      <c r="F1" s="2898"/>
      <c r="G1" s="2899"/>
      <c r="H1" s="2900"/>
      <c r="I1" s="2900"/>
      <c r="J1" s="2900"/>
      <c r="K1" s="2900"/>
    </row>
    <row r="2" spans="1:11" ht="16.5">
      <c r="A2" s="2729" t="s">
        <v>1319</v>
      </c>
      <c r="B2" s="2729">
        <f>SUM(C14:C23)</f>
        <v>0</v>
      </c>
      <c r="C2" s="2898"/>
      <c r="D2" s="2898"/>
      <c r="E2" s="2898"/>
      <c r="F2" s="2898"/>
      <c r="G2" s="2899"/>
      <c r="H2" s="2900"/>
      <c r="I2" s="2900"/>
      <c r="J2" s="2900"/>
      <c r="K2" s="2900"/>
    </row>
    <row r="3" spans="1:11" ht="16.5">
      <c r="A3" s="2729" t="s">
        <v>1328</v>
      </c>
      <c r="B3" s="2731">
        <f>项目基本情况!D3</f>
        <v>44132</v>
      </c>
      <c r="C3" s="2898"/>
      <c r="D3" s="2898"/>
      <c r="E3" s="2898"/>
      <c r="F3" s="2898"/>
      <c r="G3" s="2899"/>
      <c r="H3" s="2900"/>
      <c r="I3" s="2900"/>
      <c r="J3" s="2900"/>
      <c r="K3" s="2900"/>
    </row>
    <row r="4" spans="1:11" ht="33">
      <c r="A4" s="2729" t="s">
        <v>1327</v>
      </c>
      <c r="B4" s="2729" t="s">
        <v>1326</v>
      </c>
      <c r="C4" s="2729" t="s">
        <v>1325</v>
      </c>
      <c r="D4" s="2729" t="s">
        <v>1324</v>
      </c>
      <c r="E4" s="2898"/>
      <c r="F4" s="2899"/>
      <c r="G4" s="2899"/>
      <c r="H4" s="2900"/>
      <c r="I4" s="2900"/>
      <c r="J4" s="2900"/>
      <c r="K4" s="2900"/>
    </row>
    <row r="5" spans="1:11" ht="16.5">
      <c r="A5" s="2729" t="s">
        <v>1323</v>
      </c>
      <c r="B5" s="2729">
        <f ca="1">SUM(D14:D23)</f>
        <v>17471</v>
      </c>
      <c r="C5" s="2729">
        <f ca="1">ROUND(B5*10000/$B$1,0)</f>
        <v>167766</v>
      </c>
      <c r="D5" s="2729" t="e">
        <f ca="1">ROUND(B5*10000/$B$2,0)</f>
        <v>#DIV/0!</v>
      </c>
      <c r="E5" s="2898"/>
      <c r="F5" s="2899"/>
      <c r="G5" s="2899"/>
      <c r="H5" s="2900"/>
      <c r="I5" s="2900"/>
      <c r="J5" s="2900"/>
      <c r="K5" s="2900"/>
    </row>
    <row r="6" spans="1:11" ht="16.5">
      <c r="A6" s="2729" t="s">
        <v>1322</v>
      </c>
      <c r="B6" s="2729">
        <f ca="1">SUM(G14:G23)</f>
        <v>17471</v>
      </c>
      <c r="C6" s="2729">
        <f ca="1">ROUND(B6*10000/$B$1,0)</f>
        <v>167766</v>
      </c>
      <c r="D6" s="2729" t="e">
        <f ca="1">ROUND(B6*10000/$B$2,0)</f>
        <v>#DIV/0!</v>
      </c>
      <c r="E6" s="2898"/>
      <c r="F6" s="2899"/>
      <c r="G6" s="2899"/>
      <c r="H6" s="2900"/>
      <c r="I6" s="2900"/>
      <c r="J6" s="2900"/>
      <c r="K6" s="2900"/>
    </row>
    <row r="7" spans="1:11" ht="16.5">
      <c r="A7" s="2729" t="s">
        <v>1330</v>
      </c>
      <c r="B7" s="2729">
        <f>SUM(H14:H23)</f>
        <v>0</v>
      </c>
      <c r="C7" s="2729">
        <f>ROUND(B7*10000/$B$1,0)</f>
        <v>0</v>
      </c>
      <c r="D7" s="2729" t="e">
        <f>ROUND(B7*10000/$B$2,0)</f>
        <v>#DIV/0!</v>
      </c>
      <c r="E7" s="2898"/>
      <c r="F7" s="2899"/>
      <c r="G7" s="2899"/>
      <c r="H7" s="2900"/>
      <c r="I7" s="2900"/>
      <c r="J7" s="2900"/>
      <c r="K7" s="2900"/>
    </row>
    <row r="8" spans="1:11" ht="16.5">
      <c r="A8" s="2729" t="s">
        <v>1252</v>
      </c>
      <c r="B8" s="2729">
        <f ca="1">SUM(I14:I23)</f>
        <v>16006</v>
      </c>
      <c r="C8" s="2729">
        <f ca="1">ROUND(B8*10000/$B$1,0)</f>
        <v>153698</v>
      </c>
      <c r="D8" s="2729" t="e">
        <f ca="1">ROUND(B8*10000/$B$2,0)</f>
        <v>#DIV/0!</v>
      </c>
      <c r="E8" s="2898"/>
      <c r="F8" s="2899"/>
      <c r="G8" s="2899"/>
      <c r="H8" s="2900"/>
      <c r="I8" s="2900"/>
      <c r="J8" s="2900"/>
      <c r="K8" s="2900"/>
    </row>
    <row r="9" spans="1:11" ht="16.5">
      <c r="A9" s="2729" t="s">
        <v>1321</v>
      </c>
      <c r="B9" s="2737"/>
      <c r="C9" s="2898"/>
      <c r="D9" s="2898"/>
      <c r="E9" s="2898"/>
      <c r="F9" s="2899"/>
      <c r="G9" s="2899"/>
      <c r="H9" s="2900"/>
      <c r="I9" s="2900"/>
      <c r="J9" s="2900"/>
      <c r="K9" s="2900"/>
    </row>
    <row r="10" spans="1:11" ht="16.5">
      <c r="A10" s="2729" t="s">
        <v>1320</v>
      </c>
      <c r="B10" s="2737"/>
      <c r="C10" s="2898"/>
      <c r="D10" s="2898"/>
      <c r="E10" s="2898"/>
      <c r="F10" s="2899"/>
      <c r="G10" s="2899"/>
      <c r="H10" s="2900"/>
      <c r="I10" s="2900"/>
      <c r="J10" s="2900"/>
      <c r="K10" s="2900"/>
    </row>
    <row r="11" spans="1:11" ht="16.5">
      <c r="A11" s="2729" t="s">
        <v>1336</v>
      </c>
      <c r="B11" s="2737"/>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32" t="s">
        <v>1335</v>
      </c>
      <c r="B13" s="2733" t="s">
        <v>1332</v>
      </c>
      <c r="C13" s="2733" t="s">
        <v>1334</v>
      </c>
      <c r="D13" s="2733" t="s">
        <v>1333</v>
      </c>
      <c r="E13" s="2729" t="s">
        <v>1325</v>
      </c>
      <c r="F13" s="2729" t="s">
        <v>1324</v>
      </c>
      <c r="G13" s="2733" t="s">
        <v>1318</v>
      </c>
      <c r="H13" s="2733" t="s">
        <v>1329</v>
      </c>
      <c r="I13" s="2733" t="s">
        <v>1317</v>
      </c>
      <c r="J13" s="2899"/>
      <c r="K13" s="2900"/>
    </row>
    <row r="14" spans="1:11" ht="16.5">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16006</v>
      </c>
      <c r="J14" s="2899"/>
      <c r="K14" s="2900"/>
    </row>
    <row r="15" spans="1:11" ht="16.5">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6.5">
      <c r="A16" s="2734" t="s">
        <v>1314</v>
      </c>
      <c r="B16" s="2736"/>
      <c r="C16" s="2736"/>
      <c r="D16" s="2736"/>
      <c r="E16" s="2735" t="e">
        <f t="shared" si="0"/>
        <v>#DIV/0!</v>
      </c>
      <c r="F16" s="2735" t="e">
        <f t="shared" si="1"/>
        <v>#DIV/0!</v>
      </c>
      <c r="G16" s="1501"/>
      <c r="H16" s="1501"/>
      <c r="I16" s="2736"/>
      <c r="J16" s="2900"/>
      <c r="K16" s="2900"/>
    </row>
    <row r="17" spans="1:11" ht="16.5">
      <c r="A17" s="2734" t="s">
        <v>1313</v>
      </c>
      <c r="B17" s="2736"/>
      <c r="C17" s="2736"/>
      <c r="D17" s="2736"/>
      <c r="E17" s="2735" t="e">
        <f t="shared" si="0"/>
        <v>#DIV/0!</v>
      </c>
      <c r="F17" s="2735" t="e">
        <f t="shared" si="1"/>
        <v>#DIV/0!</v>
      </c>
      <c r="G17" s="1501"/>
      <c r="H17" s="1501"/>
      <c r="I17" s="2736"/>
      <c r="J17" s="2900"/>
      <c r="K17" s="2900"/>
    </row>
    <row r="18" spans="1:11" ht="16.5">
      <c r="A18" s="2734" t="s">
        <v>1312</v>
      </c>
      <c r="B18" s="2736"/>
      <c r="C18" s="2736"/>
      <c r="D18" s="2736"/>
      <c r="E18" s="2735" t="e">
        <f t="shared" si="0"/>
        <v>#DIV/0!</v>
      </c>
      <c r="F18" s="2735" t="e">
        <f t="shared" si="1"/>
        <v>#DIV/0!</v>
      </c>
      <c r="G18" s="2736"/>
      <c r="H18" s="2736"/>
      <c r="I18" s="2736"/>
      <c r="J18" s="2900"/>
      <c r="K18" s="2900"/>
    </row>
    <row r="19" spans="1:11" ht="16.5">
      <c r="A19" s="2734" t="s">
        <v>1311</v>
      </c>
      <c r="B19" s="2736"/>
      <c r="C19" s="2736"/>
      <c r="D19" s="2736"/>
      <c r="E19" s="2735" t="e">
        <f t="shared" si="0"/>
        <v>#DIV/0!</v>
      </c>
      <c r="F19" s="2735" t="e">
        <f t="shared" si="1"/>
        <v>#DIV/0!</v>
      </c>
      <c r="G19" s="2736"/>
      <c r="H19" s="2736"/>
      <c r="I19" s="2736"/>
      <c r="J19" s="2900"/>
      <c r="K19" s="2900"/>
    </row>
    <row r="20" spans="1:11" ht="16.5">
      <c r="A20" s="2734" t="s">
        <v>1310</v>
      </c>
      <c r="B20" s="2736"/>
      <c r="C20" s="2736"/>
      <c r="D20" s="2736"/>
      <c r="E20" s="2735" t="e">
        <f t="shared" si="0"/>
        <v>#DIV/0!</v>
      </c>
      <c r="F20" s="2735" t="e">
        <f t="shared" si="1"/>
        <v>#DIV/0!</v>
      </c>
      <c r="G20" s="2736"/>
      <c r="H20" s="2736"/>
      <c r="I20" s="2736"/>
      <c r="J20" s="2900"/>
      <c r="K20" s="2900"/>
    </row>
    <row r="21" spans="1:11" ht="16.5">
      <c r="A21" s="2734" t="s">
        <v>1309</v>
      </c>
      <c r="B21" s="2736"/>
      <c r="C21" s="2736"/>
      <c r="D21" s="2736"/>
      <c r="E21" s="2735" t="e">
        <f t="shared" si="0"/>
        <v>#DIV/0!</v>
      </c>
      <c r="F21" s="2735" t="e">
        <f t="shared" si="1"/>
        <v>#DIV/0!</v>
      </c>
      <c r="G21" s="2736"/>
      <c r="H21" s="2736"/>
      <c r="I21" s="2736"/>
      <c r="J21" s="2900"/>
      <c r="K21" s="2900"/>
    </row>
    <row r="22" spans="1:11" ht="16.5">
      <c r="A22" s="2734" t="s">
        <v>1308</v>
      </c>
      <c r="B22" s="2736"/>
      <c r="C22" s="2736"/>
      <c r="D22" s="2736"/>
      <c r="E22" s="2735" t="e">
        <f t="shared" si="0"/>
        <v>#DIV/0!</v>
      </c>
      <c r="F22" s="2735" t="e">
        <f t="shared" si="1"/>
        <v>#DIV/0!</v>
      </c>
      <c r="G22" s="2736"/>
      <c r="H22" s="2736"/>
      <c r="I22" s="2736"/>
      <c r="J22" s="2900"/>
      <c r="K22" s="2900"/>
    </row>
    <row r="23" spans="1:11" ht="16.5">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N57" sqref="N57:N60"/>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192" t="str">
        <f>项目基本情况!S2</f>
        <v>广东省深圳市南山区太古城花园（北区）二期B-25A等6套住宅用房房地产房地产</v>
      </c>
      <c r="B2" s="3193"/>
      <c r="C2" s="3193"/>
      <c r="D2" s="3193"/>
      <c r="E2" s="3193"/>
      <c r="F2" s="3193"/>
      <c r="G2" s="3193"/>
      <c r="H2" s="3193"/>
      <c r="I2" s="3194"/>
    </row>
    <row r="3" spans="1:12" ht="12.75">
      <c r="A3" s="3196" t="s">
        <v>1949</v>
      </c>
      <c r="B3" s="3197"/>
      <c r="C3" s="3197"/>
      <c r="D3" s="3197"/>
      <c r="E3" s="3197"/>
      <c r="F3" s="3197"/>
      <c r="G3" s="3197"/>
      <c r="H3" s="3197"/>
      <c r="I3" s="3197"/>
    </row>
    <row r="4" spans="1:12" ht="14.25">
      <c r="A4" s="1940" t="s">
        <v>1950</v>
      </c>
      <c r="B4" s="1941" t="s">
        <v>1951</v>
      </c>
      <c r="C4" s="1942" t="s">
        <v>3093</v>
      </c>
      <c r="D4" s="1942" t="s">
        <v>3086</v>
      </c>
      <c r="E4" s="3198" t="s">
        <v>1952</v>
      </c>
      <c r="F4" s="3199"/>
      <c r="G4" s="3199"/>
      <c r="H4" s="3199"/>
      <c r="I4" s="320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1953</v>
      </c>
      <c r="B5" s="3159">
        <v>25</v>
      </c>
      <c r="C5" s="3175"/>
      <c r="D5" s="3195"/>
      <c r="E5" s="136" t="s">
        <v>1954</v>
      </c>
      <c r="F5" s="1943"/>
      <c r="G5" s="1943"/>
      <c r="H5" s="1943"/>
      <c r="I5" s="1557"/>
    </row>
    <row r="6" spans="1:12" ht="12.75">
      <c r="A6" s="3172"/>
      <c r="B6" s="3159"/>
      <c r="C6" s="3176"/>
      <c r="D6" s="3195"/>
      <c r="E6" s="136" t="s">
        <v>1955</v>
      </c>
      <c r="F6" s="1943"/>
      <c r="G6" s="1943"/>
      <c r="H6" s="1943"/>
      <c r="I6" s="1557"/>
    </row>
    <row r="7" spans="1:12" ht="12.75">
      <c r="A7" s="3172"/>
      <c r="B7" s="3159"/>
      <c r="C7" s="3177"/>
      <c r="D7" s="3195"/>
      <c r="E7" s="136" t="s">
        <v>1956</v>
      </c>
      <c r="F7" s="1943"/>
      <c r="G7" s="1943"/>
      <c r="H7" s="1943"/>
      <c r="I7" s="1557"/>
    </row>
    <row r="8" spans="1:12" ht="12.75">
      <c r="A8" s="3172" t="s">
        <v>1957</v>
      </c>
      <c r="B8" s="3159">
        <v>15</v>
      </c>
      <c r="C8" s="3175"/>
      <c r="D8" s="3195"/>
      <c r="E8" s="136" t="s">
        <v>1958</v>
      </c>
      <c r="F8" s="1943"/>
      <c r="G8" s="1943"/>
      <c r="H8" s="1943"/>
      <c r="I8" s="1557"/>
    </row>
    <row r="9" spans="1:12" ht="12.75">
      <c r="A9" s="3172"/>
      <c r="B9" s="3159"/>
      <c r="C9" s="3177"/>
      <c r="D9" s="3195"/>
      <c r="E9" s="136" t="s">
        <v>1959</v>
      </c>
      <c r="F9" s="1943"/>
      <c r="G9" s="1943"/>
      <c r="H9" s="1943"/>
      <c r="I9" s="1557"/>
    </row>
    <row r="10" spans="1:12" ht="12.75">
      <c r="A10" s="3172" t="s">
        <v>1960</v>
      </c>
      <c r="B10" s="3159">
        <v>15</v>
      </c>
      <c r="C10" s="3175"/>
      <c r="D10" s="3195"/>
      <c r="E10" s="136" t="s">
        <v>1961</v>
      </c>
      <c r="F10" s="1943"/>
      <c r="G10" s="1943"/>
      <c r="H10" s="1943"/>
      <c r="I10" s="1557"/>
    </row>
    <row r="11" spans="1:12" ht="12.75">
      <c r="A11" s="3172"/>
      <c r="B11" s="3159"/>
      <c r="C11" s="3177"/>
      <c r="D11" s="3195"/>
      <c r="E11" s="136" t="s">
        <v>1962</v>
      </c>
      <c r="F11" s="1943"/>
      <c r="G11" s="1943"/>
      <c r="H11" s="1943"/>
      <c r="I11" s="1557"/>
    </row>
    <row r="12" spans="1:12" ht="12.75">
      <c r="A12" s="3172" t="s">
        <v>1963</v>
      </c>
      <c r="B12" s="3159">
        <v>15</v>
      </c>
      <c r="C12" s="3175"/>
      <c r="D12" s="3195"/>
      <c r="E12" s="136" t="s">
        <v>1964</v>
      </c>
      <c r="F12" s="1943"/>
      <c r="G12" s="1943"/>
      <c r="H12" s="1943"/>
      <c r="I12" s="1557"/>
    </row>
    <row r="13" spans="1:12" ht="12.75">
      <c r="A13" s="3172"/>
      <c r="B13" s="3159"/>
      <c r="C13" s="3177"/>
      <c r="D13" s="3195"/>
      <c r="E13" s="136" t="s">
        <v>1965</v>
      </c>
      <c r="F13" s="1943"/>
      <c r="G13" s="1943"/>
      <c r="H13" s="1943"/>
      <c r="I13" s="1557"/>
    </row>
    <row r="14" spans="1:12" ht="12.75">
      <c r="A14" s="3172" t="s">
        <v>1966</v>
      </c>
      <c r="B14" s="3159">
        <v>30</v>
      </c>
      <c r="C14" s="3175">
        <v>8</v>
      </c>
      <c r="D14" s="3195">
        <v>2</v>
      </c>
      <c r="E14" s="136" t="s">
        <v>1967</v>
      </c>
      <c r="F14" s="1943"/>
      <c r="G14" s="1943"/>
      <c r="H14" s="1943"/>
      <c r="I14" s="1557"/>
    </row>
    <row r="15" spans="1:12" ht="12.75">
      <c r="A15" s="3172"/>
      <c r="B15" s="3159"/>
      <c r="C15" s="3176"/>
      <c r="D15" s="3195"/>
      <c r="E15" s="136" t="s">
        <v>1968</v>
      </c>
      <c r="F15" s="1943"/>
      <c r="G15" s="1943"/>
      <c r="H15" s="1943"/>
      <c r="I15" s="1557"/>
    </row>
    <row r="16" spans="1:12" ht="12.75">
      <c r="A16" s="3172"/>
      <c r="B16" s="3159"/>
      <c r="C16" s="3177"/>
      <c r="D16" s="3195"/>
      <c r="E16" s="136" t="s">
        <v>1969</v>
      </c>
      <c r="F16" s="1943"/>
      <c r="G16" s="1943"/>
      <c r="H16" s="1943"/>
      <c r="I16" s="1557"/>
    </row>
    <row r="17" spans="1:36" ht="15">
      <c r="A17" s="1944" t="s">
        <v>1970</v>
      </c>
      <c r="B17" s="60"/>
      <c r="C17" s="137">
        <f>SUM(C5:C16)</f>
        <v>8</v>
      </c>
      <c r="D17" s="137">
        <f>SUM(D5:D16)</f>
        <v>2</v>
      </c>
      <c r="E17" s="134"/>
      <c r="F17" s="134"/>
      <c r="G17" s="134"/>
      <c r="H17" s="134"/>
      <c r="I17" s="134"/>
      <c r="K17" s="308"/>
      <c r="L17" s="308" t="s">
        <v>1971</v>
      </c>
      <c r="M17" s="308" t="s">
        <v>1972</v>
      </c>
    </row>
    <row r="18" spans="1:36" ht="31.9" customHeight="1" thickBot="1">
      <c r="A18" s="1945" t="s">
        <v>1973</v>
      </c>
      <c r="B18" s="1946"/>
      <c r="C18" s="138">
        <f>ROUND(C17/SUM(C17:D17),2)</f>
        <v>0.8</v>
      </c>
      <c r="D18" s="138">
        <f>1-C18</f>
        <v>0.19999999999999996</v>
      </c>
      <c r="E18" s="3182" t="s">
        <v>2869</v>
      </c>
      <c r="F18" s="3183"/>
      <c r="G18" s="3183"/>
      <c r="H18" s="3183"/>
      <c r="I18" s="3183"/>
      <c r="K18" s="308" t="s">
        <v>1974</v>
      </c>
      <c r="L18" s="308">
        <f>IF(C1="",'数据-汇总表'!E3,SUMIF(项目类型,C1,'数据-汇总表'!E17:E26)+SUMIF(项目类型,C1,'数据-汇总表'!I17:I26))</f>
        <v>1041.3899999999999</v>
      </c>
      <c r="M18" s="308">
        <f>IF(C1="",'数据-汇总表'!E3,SUMIF(项目类型,C1,'数据-汇总表'!E17:E26))</f>
        <v>1041.3899999999999</v>
      </c>
    </row>
    <row r="19" spans="1:36" ht="15">
      <c r="A19" s="1947" t="s">
        <v>1975</v>
      </c>
      <c r="B19" s="1948" t="s">
        <v>1976</v>
      </c>
      <c r="C19" s="139">
        <f ca="1">SUMIF(INDIRECT("'"&amp;C4&amp;"'"&amp;"!A:A"),结果表!B19,INDIRECT("'"&amp;C4&amp;"'"&amp;"!B:B"))</f>
        <v>3303</v>
      </c>
      <c r="D19" s="140">
        <f ca="1">SUMIF(INDIRECT("'"&amp;D4&amp;"'"&amp;"!A:A"),结果表!B19,INDIRECT("'"&amp;D4&amp;"'"&amp;"!B:B"))</f>
        <v>1303</v>
      </c>
      <c r="E19" s="1947" t="s">
        <v>1977</v>
      </c>
      <c r="F19" s="1948" t="s">
        <v>1976</v>
      </c>
      <c r="G19" s="141">
        <f ca="1">ROUND(C19*$C$18+D19*$D$18,0)</f>
        <v>2903</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6" t="s">
        <v>1980</v>
      </c>
      <c r="C20" s="142">
        <f ca="1">SUMIF(INDIRECT("'"&amp;C4&amp;"'"&amp;"!A:A"),结果表!B20,INDIRECT("'"&amp;C4&amp;"'"&amp;"!B:B"))</f>
        <v>190875</v>
      </c>
      <c r="D20" s="143">
        <f ca="1">SUMIF(INDIRECT("'"&amp;D4&amp;"'"&amp;"!A:A"),结果表!B20,INDIRECT("'"&amp;D4&amp;"'"&amp;"!B:B"))</f>
        <v>75294</v>
      </c>
      <c r="E20" s="1950"/>
      <c r="F20" s="1156" t="s">
        <v>1980</v>
      </c>
      <c r="G20" s="144">
        <f ca="1">ROUND(C20*$C$18+D20*$D$18,0)</f>
        <v>167759</v>
      </c>
      <c r="H20" s="916" t="s">
        <v>1981</v>
      </c>
      <c r="I20" s="134"/>
    </row>
    <row r="21" spans="1:36" ht="15" customHeight="1" thickBot="1">
      <c r="A21" s="936"/>
      <c r="B21" s="1951" t="s">
        <v>1982</v>
      </c>
      <c r="C21" s="727" t="e">
        <f ca="1">ROUND(C19*10000/L19,0)</f>
        <v>#DIV/0!</v>
      </c>
      <c r="D21" s="728" t="e">
        <f ca="1">ROUND(D19*10000/L19,0)</f>
        <v>#DIV/0!</v>
      </c>
      <c r="E21" s="936"/>
      <c r="F21" s="1951" t="s">
        <v>1982</v>
      </c>
      <c r="G21" s="145" t="e">
        <f ca="1">ROUND(G19*10000/L19,0)</f>
        <v>#DIV/0!</v>
      </c>
      <c r="H21" s="1952" t="s">
        <v>1981</v>
      </c>
      <c r="I21" s="134"/>
    </row>
    <row r="22" spans="1:36" ht="15" thickBot="1">
      <c r="A22" s="1874" t="s">
        <v>1983</v>
      </c>
      <c r="B22" s="1953"/>
      <c r="C22" s="1954"/>
      <c r="D22" s="729">
        <f ca="1">IF(C19&lt;D19,D19/C19-1,C19/D19-1)</f>
        <v>1.5349194167306215</v>
      </c>
      <c r="E22" s="134"/>
      <c r="F22" s="134"/>
      <c r="G22" s="134"/>
      <c r="H22" s="134"/>
      <c r="I22" s="134"/>
    </row>
    <row r="23" spans="1:36" ht="13.5" thickBot="1">
      <c r="A23" s="1933"/>
      <c r="B23" s="1933"/>
      <c r="C23" s="1933"/>
      <c r="D23" s="1933"/>
      <c r="E23" s="134"/>
      <c r="F23" s="134"/>
      <c r="G23" s="134"/>
      <c r="H23" s="134"/>
      <c r="I23" s="134"/>
    </row>
    <row r="24" spans="1:36" ht="14.25" hidden="1">
      <c r="A24" s="3166" t="s">
        <v>1984</v>
      </c>
      <c r="B24" s="1948" t="s">
        <v>1976</v>
      </c>
      <c r="C24" s="141">
        <f>IF(B30=0,0,D30)</f>
        <v>0</v>
      </c>
      <c r="D24" s="1955"/>
      <c r="E24" s="134"/>
      <c r="F24" s="134"/>
      <c r="G24" s="134"/>
      <c r="H24" s="134"/>
      <c r="I24" s="134"/>
    </row>
    <row r="25" spans="1:36" ht="14.25" hidden="1">
      <c r="A25" s="3167"/>
      <c r="B25" s="1156" t="s">
        <v>1980</v>
      </c>
      <c r="C25" s="146">
        <f>IF(B30=0,0,C30)</f>
        <v>0</v>
      </c>
      <c r="D25" s="1956"/>
      <c r="E25" s="134"/>
      <c r="F25" s="134"/>
      <c r="G25" s="134"/>
      <c r="H25" s="134"/>
      <c r="I25" s="134"/>
    </row>
    <row r="26" spans="1:36" ht="13.5" hidden="1" customHeight="1">
      <c r="A26" s="1957" t="s">
        <v>1985</v>
      </c>
      <c r="B26" s="147" t="s">
        <v>1986</v>
      </c>
      <c r="C26" s="147" t="s">
        <v>1987</v>
      </c>
      <c r="D26" s="148" t="s">
        <v>1988</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1989</v>
      </c>
      <c r="B30" s="147"/>
      <c r="C30" s="147"/>
      <c r="D30" s="147"/>
      <c r="E30" s="2518" t="s">
        <v>2870</v>
      </c>
      <c r="F30" s="134"/>
      <c r="G30" s="134"/>
      <c r="H30" s="134"/>
      <c r="I30" s="134"/>
    </row>
    <row r="31" spans="1:36" s="2524" customFormat="1" ht="26.45" customHeight="1" thickTop="1" thickBot="1">
      <c r="A31" s="2519"/>
      <c r="B31" s="2520"/>
      <c r="C31" s="2520"/>
      <c r="D31" s="2520"/>
      <c r="E31" s="2520"/>
      <c r="F31" s="2520"/>
      <c r="G31" s="2520"/>
      <c r="H31" s="2520"/>
      <c r="I31" s="2521" t="s">
        <v>2871</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1990</v>
      </c>
      <c r="B32" s="1960"/>
      <c r="C32" s="149">
        <f ca="1">IF(D32="总价",G19-C24,G20-C25)</f>
        <v>2903</v>
      </c>
      <c r="D32" s="1961" t="s">
        <v>3122</v>
      </c>
      <c r="E32" s="134"/>
      <c r="F32" s="134"/>
      <c r="G32" s="134"/>
      <c r="H32" s="134"/>
      <c r="I32" s="134"/>
    </row>
    <row r="33" spans="1:15" ht="15">
      <c r="A33" s="893" t="s">
        <v>1991</v>
      </c>
      <c r="B33" s="1962"/>
      <c r="C33" s="1963" t="s">
        <v>3162</v>
      </c>
      <c r="D33" s="1964"/>
      <c r="E33" s="1965" t="s">
        <v>1992</v>
      </c>
      <c r="F33" s="1966" t="str">
        <f>IF(D32="楼面单价","取值（单价）","取值（总价）")</f>
        <v>取值（总价）</v>
      </c>
      <c r="G33" s="134"/>
      <c r="H33" s="134"/>
      <c r="I33" s="134"/>
    </row>
    <row r="34" spans="1:15" ht="15">
      <c r="A34" s="1967"/>
      <c r="B34" s="1968" t="s">
        <v>1993</v>
      </c>
      <c r="C34" s="153">
        <f>IF(C33="自定义",F34,C32-C35)</f>
        <v>0</v>
      </c>
      <c r="D34" s="969">
        <f ca="1">IF(C33="自定义",ROUND(C34/C32,3),IF(C33="收益比率",SUMIF(INDIRECT("'"&amp;D33&amp;"'"&amp;"!b:b"),"土地收益比率",INDIRECT("'"&amp;D33&amp;"'"&amp;"!c:c")),SUMIF(INDIRECT("'"&amp;D33&amp;"'"&amp;"!b:b"),"土地成本比率",INDIRECT("'"&amp;D33&amp;"'"&amp;"!c:c"))))</f>
        <v>0</v>
      </c>
      <c r="E34" s="1969" t="s">
        <v>1994</v>
      </c>
      <c r="F34" s="1499"/>
      <c r="G34" s="134"/>
      <c r="H34" s="134"/>
      <c r="I34" s="134"/>
    </row>
    <row r="35" spans="1:15" ht="15.75" thickBot="1">
      <c r="A35" s="1970"/>
      <c r="B35" s="1971" t="s">
        <v>1995</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1996</v>
      </c>
      <c r="F35" s="159"/>
      <c r="G35" s="134"/>
      <c r="H35" s="134"/>
      <c r="I35" s="134"/>
    </row>
    <row r="36" spans="1:15" ht="15.75" thickBot="1">
      <c r="A36" s="3186" t="s">
        <v>1997</v>
      </c>
      <c r="B36" s="1973" t="s">
        <v>1998</v>
      </c>
      <c r="C36" s="150"/>
      <c r="D36" s="1974"/>
      <c r="E36" s="1975"/>
      <c r="F36" s="1976"/>
      <c r="G36" s="134"/>
      <c r="H36" s="134"/>
      <c r="I36" s="134"/>
    </row>
    <row r="37" spans="1:15" ht="15.75" thickBot="1">
      <c r="A37" s="3187"/>
      <c r="B37" s="1860" t="s">
        <v>1999</v>
      </c>
      <c r="C37" s="152"/>
      <c r="D37" s="1300"/>
      <c r="E37" s="1300"/>
      <c r="F37" s="1976"/>
      <c r="G37" s="134"/>
      <c r="H37" s="134"/>
      <c r="I37" s="134"/>
    </row>
    <row r="38" spans="1:15" ht="15.75" thickBot="1">
      <c r="A38" s="3188"/>
      <c r="B38" s="1977" t="s">
        <v>2000</v>
      </c>
      <c r="C38" s="682"/>
      <c r="D38" s="1978" t="s">
        <v>2001</v>
      </c>
      <c r="E38" s="1300"/>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63" t="s">
        <v>2011</v>
      </c>
      <c r="B45" s="3164"/>
      <c r="C45" s="3165"/>
      <c r="D45" s="160">
        <f ca="1">ROUND(H101*F45,0)</f>
        <v>17471</v>
      </c>
      <c r="E45" s="161" t="s">
        <v>2012</v>
      </c>
      <c r="F45" s="162">
        <v>1</v>
      </c>
      <c r="G45" s="163" t="s">
        <v>2013</v>
      </c>
      <c r="H45" s="134"/>
      <c r="I45" s="134"/>
      <c r="J45" s="3244" t="s">
        <v>2014</v>
      </c>
      <c r="K45" s="3244"/>
      <c r="L45" s="3244"/>
      <c r="M45" s="3244"/>
      <c r="N45" s="3244"/>
      <c r="O45" s="3244"/>
    </row>
    <row r="46" spans="1:15" ht="14.25" customHeight="1">
      <c r="A46" s="3160" t="s">
        <v>2015</v>
      </c>
      <c r="B46" s="3161"/>
      <c r="C46" s="3161"/>
      <c r="D46" s="3161"/>
      <c r="E46" s="3161"/>
      <c r="F46" s="3161"/>
      <c r="G46" s="3162"/>
      <c r="H46" s="1992"/>
      <c r="I46" s="164"/>
      <c r="J46" s="2740">
        <v>1</v>
      </c>
      <c r="K46" s="3225" t="s">
        <v>2016</v>
      </c>
      <c r="L46" s="3225"/>
      <c r="M46" s="3245"/>
      <c r="N46" s="3245"/>
      <c r="O46" s="3245"/>
    </row>
    <row r="47" spans="1:15" ht="12" customHeight="1">
      <c r="A47" s="165" t="s">
        <v>2017</v>
      </c>
      <c r="B47" s="166"/>
      <c r="C47" s="167"/>
      <c r="D47" s="1246" t="s">
        <v>2018</v>
      </c>
      <c r="E47" s="308" t="s">
        <v>2019</v>
      </c>
      <c r="F47" s="168" t="s">
        <v>2020</v>
      </c>
      <c r="G47" s="2755" t="s">
        <v>2021</v>
      </c>
      <c r="H47" s="2756"/>
      <c r="I47" s="164"/>
      <c r="J47" s="2740">
        <v>2</v>
      </c>
      <c r="K47" s="3225" t="s">
        <v>2022</v>
      </c>
      <c r="L47" s="3225"/>
      <c r="M47" s="3246">
        <f>'数据-取费表'!B2</f>
        <v>44132</v>
      </c>
      <c r="N47" s="3246"/>
      <c r="O47" s="3246"/>
    </row>
    <row r="48" spans="1:15" ht="25.5">
      <c r="A48" s="3191" t="s">
        <v>2023</v>
      </c>
      <c r="B48" s="3174"/>
      <c r="C48" s="3174"/>
      <c r="D48" s="2544">
        <f ca="1">IF(H48="情况1",0,IF(H48="情况2",D52,IF(H48="情况3",D53,IF(H48="情况4",D54))))</f>
        <v>932</v>
      </c>
      <c r="E48" s="2554" t="str">
        <f>IF(H48="情况4","(销售额-原购置价)×税（费）率","销售额×税（费）率")</f>
        <v>销售额×税（费）率</v>
      </c>
      <c r="F48" s="2757">
        <f>IF(H48="情况1","免征",'数据-取费表'!B41)</f>
        <v>5.6000000000000001E-2</v>
      </c>
      <c r="G48" s="2758" t="s">
        <v>2024</v>
      </c>
      <c r="H48" s="2759" t="s">
        <v>3169</v>
      </c>
      <c r="I48" s="1992"/>
      <c r="J48" s="2740">
        <v>3</v>
      </c>
      <c r="K48" s="3225" t="s">
        <v>2025</v>
      </c>
      <c r="L48" s="3225"/>
      <c r="M48" s="3247">
        <f ca="1">H101</f>
        <v>17471</v>
      </c>
      <c r="N48" s="3247"/>
      <c r="O48" s="3247"/>
    </row>
    <row r="49" spans="1:35" ht="25.5" customHeight="1">
      <c r="A49" s="2553" t="s">
        <v>2026</v>
      </c>
      <c r="B49" s="3158" t="s">
        <v>2027</v>
      </c>
      <c r="C49" s="3158"/>
      <c r="D49" s="1775">
        <v>0</v>
      </c>
      <c r="E49" s="330" t="s">
        <v>2028</v>
      </c>
      <c r="F49" s="2643" t="s">
        <v>34</v>
      </c>
      <c r="G49" s="3231"/>
      <c r="H49" s="2525" t="s">
        <v>2872</v>
      </c>
      <c r="I49" s="2526"/>
      <c r="J49" s="2740">
        <v>4</v>
      </c>
      <c r="K49" s="3225" t="str">
        <f>IF(项目基本情况!E8="房地产抵押价值","房地产抵押价值","抵押担保权已注销时的房地产抵押价值")</f>
        <v>房地产抵押价值</v>
      </c>
      <c r="L49" s="3225"/>
      <c r="M49" s="3247">
        <f ca="1">IF(项目基本情况!E8="房地产抵押价值",H107,H109)</f>
        <v>17471</v>
      </c>
      <c r="N49" s="3247"/>
      <c r="O49" s="3247"/>
    </row>
    <row r="50" spans="1:35" ht="25.5" customHeight="1">
      <c r="A50" s="2760"/>
      <c r="B50" s="3158" t="s">
        <v>2029</v>
      </c>
      <c r="C50" s="3158"/>
      <c r="D50" s="2761"/>
      <c r="E50" s="338"/>
      <c r="F50" s="2643"/>
      <c r="G50" s="3232"/>
      <c r="H50" s="2527" t="s">
        <v>2873</v>
      </c>
      <c r="I50" s="2526"/>
      <c r="J50" s="3244" t="s">
        <v>2030</v>
      </c>
      <c r="K50" s="3244"/>
      <c r="L50" s="3244"/>
      <c r="M50" s="3244"/>
      <c r="N50" s="3244"/>
      <c r="O50" s="3244"/>
    </row>
    <row r="51" spans="1:35" ht="20.45" customHeight="1">
      <c r="A51" s="2762"/>
      <c r="B51" s="3158" t="s">
        <v>2031</v>
      </c>
      <c r="C51" s="3158"/>
      <c r="D51" s="1246"/>
      <c r="E51" s="333"/>
      <c r="F51" s="2643"/>
      <c r="G51" s="3233"/>
      <c r="H51" s="2527" t="s">
        <v>2874</v>
      </c>
      <c r="I51" s="2526"/>
      <c r="J51" s="2741" t="s">
        <v>2032</v>
      </c>
      <c r="K51" s="3225" t="s">
        <v>2033</v>
      </c>
      <c r="L51" s="3225"/>
      <c r="M51" s="2741" t="s">
        <v>2034</v>
      </c>
      <c r="N51" s="2741" t="s">
        <v>2035</v>
      </c>
      <c r="O51" s="2741" t="s">
        <v>2036</v>
      </c>
    </row>
    <row r="52" spans="1:35" ht="24" customHeight="1">
      <c r="A52" s="2555" t="s">
        <v>2037</v>
      </c>
      <c r="B52" s="3158" t="s">
        <v>2038</v>
      </c>
      <c r="C52" s="3158"/>
      <c r="D52" s="1246">
        <f ca="1">ROUND(D45*'数据-取费表'!B41/(1+'数据-取费表'!C42),0)</f>
        <v>932</v>
      </c>
      <c r="E52" s="2554" t="s">
        <v>2039</v>
      </c>
      <c r="F52" s="2763">
        <f>'数据-取费表'!B41</f>
        <v>5.6000000000000001E-2</v>
      </c>
      <c r="G52" s="2764"/>
      <c r="H52" s="2753"/>
      <c r="I52" s="1993"/>
      <c r="J52" s="2740">
        <v>1</v>
      </c>
      <c r="K52" s="3226" t="s">
        <v>2040</v>
      </c>
      <c r="L52" s="3226"/>
      <c r="M52" s="3051">
        <f ca="1">D48</f>
        <v>932</v>
      </c>
      <c r="N52" s="2740" t="str">
        <f>E48</f>
        <v>销售额×税（费）率</v>
      </c>
      <c r="O52" s="3053">
        <f>F48</f>
        <v>5.6000000000000001E-2</v>
      </c>
    </row>
    <row r="53" spans="1:35" ht="12" customHeight="1">
      <c r="A53" s="2555" t="s">
        <v>2041</v>
      </c>
      <c r="B53" s="3184" t="s">
        <v>3027</v>
      </c>
      <c r="C53" s="3185"/>
      <c r="D53" s="1246">
        <f ca="1">ROUND(D45*'数据-取费表'!B41/(1+'数据-取费表'!C42),0)</f>
        <v>932</v>
      </c>
      <c r="E53" s="2554" t="s">
        <v>2039</v>
      </c>
      <c r="F53" s="2763">
        <f>'数据-取费表'!B41</f>
        <v>5.6000000000000001E-2</v>
      </c>
      <c r="G53" s="2764"/>
      <c r="H53" s="2753"/>
      <c r="I53" s="1993"/>
      <c r="J53" s="2740">
        <v>2</v>
      </c>
      <c r="K53" s="3226" t="s">
        <v>2042</v>
      </c>
      <c r="L53" s="3226"/>
      <c r="M53" s="3051">
        <f t="shared" ref="M53:O54" ca="1" si="0">D55</f>
        <v>9</v>
      </c>
      <c r="N53" s="2740" t="str">
        <f t="shared" si="0"/>
        <v>销售额×税（费）率</v>
      </c>
      <c r="O53" s="3053">
        <f t="shared" si="0"/>
        <v>5.0000000000000001E-4</v>
      </c>
    </row>
    <row r="54" spans="1:35" ht="12" customHeight="1">
      <c r="A54" s="2555" t="s">
        <v>2043</v>
      </c>
      <c r="B54" s="3184" t="s">
        <v>3028</v>
      </c>
      <c r="C54" s="3185"/>
      <c r="D54" s="1246">
        <f ca="1">C68</f>
        <v>921</v>
      </c>
      <c r="E54" s="333" t="s">
        <v>2044</v>
      </c>
      <c r="F54" s="2763">
        <f>'数据-取费表'!B41</f>
        <v>5.6000000000000001E-2</v>
      </c>
      <c r="G54" s="2764"/>
      <c r="H54" s="2765"/>
      <c r="I54" s="1993"/>
      <c r="J54" s="2740">
        <v>3</v>
      </c>
      <c r="K54" s="3226" t="s">
        <v>2045</v>
      </c>
      <c r="L54" s="3226"/>
      <c r="M54" s="3407">
        <f ca="1">ROUND(D45*P54,0)</f>
        <v>524</v>
      </c>
      <c r="N54" s="2740" t="str">
        <f t="shared" si="0"/>
        <v>增值额×税（费）率</v>
      </c>
      <c r="O54" s="3054" t="str">
        <f t="shared" si="0"/>
        <v>——</v>
      </c>
      <c r="P54" s="3406">
        <v>0.03</v>
      </c>
    </row>
    <row r="55" spans="1:35" ht="24" customHeight="1">
      <c r="A55" s="3173" t="s">
        <v>2046</v>
      </c>
      <c r="B55" s="3174"/>
      <c r="C55" s="3174"/>
      <c r="D55" s="2544">
        <f ca="1">IF(H55="个人住宅",0,ROUND(D45*I55,0))</f>
        <v>9</v>
      </c>
      <c r="E55" s="2554" t="s">
        <v>2047</v>
      </c>
      <c r="F55" s="2763">
        <f>IF(H55="正常",I55,"免征")</f>
        <v>5.0000000000000001E-4</v>
      </c>
      <c r="G55" s="2764"/>
      <c r="H55" s="2759" t="s">
        <v>3163</v>
      </c>
      <c r="I55" s="170">
        <f>'数据-取费表'!B49</f>
        <v>5.0000000000000001E-4</v>
      </c>
      <c r="J55" s="2740" t="str">
        <f>IF(H59="非个人房产","",4)</f>
        <v/>
      </c>
      <c r="K55" s="3226" t="str">
        <f>IF(H59="非个人房产","——","个人所得税")</f>
        <v>——</v>
      </c>
      <c r="L55" s="3226"/>
      <c r="M55" s="3052" t="str">
        <f>D59</f>
        <v>——</v>
      </c>
      <c r="N55" s="2225" t="str">
        <f>E59</f>
        <v>——</v>
      </c>
      <c r="O55" s="3055" t="str">
        <f>F59</f>
        <v>——</v>
      </c>
    </row>
    <row r="56" spans="1:35" ht="24.75">
      <c r="A56" s="3173" t="s">
        <v>2048</v>
      </c>
      <c r="B56" s="3174"/>
      <c r="C56" s="3174"/>
      <c r="D56" s="2544">
        <f ca="1">IF(H56="个人住宅",D57,D58)</f>
        <v>8562</v>
      </c>
      <c r="E56" s="2554" t="s">
        <v>2049</v>
      </c>
      <c r="F56" s="2763" t="str">
        <f>IF(H56="正常",F58,"免征")</f>
        <v>——</v>
      </c>
      <c r="G56" s="2766" t="s">
        <v>2050</v>
      </c>
      <c r="H56" s="2767" t="s">
        <v>3163</v>
      </c>
      <c r="I56" s="1994"/>
      <c r="J56" s="2740" t="str">
        <f>IF(项目基本情况!K6="上海银行",IF(J55="",4,J55+1),"")</f>
        <v/>
      </c>
      <c r="K56" s="3249" t="str">
        <f>IF(项目基本情况!K6="上海银行","其他处置费用","")</f>
        <v/>
      </c>
      <c r="L56" s="3250"/>
      <c r="M56" s="2742" t="str">
        <f>IF(项目基本情况!K6="上海银行",M69,"")</f>
        <v/>
      </c>
      <c r="N56" s="3249" t="str">
        <f>IF(项目基本情况!K6="上海银行","包含处置中涉及的律师、诉讼、拍卖、评估等费用","")</f>
        <v/>
      </c>
      <c r="O56" s="3252"/>
    </row>
    <row r="57" spans="1:35" ht="12.75">
      <c r="A57" s="2555" t="s">
        <v>2026</v>
      </c>
      <c r="B57" s="3184" t="s">
        <v>2051</v>
      </c>
      <c r="C57" s="3185"/>
      <c r="D57" s="1775">
        <v>0</v>
      </c>
      <c r="E57" s="330" t="s">
        <v>2028</v>
      </c>
      <c r="F57" s="308"/>
      <c r="G57" s="2764"/>
      <c r="H57" s="2768"/>
      <c r="I57" s="1994"/>
      <c r="J57" s="3226">
        <f>IF(AND(J55="",J56=""),4,IF(项目基本情况!K6="上海银行",结果表!J56+1,结果表!J55+1))</f>
        <v>4</v>
      </c>
      <c r="K57" s="3226" t="s">
        <v>2052</v>
      </c>
      <c r="L57" s="2743" t="s">
        <v>2053</v>
      </c>
      <c r="M57" s="2744"/>
      <c r="N57" s="3056">
        <f ca="1">SUMIF(M52:M56,"&lt;9e307")</f>
        <v>1465</v>
      </c>
      <c r="O57" s="2745"/>
      <c r="P57" s="2902">
        <f ca="1">N57/M49</f>
        <v>8.3853242516169657E-2</v>
      </c>
    </row>
    <row r="58" spans="1:35" ht="24.75">
      <c r="A58" s="2555" t="s">
        <v>2037</v>
      </c>
      <c r="B58" s="3184" t="s">
        <v>2054</v>
      </c>
      <c r="C58" s="3158"/>
      <c r="D58" s="2544">
        <f ca="1">IF(H58="转让取得",C81,C97)</f>
        <v>8562</v>
      </c>
      <c r="E58" s="2554" t="s">
        <v>2049</v>
      </c>
      <c r="F58" s="308" t="s">
        <v>34</v>
      </c>
      <c r="G58" s="2764"/>
      <c r="H58" s="2767" t="s">
        <v>3170</v>
      </c>
      <c r="I58" s="1994"/>
      <c r="J58" s="3226"/>
      <c r="K58" s="3226"/>
      <c r="L58" s="2743" t="s">
        <v>2055</v>
      </c>
      <c r="M58" s="2746"/>
      <c r="N58" s="3057" t="str">
        <f ca="1">NUMBERSTRING(INT(N57*10000),2)&amp;"元整"</f>
        <v>壹仟肆佰陆拾伍万元整</v>
      </c>
      <c r="O58" s="2747"/>
    </row>
    <row r="59" spans="1:35" ht="24.75" thickBot="1">
      <c r="A59" s="3229" t="s">
        <v>2056</v>
      </c>
      <c r="B59" s="3230"/>
      <c r="C59" s="3230"/>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2050</v>
      </c>
      <c r="H59" s="2529" t="s">
        <v>3164</v>
      </c>
      <c r="I59" s="2528" t="s">
        <v>2875</v>
      </c>
      <c r="J59" s="3227">
        <f>J57+1</f>
        <v>5</v>
      </c>
      <c r="K59" s="3226" t="s">
        <v>2057</v>
      </c>
      <c r="L59" s="2740" t="s">
        <v>2053</v>
      </c>
      <c r="M59" s="2748"/>
      <c r="N59" s="3058">
        <f ca="1">M49-N57</f>
        <v>16006</v>
      </c>
      <c r="O59" s="2749"/>
    </row>
    <row r="60" spans="1:35" ht="12" customHeight="1">
      <c r="A60" s="1995"/>
      <c r="B60" s="1933"/>
      <c r="C60" s="1933"/>
      <c r="D60" s="1933"/>
      <c r="E60" s="1763"/>
      <c r="F60" s="1994"/>
      <c r="G60" s="1994"/>
      <c r="H60" s="1996"/>
      <c r="I60" s="134"/>
      <c r="J60" s="3228"/>
      <c r="K60" s="3226"/>
      <c r="L60" s="2743" t="s">
        <v>2055</v>
      </c>
      <c r="M60" s="2746"/>
      <c r="N60" s="3057" t="str">
        <f ca="1">NUMBERSTRING(INT(N59*10000),2)&amp;"元整"</f>
        <v>壹亿陆仟零陆万元整</v>
      </c>
      <c r="O60" s="2747"/>
    </row>
    <row r="61" spans="1:35" ht="13.5" thickBot="1">
      <c r="A61" s="3171" t="s">
        <v>2058</v>
      </c>
      <c r="B61" s="3171"/>
      <c r="C61" s="3171"/>
      <c r="D61" s="3171"/>
      <c r="E61" s="3171"/>
      <c r="F61" s="1994"/>
      <c r="G61" s="1994"/>
      <c r="H61" s="1996"/>
      <c r="I61" s="134"/>
      <c r="J61" s="2740">
        <f>J59+1</f>
        <v>6</v>
      </c>
      <c r="K61" s="3226" t="s">
        <v>2059</v>
      </c>
      <c r="L61" s="3226"/>
      <c r="M61" s="2750"/>
      <c r="N61" s="3059">
        <f ca="1">ROUND(N59*10000/'数据-汇总表'!E3,0)</f>
        <v>153698</v>
      </c>
      <c r="O61" s="2751"/>
    </row>
    <row r="62" spans="1:35" ht="12.75">
      <c r="A62" s="3189" t="s">
        <v>2060</v>
      </c>
      <c r="B62" s="3190"/>
      <c r="C62" s="2206"/>
      <c r="D62" s="2206" t="s">
        <v>2061</v>
      </c>
      <c r="E62" s="171" t="s">
        <v>2062</v>
      </c>
      <c r="F62" s="1994"/>
      <c r="G62" s="1994"/>
      <c r="H62" s="1996"/>
      <c r="I62" s="134"/>
    </row>
    <row r="63" spans="1:35" ht="12.75">
      <c r="A63" s="178" t="s">
        <v>775</v>
      </c>
      <c r="B63" s="172" t="s">
        <v>2063</v>
      </c>
      <c r="C63" s="2773">
        <f ca="1">ROUND((C64+C65)/(1+'数据-取费表'!C42),0)</f>
        <v>16639</v>
      </c>
      <c r="D63" s="172"/>
      <c r="E63" s="173"/>
      <c r="F63" s="1994"/>
      <c r="G63" s="1994"/>
      <c r="H63" s="1996"/>
      <c r="I63" s="134"/>
      <c r="J63" s="3251" t="s">
        <v>2064</v>
      </c>
      <c r="K63" s="1502" t="s">
        <v>2065</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2066</v>
      </c>
      <c r="C64" s="2774">
        <f ca="1">D45</f>
        <v>17471</v>
      </c>
      <c r="D64" s="175" t="s">
        <v>32</v>
      </c>
      <c r="E64" s="177"/>
      <c r="F64" s="1994"/>
      <c r="G64" s="1994"/>
      <c r="H64" s="1996"/>
      <c r="I64" s="134"/>
      <c r="J64" s="3251"/>
      <c r="K64" s="1502" t="s">
        <v>2067</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2068</v>
      </c>
      <c r="Z64" s="1938"/>
      <c r="AI64" s="1939"/>
    </row>
    <row r="65" spans="1:35" ht="14.25" customHeight="1">
      <c r="A65" s="174" t="s">
        <v>771</v>
      </c>
      <c r="B65" s="175" t="s">
        <v>2069</v>
      </c>
      <c r="C65" s="2775"/>
      <c r="D65" s="175"/>
      <c r="E65" s="177"/>
      <c r="F65" s="1994"/>
      <c r="G65" s="1994"/>
      <c r="H65" s="1996"/>
      <c r="I65" s="134"/>
      <c r="J65" s="3251"/>
      <c r="K65" s="1502" t="s">
        <v>2070</v>
      </c>
      <c r="L65" s="1502">
        <f ca="1">IF(M49&gt;1000,M49*0.1%,IF(AND(M49&gt;500,M49&lt;=1000),M49*0.5%,IF(AND(M49&gt;50,M49&lt;=500),M49*1%,IF(AND(M49&gt;1,M49&lt;=50),M49*1.5%))))</f>
        <v>17.471</v>
      </c>
      <c r="M65" s="308">
        <f t="shared" ca="1" si="1"/>
        <v>17.5</v>
      </c>
      <c r="N65" s="2753" t="s">
        <v>2068</v>
      </c>
      <c r="Z65" s="1938"/>
      <c r="AI65" s="1939"/>
    </row>
    <row r="66" spans="1:35" ht="14.25" customHeight="1">
      <c r="A66" s="178" t="s">
        <v>772</v>
      </c>
      <c r="B66" s="179" t="s">
        <v>2071</v>
      </c>
      <c r="C66" s="2776">
        <f>C75</f>
        <v>196.89977300000001</v>
      </c>
      <c r="D66" s="179" t="s">
        <v>32</v>
      </c>
      <c r="E66" s="1509" t="s">
        <v>1337</v>
      </c>
      <c r="F66" s="1994"/>
      <c r="G66" s="1994"/>
      <c r="H66" s="1996"/>
      <c r="I66" s="134"/>
      <c r="J66" s="3251"/>
      <c r="K66" s="1502" t="s">
        <v>2072</v>
      </c>
      <c r="L66" s="1502">
        <f ca="1">M49*0.5%</f>
        <v>87.355000000000004</v>
      </c>
      <c r="M66" s="308">
        <f ca="1">IF(L66&gt;0.5,0.5,ROUND(L66,0))</f>
        <v>0.5</v>
      </c>
      <c r="N66" s="2753" t="s">
        <v>2073</v>
      </c>
      <c r="Z66" s="1938"/>
      <c r="AI66" s="1939"/>
    </row>
    <row r="67" spans="1:35" ht="14.25" customHeight="1">
      <c r="A67" s="178" t="s">
        <v>773</v>
      </c>
      <c r="B67" s="179" t="s">
        <v>2074</v>
      </c>
      <c r="C67" s="2777">
        <f ca="1">C63-C66</f>
        <v>16442.100226999999</v>
      </c>
      <c r="D67" s="175" t="s">
        <v>32</v>
      </c>
      <c r="E67" s="177"/>
      <c r="F67" s="1994"/>
      <c r="G67" s="1994"/>
      <c r="H67" s="1996"/>
      <c r="I67" s="134"/>
      <c r="J67" s="3251"/>
      <c r="K67" s="1502" t="s">
        <v>2075</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2076</v>
      </c>
      <c r="C68" s="2778">
        <f ca="1">IF(C67&lt;=0,0,ROUND(C67*D68,0))</f>
        <v>921</v>
      </c>
      <c r="D68" s="2779">
        <f>'数据-取费表'!B41</f>
        <v>5.6000000000000001E-2</v>
      </c>
      <c r="E68" s="184"/>
      <c r="F68" s="1994"/>
      <c r="G68" s="1994"/>
      <c r="H68" s="1996"/>
      <c r="I68" s="134"/>
      <c r="J68" s="3251"/>
      <c r="K68" s="1502" t="s">
        <v>2077</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251"/>
      <c r="K69" s="1502" t="s">
        <v>2078</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0" t="s">
        <v>2079</v>
      </c>
      <c r="B70" s="3211"/>
      <c r="C70" s="3211"/>
      <c r="D70" s="3211"/>
      <c r="E70" s="3211"/>
      <c r="F70" s="3211"/>
      <c r="G70" s="3211"/>
      <c r="H70" s="3211"/>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9" t="s">
        <v>2060</v>
      </c>
      <c r="B71" s="3190"/>
      <c r="C71" s="2206"/>
      <c r="D71" s="2206" t="s">
        <v>2061</v>
      </c>
      <c r="E71" s="185" t="s">
        <v>2062</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77">
        <f ca="1">ROUND(D45/(1+'数据-取费表'!C42),0)</f>
        <v>16639</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77">
        <f ca="1">C74+C78</f>
        <v>392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0">
        <f>M80/10000</f>
        <v>196.89977300000001</v>
      </c>
      <c r="D75" s="175" t="s">
        <v>32</v>
      </c>
      <c r="E75" s="190" t="s">
        <v>2084</v>
      </c>
      <c r="F75" s="2781" t="s">
        <v>3165</v>
      </c>
      <c r="G75" s="190" t="s">
        <v>2085</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89</v>
      </c>
      <c r="D76" s="2783">
        <v>0.05</v>
      </c>
      <c r="E76" s="3184" t="s">
        <v>2087</v>
      </c>
      <c r="F76" s="3158"/>
      <c r="G76" s="3158"/>
      <c r="H76" s="3209"/>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6</v>
      </c>
      <c r="D77" s="2784">
        <f>'数据-取费表'!B48+'数据-取费表'!B49</f>
        <v>3.0499999999999999E-2</v>
      </c>
      <c r="E77" s="2544" t="s">
        <v>2089</v>
      </c>
      <c r="F77" s="192"/>
      <c r="G77" s="2008" t="s">
        <v>3166</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85">
        <f ca="1">ROUND(D45*D78/(1+'数据-取费表'!C42),0)</f>
        <v>100</v>
      </c>
      <c r="D78" s="2786">
        <f>'数据-取费表'!B43</f>
        <v>6.000000000000001E-3</v>
      </c>
      <c r="E78" s="3168" t="s">
        <v>2091</v>
      </c>
      <c r="F78" s="3169"/>
      <c r="G78" s="3169"/>
      <c r="H78" s="3178"/>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77">
        <f ca="1">C72-C73</f>
        <v>16247</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87">
        <f ca="1">IF(C79&lt;=0,0,C79/C73)</f>
        <v>41.446428571428569</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88">
        <f ca="1">ROUND(IF(C79&lt;=0,0,IF(C80&gt;=200%,C79*60%-C73*35%,IF(C80&gt;=100%,C79*50%-C73*15%,IF(C80&gt;=50%,C79*40%-C73*5%,IF(C80&lt;50%,C79*30%,0))))),0)</f>
        <v>9611</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f>M80/'数据-汇总表'!E3</f>
        <v>1890.7400013443576</v>
      </c>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0" t="s">
        <v>2095</v>
      </c>
      <c r="B83" s="3211"/>
      <c r="C83" s="3211"/>
      <c r="D83" s="3211"/>
      <c r="E83" s="3211"/>
      <c r="F83" s="3211"/>
      <c r="G83" s="3211"/>
      <c r="H83" s="321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9" t="s">
        <v>2060</v>
      </c>
      <c r="B84" s="3190"/>
      <c r="C84" s="2206"/>
      <c r="D84" s="2206"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77">
        <f ca="1">ROUND(D45/(1+'数据-取费表'!C42),0)</f>
        <v>16639</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3065">
        <f ca="1">C87+C90+C91+C92+C93+C94</f>
        <v>1496</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85">
        <f>C88+C89</f>
        <v>537</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1">
        <f>ROUND(5000*'数据-汇总表'!E3/10000,0)</f>
        <v>521</v>
      </c>
      <c r="D88" s="2786"/>
      <c r="E88" s="199" t="s">
        <v>2098</v>
      </c>
      <c r="F88" s="2547"/>
      <c r="G88" s="200" t="s">
        <v>2099</v>
      </c>
      <c r="H88" s="2010" t="s">
        <v>3171</v>
      </c>
      <c r="I88" s="2007"/>
      <c r="J88" s="2738"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85">
        <f>ROUND(C88*D89,0)</f>
        <v>16</v>
      </c>
      <c r="D89" s="2786">
        <f>'数据-取费表'!B48+'数据-取费表'!B49</f>
        <v>3.0499999999999999E-2</v>
      </c>
      <c r="E89" s="199" t="s">
        <v>2100</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1"/>
      <c r="D90" s="2786"/>
      <c r="E90" s="199" t="str">
        <f>IF(H88="-","土地取得成本中已包含该笔费用"," ")</f>
        <v xml:space="preserve"> </v>
      </c>
      <c r="F90" s="2547"/>
      <c r="G90" s="3253" t="s">
        <v>2867</v>
      </c>
      <c r="H90" s="3254"/>
      <c r="I90" s="2007"/>
      <c r="J90" s="2738"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85">
        <f ca="1">IF(H91="——",成本法!C33,I91)</f>
        <v>537</v>
      </c>
      <c r="D91" s="2786"/>
      <c r="E91" s="3168" t="s">
        <v>2104</v>
      </c>
      <c r="F91" s="3169"/>
      <c r="G91" s="3169"/>
      <c r="H91" s="2011" t="s">
        <v>3172</v>
      </c>
      <c r="I91" s="2012">
        <f ca="1">ROUND('收益法 (元)'!C19/'收益法 (元)'!F7*'数据-汇总表'!E3/10000,0)</f>
        <v>537</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85">
        <f ca="1">ROUND((C87+C90+C91)*D92,0)</f>
        <v>107</v>
      </c>
      <c r="D92" s="2792">
        <v>0.1</v>
      </c>
      <c r="E92" s="3168" t="s">
        <v>2107</v>
      </c>
      <c r="F92" s="3169"/>
      <c r="G92" s="3169"/>
      <c r="H92" s="3178"/>
      <c r="I92" s="2007"/>
      <c r="J92" s="2739"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85">
        <f ca="1">ROUND(D45*D93/(1+'数据-取费表'!C42),0)</f>
        <v>100</v>
      </c>
      <c r="D93" s="2786">
        <f>'数据-取费表'!B43</f>
        <v>6.000000000000001E-3</v>
      </c>
      <c r="E93" s="3168" t="s">
        <v>2091</v>
      </c>
      <c r="F93" s="3169"/>
      <c r="G93" s="3169"/>
      <c r="H93" s="317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1">
        <f ca="1">ROUND((C87+C90+C91)*D94,0)</f>
        <v>215</v>
      </c>
      <c r="D94" s="2786">
        <v>0.2</v>
      </c>
      <c r="E94" s="3179" t="s">
        <v>2111</v>
      </c>
      <c r="F94" s="3180"/>
      <c r="G94" s="3180"/>
      <c r="H94" s="318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77">
        <f ca="1">ROUND(C85-C86,0)</f>
        <v>15143</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87">
        <f ca="1">IF(C95&lt;=0,0,C95/C86)</f>
        <v>10.122326203208557</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88">
        <f ca="1">ROUND(IF(C95&lt;=0,0,IF(C96&gt;=200%,C95*60%-C86*35%,IF(C96&gt;=100%,C95*50%-C86*15%,IF(C96&gt;=50%,C95*40%-C86*5%,IF(C96&lt;50%,C95*30%,0))))),0)</f>
        <v>8562</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2" t="s">
        <v>2113</v>
      </c>
      <c r="B100" s="3153"/>
      <c r="C100" s="3153"/>
      <c r="D100" s="3170"/>
      <c r="E100" s="3153" t="s">
        <v>2114</v>
      </c>
      <c r="F100" s="3153"/>
      <c r="G100" s="3153"/>
      <c r="H100" s="3170"/>
      <c r="I100" s="134"/>
    </row>
    <row r="101" spans="1:35" ht="18.75" customHeight="1">
      <c r="A101" s="3234" t="s">
        <v>2115</v>
      </c>
      <c r="B101" s="3235"/>
      <c r="C101" s="2794" t="str">
        <f>C4</f>
        <v>比较法-住宅</v>
      </c>
      <c r="D101" s="2795" t="str">
        <f>D4</f>
        <v>收益法 (元)</v>
      </c>
      <c r="E101" s="3248" t="s">
        <v>2116</v>
      </c>
      <c r="F101" s="3202"/>
      <c r="G101" s="2013" t="s">
        <v>2117</v>
      </c>
      <c r="H101" s="2804">
        <f ca="1">H118</f>
        <v>17471</v>
      </c>
      <c r="I101" s="134"/>
    </row>
    <row r="102" spans="1:35" ht="18.75" customHeight="1">
      <c r="A102" s="3204" t="s">
        <v>2118</v>
      </c>
      <c r="B102" s="2793" t="s">
        <v>2117</v>
      </c>
      <c r="C102" s="2794">
        <f ca="1">C19</f>
        <v>3303</v>
      </c>
      <c r="D102" s="2795">
        <f ca="1">D19</f>
        <v>1303</v>
      </c>
      <c r="E102" s="3248"/>
      <c r="F102" s="3202"/>
      <c r="G102" s="2013" t="s">
        <v>2119</v>
      </c>
      <c r="H102" s="2764">
        <f ca="1">I118</f>
        <v>167766</v>
      </c>
      <c r="I102" s="134"/>
    </row>
    <row r="103" spans="1:35" ht="42.75" customHeight="1">
      <c r="A103" s="3204"/>
      <c r="B103" s="2793" t="s">
        <v>2119</v>
      </c>
      <c r="C103" s="2796">
        <f ca="1">C20</f>
        <v>190875</v>
      </c>
      <c r="D103" s="2797">
        <f ca="1">D20</f>
        <v>75294</v>
      </c>
      <c r="E103" s="3242" t="s">
        <v>2120</v>
      </c>
      <c r="F103" s="3243"/>
      <c r="G103" s="2014" t="s">
        <v>2121</v>
      </c>
      <c r="H103" s="2804">
        <f>IF(D36="正常操作",H104+H105+H106,H105+H106)</f>
        <v>0</v>
      </c>
      <c r="I103" s="134"/>
    </row>
    <row r="104" spans="1:35" ht="18.75" customHeight="1">
      <c r="A104" s="3204" t="s">
        <v>2122</v>
      </c>
      <c r="B104" s="2798" t="s">
        <v>2117</v>
      </c>
      <c r="C104" s="2799">
        <f ca="1">H118</f>
        <v>17471</v>
      </c>
      <c r="D104" s="2800"/>
      <c r="E104" s="1860" t="s">
        <v>2123</v>
      </c>
      <c r="F104" s="1851"/>
      <c r="G104" s="2014" t="s">
        <v>2121</v>
      </c>
      <c r="H104" s="2805">
        <f>IF(D36="同一抵押权人同一抵押物续贷",C36&amp;"（续贷，未扣减，详见特别提示）",C36)</f>
        <v>0</v>
      </c>
      <c r="I104" s="134"/>
    </row>
    <row r="105" spans="1:35" ht="18.75" customHeight="1" thickBot="1">
      <c r="A105" s="3205"/>
      <c r="B105" s="2801" t="s">
        <v>2119</v>
      </c>
      <c r="C105" s="2802">
        <f ca="1">I118</f>
        <v>167766</v>
      </c>
      <c r="D105" s="2803"/>
      <c r="E105" s="1860" t="s">
        <v>2124</v>
      </c>
      <c r="F105" s="1851"/>
      <c r="G105" s="2014" t="s">
        <v>2121</v>
      </c>
      <c r="H105" s="2806">
        <f>C37</f>
        <v>0</v>
      </c>
      <c r="I105" s="134"/>
    </row>
    <row r="106" spans="1:35" ht="18.75" customHeight="1">
      <c r="A106" s="1933" t="s">
        <v>2125</v>
      </c>
      <c r="B106" s="1933"/>
      <c r="C106" s="1933"/>
      <c r="D106" s="1933"/>
      <c r="E106" s="2015" t="s">
        <v>2126</v>
      </c>
      <c r="F106" s="1851"/>
      <c r="G106" s="2014" t="s">
        <v>2121</v>
      </c>
      <c r="H106" s="2806">
        <f>C38</f>
        <v>0</v>
      </c>
      <c r="I106" s="134"/>
    </row>
    <row r="107" spans="1:35" ht="18.75" customHeight="1">
      <c r="A107" s="134"/>
      <c r="B107" s="134"/>
      <c r="C107" s="134"/>
      <c r="D107" s="134"/>
      <c r="E107" s="3201" t="str">
        <f>IF(项目基本情况!E8="已注销","——","3.房地产抵押价值")</f>
        <v>3.房地产抵押价值</v>
      </c>
      <c r="F107" s="3202"/>
      <c r="G107" s="2013" t="s">
        <v>2117</v>
      </c>
      <c r="H107" s="2804">
        <f ca="1">IF(E107="——","——",H101-H103)</f>
        <v>17471</v>
      </c>
      <c r="I107" s="134"/>
    </row>
    <row r="108" spans="1:35" ht="18.75" customHeight="1">
      <c r="A108" s="134"/>
      <c r="B108" s="134"/>
      <c r="C108" s="134"/>
      <c r="D108" s="134"/>
      <c r="E108" s="3201"/>
      <c r="F108" s="3202"/>
      <c r="G108" s="2013" t="s">
        <v>2119</v>
      </c>
      <c r="H108" s="2764">
        <f ca="1">ROUND(H107*10000/'数据-汇总表'!E3,0)</f>
        <v>167766</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v>
      </c>
      <c r="F109" s="3202"/>
      <c r="G109" s="2013" t="s">
        <v>2117</v>
      </c>
      <c r="H109" s="2807" t="str">
        <f>IF(E109="——","——",H101-H105-H106)</f>
        <v>——</v>
      </c>
      <c r="I109" s="134"/>
    </row>
    <row r="110" spans="1:35" ht="18.75" customHeight="1">
      <c r="A110" s="134"/>
      <c r="B110" s="134"/>
      <c r="C110" s="134"/>
      <c r="D110" s="134"/>
      <c r="E110" s="3201"/>
      <c r="F110" s="3202"/>
      <c r="G110" s="2013" t="s">
        <v>2119</v>
      </c>
      <c r="H110" s="2764"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4.抵押净值</v>
      </c>
      <c r="F111" s="3203"/>
      <c r="G111" s="2013" t="s">
        <v>2117</v>
      </c>
      <c r="H111" s="2804">
        <f ca="1">IF(E111="——","——",N59)</f>
        <v>16006</v>
      </c>
      <c r="I111" s="134"/>
    </row>
    <row r="112" spans="1:35" ht="18.75" customHeight="1" thickBot="1">
      <c r="A112" s="134"/>
      <c r="B112" s="134"/>
      <c r="C112" s="134"/>
      <c r="D112" s="134"/>
      <c r="E112" s="3237"/>
      <c r="F112" s="3238"/>
      <c r="G112" s="2016" t="s">
        <v>2119</v>
      </c>
      <c r="H112" s="2808">
        <f ca="1">IF(E111="——","——",N61)</f>
        <v>153698</v>
      </c>
      <c r="I112" s="134"/>
    </row>
    <row r="113" spans="1:27" ht="18.75" customHeight="1">
      <c r="A113" s="134"/>
      <c r="B113" s="134"/>
      <c r="C113" s="134"/>
      <c r="D113" s="134"/>
      <c r="E113" s="3206" t="s">
        <v>2125</v>
      </c>
      <c r="F113" s="3206"/>
      <c r="G113" s="3206"/>
      <c r="H113" s="3206"/>
      <c r="I113" s="134"/>
    </row>
    <row r="114" spans="1:27" ht="3.75" customHeight="1">
      <c r="A114" s="1933"/>
      <c r="B114" s="1933"/>
      <c r="C114" s="1933"/>
      <c r="D114" s="1933"/>
      <c r="E114" s="1995"/>
      <c r="F114" s="1995"/>
      <c r="G114" s="1995"/>
      <c r="H114" s="1995"/>
      <c r="I114" s="1933"/>
    </row>
    <row r="115" spans="1:27" ht="18.75" customHeight="1">
      <c r="A115" s="3219" t="s">
        <v>2127</v>
      </c>
      <c r="B115" s="3220"/>
      <c r="C115" s="3220"/>
      <c r="D115" s="3220"/>
      <c r="E115" s="3220"/>
      <c r="F115" s="3220"/>
      <c r="G115" s="3220"/>
      <c r="H115" s="3220"/>
      <c r="I115" s="3221"/>
    </row>
    <row r="116" spans="1:27" ht="27" customHeight="1">
      <c r="A116" s="3172" t="s">
        <v>2128</v>
      </c>
      <c r="B116" s="3207" t="s">
        <v>2129</v>
      </c>
      <c r="C116" s="3207" t="s">
        <v>2130</v>
      </c>
      <c r="D116" s="3223" t="s">
        <v>2131</v>
      </c>
      <c r="E116" s="3224"/>
      <c r="F116" s="3215" t="s">
        <v>2132</v>
      </c>
      <c r="G116" s="3215"/>
      <c r="H116" s="3172" t="s">
        <v>2133</v>
      </c>
      <c r="I116" s="3172"/>
    </row>
    <row r="117" spans="1:27" ht="18.75" customHeight="1">
      <c r="A117" s="3172"/>
      <c r="B117" s="3208"/>
      <c r="C117" s="3208"/>
      <c r="D117" s="2549" t="s">
        <v>2134</v>
      </c>
      <c r="E117" s="2549" t="s">
        <v>2135</v>
      </c>
      <c r="F117" s="2549" t="s">
        <v>2134</v>
      </c>
      <c r="G117" s="2549" t="s">
        <v>2136</v>
      </c>
      <c r="H117" s="2549" t="s">
        <v>2134</v>
      </c>
      <c r="I117" s="2549" t="s">
        <v>2136</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060">
        <f ca="1">典型户型修正!S22</f>
        <v>17471</v>
      </c>
      <c r="I118" s="3060">
        <f ca="1">ROUND(IF(D32="楼面单价",C32,H118*10000/B118),0)</f>
        <v>167766</v>
      </c>
    </row>
    <row r="119" spans="1:27" ht="18.75" customHeight="1">
      <c r="A119" s="3172" t="s">
        <v>2137</v>
      </c>
      <c r="B119" s="3172"/>
      <c r="C119" s="3172"/>
      <c r="D119" s="3212" t="str">
        <f>NUMBERSTRING(INT(D118*10000),2)&amp;"元整"</f>
        <v>零元整</v>
      </c>
      <c r="E119" s="3214"/>
      <c r="F119" s="3212" t="str">
        <f>NUMBERSTRING(INT(F118*10000),2)&amp;"元整"</f>
        <v>零元整</v>
      </c>
      <c r="G119" s="3214"/>
      <c r="H119" s="3212" t="str">
        <f ca="1">NUMBERSTRING(INT(H118*10000),2)&amp;"元整"</f>
        <v>壹亿柒仟肆佰柒拾壹万元整</v>
      </c>
      <c r="I119" s="3214"/>
    </row>
    <row r="120" spans="1:27" ht="18.75" customHeight="1">
      <c r="A120" s="3239" t="str">
        <f>IF(项目基本情况!B9="房地产市场价值","",MID(E103,3,LEN(E103)-2))</f>
        <v>估价师知悉的法定优先受偿款</v>
      </c>
      <c r="B120" s="3240"/>
      <c r="C120" s="3241"/>
      <c r="D120" s="3239">
        <f>H103</f>
        <v>0</v>
      </c>
      <c r="E120" s="3240"/>
      <c r="F120" s="3240"/>
      <c r="G120" s="3240"/>
      <c r="H120" s="3240"/>
      <c r="I120" s="324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6" t="s">
        <v>2137</v>
      </c>
      <c r="B121" s="3217"/>
      <c r="C121" s="3218"/>
      <c r="D121" s="3212" t="str">
        <f>IF(D120=0,"零元整",NUMBERSTRING(INT(D120*10000),2)&amp;"元整")</f>
        <v>零元整</v>
      </c>
      <c r="E121" s="3213"/>
      <c r="F121" s="3213"/>
      <c r="G121" s="3213"/>
      <c r="H121" s="3213"/>
      <c r="I121" s="3214"/>
      <c r="AA121" s="733"/>
    </row>
    <row r="122" spans="1:27" ht="18.75" customHeight="1">
      <c r="A122" s="3203" t="str">
        <f>IF(项目基本情况!B9="房地产市场价值","",MID(E107,3,LEN(E107)-2))</f>
        <v>房地产抵押价值</v>
      </c>
      <c r="B122" s="3203"/>
      <c r="C122" s="3203"/>
      <c r="D122" s="3239">
        <f ca="1">H107</f>
        <v>17471</v>
      </c>
      <c r="E122" s="3240"/>
      <c r="F122" s="3240"/>
      <c r="G122" s="3240"/>
      <c r="H122" s="3240"/>
      <c r="I122" s="3241"/>
      <c r="AA122" s="733"/>
    </row>
    <row r="123" spans="1:27" ht="18.75" customHeight="1">
      <c r="A123" s="3172" t="s">
        <v>2137</v>
      </c>
      <c r="B123" s="3172"/>
      <c r="C123" s="3172"/>
      <c r="D123" s="3212" t="str">
        <f ca="1">NUMBERSTRING(INT(D122*10000),2)&amp;"元整"</f>
        <v>壹亿柒仟肆佰柒拾壹万元整</v>
      </c>
      <c r="E123" s="3213"/>
      <c r="F123" s="3213"/>
      <c r="G123" s="3213"/>
      <c r="H123" s="3213"/>
      <c r="I123" s="3214"/>
      <c r="AA123" s="733"/>
    </row>
    <row r="124" spans="1:27" ht="18.75" customHeight="1">
      <c r="A124" s="3203" t="str">
        <f>IF(项目基本情况!B9="房地产市场价值","",MID(E109,3,LEN(E109)-2))</f>
        <v/>
      </c>
      <c r="B124" s="3203"/>
      <c r="C124" s="3203"/>
      <c r="D124" s="3239" t="str">
        <f>H109</f>
        <v>——</v>
      </c>
      <c r="E124" s="3240"/>
      <c r="F124" s="3240"/>
      <c r="G124" s="3240"/>
      <c r="H124" s="3240"/>
      <c r="I124" s="3241"/>
      <c r="AA124" s="733"/>
    </row>
    <row r="125" spans="1:27" ht="18.75" customHeight="1">
      <c r="A125" s="3172" t="s">
        <v>2137</v>
      </c>
      <c r="B125" s="3172"/>
      <c r="C125" s="3172"/>
      <c r="D125" s="3212" t="e">
        <f>NUMBERSTRING(INT(D124*10000),2)&amp;"元整"</f>
        <v>#VALUE!</v>
      </c>
      <c r="E125" s="3213"/>
      <c r="F125" s="3213"/>
      <c r="G125" s="3213"/>
      <c r="H125" s="3213"/>
      <c r="I125" s="3214"/>
      <c r="AA125" s="733"/>
    </row>
    <row r="126" spans="1:27" ht="18.75" customHeight="1">
      <c r="A126" s="3203" t="str">
        <f>IF(项目基本情况!B9="房地产市场价值","",MID(E111,3,LEN(E111)-2))</f>
        <v>抵押净值</v>
      </c>
      <c r="B126" s="3203"/>
      <c r="C126" s="3203"/>
      <c r="D126" s="3239">
        <f ca="1">H111</f>
        <v>16006</v>
      </c>
      <c r="E126" s="3240"/>
      <c r="F126" s="3240"/>
      <c r="G126" s="3240"/>
      <c r="H126" s="3240"/>
      <c r="I126" s="3241"/>
      <c r="AA126" s="733"/>
    </row>
    <row r="127" spans="1:27" ht="18.75" customHeight="1">
      <c r="A127" s="3172" t="s">
        <v>2137</v>
      </c>
      <c r="B127" s="3172"/>
      <c r="C127" s="3172"/>
      <c r="D127" s="3212" t="str">
        <f ca="1">NUMBERSTRING(INT(D126*10000),2)&amp;"元整"</f>
        <v>壹亿陆仟零陆万元整</v>
      </c>
      <c r="E127" s="3213"/>
      <c r="F127" s="3213"/>
      <c r="G127" s="3213"/>
      <c r="H127" s="3213"/>
      <c r="I127" s="3214"/>
      <c r="AA127" s="733"/>
    </row>
    <row r="128" spans="1:27" ht="21.75" customHeight="1">
      <c r="A128" s="3222" t="s">
        <v>2138</v>
      </c>
      <c r="B128" s="3222"/>
      <c r="C128" s="3222"/>
      <c r="D128" s="3222"/>
      <c r="E128" s="3222"/>
      <c r="F128" s="3222"/>
      <c r="G128" s="3222"/>
      <c r="H128" s="3222"/>
      <c r="I128" s="3222"/>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7">
        <f>MATCH(B1,'数据-取费表'!A6:A16,0)+5</f>
        <v>8</v>
      </c>
    </row>
    <row r="2" spans="1:9" s="206" customFormat="1" ht="18" customHeight="1">
      <c r="A2" s="207" t="s">
        <v>2147</v>
      </c>
      <c r="B2" s="208">
        <f ca="1">IF(D2="——",C52,C52-E2)</f>
        <v>147</v>
      </c>
      <c r="C2" s="205" t="s">
        <v>2148</v>
      </c>
      <c r="D2" s="2039" t="s">
        <v>70</v>
      </c>
      <c r="E2" s="1330"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1412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2"/>
    </row>
    <row r="9" spans="1:9" s="220" customFormat="1" ht="13.5" customHeight="1">
      <c r="A9" s="886" t="s">
        <v>800</v>
      </c>
      <c r="B9" s="230" t="s">
        <v>2163</v>
      </c>
      <c r="C9" s="231">
        <f ca="1">ROUND(D9*E9/10000,0)</f>
        <v>0</v>
      </c>
      <c r="D9" s="953">
        <f ca="1">IF(B1="",'数据-汇总表'!E5,IF(INDIRECT("'数据-取费表'!c"&amp;$G$1)="住宅",INDIRECT("'数据-取费表'!k"&amp;$G$1),0))</f>
        <v>1041.3899999999999</v>
      </c>
      <c r="E9" s="231">
        <f>'数据-取费表'!B27</f>
        <v>0</v>
      </c>
      <c r="F9" s="227"/>
      <c r="G9" s="2043"/>
      <c r="H9" s="1298"/>
      <c r="I9" s="2044"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19</v>
      </c>
      <c r="D19" s="957">
        <f ca="1">D9+D10</f>
        <v>1041.3899999999999</v>
      </c>
      <c r="E19" s="217">
        <f>'数据-取费表'!B31</f>
        <v>180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2</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4</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105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2211</v>
      </c>
    </row>
    <row r="35" spans="1:7" ht="13.5" customHeight="1">
      <c r="A35" s="887" t="s">
        <v>796</v>
      </c>
      <c r="B35" s="221" t="s">
        <v>2212</v>
      </c>
      <c r="C35" s="226">
        <f ca="1">ROUND(C34*F35,0)</f>
        <v>2</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2215</v>
      </c>
    </row>
    <row r="37" spans="1:7" s="264" customFormat="1" ht="13.5" customHeight="1">
      <c r="A37" s="887" t="s">
        <v>798</v>
      </c>
      <c r="B37" s="221" t="s">
        <v>2216</v>
      </c>
      <c r="C37" s="255">
        <f ca="1">ROUND(E37*D37*F34/10000,0)</f>
        <v>19</v>
      </c>
      <c r="D37" s="223">
        <f ca="1">D19</f>
        <v>1041.3899999999999</v>
      </c>
      <c r="E37" s="255">
        <f>'数据-取费表'!B35</f>
        <v>180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5</v>
      </c>
      <c r="D42" s="244"/>
      <c r="E42" s="244"/>
      <c r="F42" s="245"/>
      <c r="G42" s="3255" t="s">
        <v>2229</v>
      </c>
    </row>
    <row r="43" spans="1:7" ht="13.5" customHeight="1">
      <c r="A43" s="887" t="s">
        <v>792</v>
      </c>
      <c r="B43" s="221" t="s">
        <v>2230</v>
      </c>
      <c r="C43" s="244">
        <f ca="1">ROUND(IF('数据-取费表'!B22&lt;=1,C39*F22*'数据-取费表'!B21/2,C39*(POWER((1+F22),'数据-取费表'!B21/2)-1)),0)</f>
        <v>0</v>
      </c>
      <c r="D43" s="244"/>
      <c r="E43" s="244"/>
      <c r="F43" s="245"/>
      <c r="G43" s="3256"/>
    </row>
    <row r="44" spans="1:7" ht="13.5" customHeight="1">
      <c r="A44" s="887" t="s">
        <v>793</v>
      </c>
      <c r="B44" s="221" t="s">
        <v>2231</v>
      </c>
      <c r="C44" s="244">
        <f ca="1">ROUND(IF('数据-取费表'!B22&lt;=1,C40*F22*'数据-取费表'!B21/2,C40*(POWER((1+F22),'数据-取费表'!B21/2)-1)),4)</f>
        <v>1E-3</v>
      </c>
      <c r="D44" s="244"/>
      <c r="E44" s="244"/>
      <c r="F44" s="245"/>
      <c r="G44" s="3257"/>
    </row>
    <row r="45" spans="1:7" s="220" customFormat="1" ht="13.5" customHeight="1">
      <c r="A45" s="261" t="s">
        <v>2232</v>
      </c>
      <c r="B45" s="250" t="s">
        <v>2198</v>
      </c>
      <c r="C45" s="251">
        <f ca="1">C46</f>
        <v>21</v>
      </c>
      <c r="D45" s="241">
        <f ca="1">C47</f>
        <v>4.0000000000000001E-3</v>
      </c>
      <c r="E45" s="242" t="s">
        <v>2224</v>
      </c>
      <c r="F45" s="2534">
        <f ca="1">F27</f>
        <v>0.2</v>
      </c>
      <c r="G45" s="253" t="s">
        <v>2233</v>
      </c>
    </row>
    <row r="46" spans="1:7" s="220" customFormat="1" ht="13.5" customHeight="1">
      <c r="A46" s="887" t="s">
        <v>791</v>
      </c>
      <c r="B46" s="254" t="s">
        <v>2234</v>
      </c>
      <c r="C46" s="255">
        <f ca="1">ROUND((C33+C39)*F27,0)</f>
        <v>21</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3">
        <f>F30</f>
        <v>5.6000000000000001E-2</v>
      </c>
      <c r="G48" s="240" t="s">
        <v>2237</v>
      </c>
    </row>
    <row r="49" spans="1:7" ht="16.5" customHeight="1">
      <c r="A49" s="261" t="s">
        <v>2203</v>
      </c>
      <c r="B49" s="216" t="s">
        <v>2238</v>
      </c>
      <c r="C49" s="238">
        <f ca="1">ROUND((C33+C39+C41+C45)/(1-C40-D41-D45-C48),0)</f>
        <v>144</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120</v>
      </c>
      <c r="D51" s="238"/>
      <c r="E51" s="238"/>
      <c r="F51" s="270"/>
      <c r="G51" s="240" t="s">
        <v>2245</v>
      </c>
    </row>
    <row r="52" spans="1:7" s="214" customFormat="1" ht="16.5" thickBot="1">
      <c r="A52" s="271" t="s">
        <v>2246</v>
      </c>
      <c r="B52" s="272"/>
      <c r="C52" s="273">
        <f ca="1">C31+C51</f>
        <v>147</v>
      </c>
      <c r="D52" s="272"/>
      <c r="E52" s="272"/>
      <c r="F52" s="272"/>
      <c r="G52" s="274"/>
    </row>
    <row r="55" spans="1:7" ht="15">
      <c r="B55" s="276" t="s">
        <v>2247</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6" t="str">
        <f>项目基本情况!B1</f>
        <v>广东省深圳市南山区太古城花园（北区）二期B-25A等6套住宅用房房地产房地产抵押价值预评估</v>
      </c>
      <c r="C37" s="3066"/>
      <c r="D37" s="3066"/>
      <c r="E37" s="3066"/>
      <c r="F37" s="3066"/>
      <c r="G37" s="3066"/>
      <c r="H37" s="3066"/>
      <c r="I37" s="3066"/>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7">
        <f>MATCH(B1,'数据-取费表'!A6:A16,0)+5</f>
        <v>8</v>
      </c>
      <c r="H1" s="1191" t="str">
        <f>IF(ISERROR(FIND("住宅",B1)),"非住宅","住宅")</f>
        <v>非住宅</v>
      </c>
    </row>
    <row r="2" spans="1:8" s="206" customFormat="1" ht="18" customHeight="1">
      <c r="A2" s="207" t="s">
        <v>2147</v>
      </c>
      <c r="B2" s="208">
        <f ca="1">ROUND(IF(D2="——",C52/10000,C52/10000-E2),0)</f>
        <v>147</v>
      </c>
      <c r="C2" s="205" t="s">
        <v>2148</v>
      </c>
      <c r="D2" s="2039" t="s">
        <v>70</v>
      </c>
      <c r="E2" s="1330"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1412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0</v>
      </c>
      <c r="D8" s="228"/>
      <c r="E8" s="226"/>
      <c r="F8" s="227"/>
      <c r="G8" s="2042"/>
    </row>
    <row r="9" spans="1:8" s="220" customFormat="1" ht="13.5" customHeight="1">
      <c r="A9" s="886" t="s">
        <v>800</v>
      </c>
      <c r="B9" s="230" t="s">
        <v>2163</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187450</v>
      </c>
      <c r="D19" s="957">
        <f ca="1">D9+D10</f>
        <v>1041.3899999999999</v>
      </c>
      <c r="E19" s="217">
        <f>'数据-取费表'!B31</f>
        <v>180</v>
      </c>
      <c r="F19" s="237"/>
      <c r="G19" s="2042"/>
    </row>
    <row r="20" spans="1:7" s="220" customFormat="1" ht="13.5" customHeight="1">
      <c r="A20" s="261" t="s">
        <v>2259</v>
      </c>
      <c r="B20" s="216" t="s">
        <v>2260</v>
      </c>
      <c r="C20" s="238">
        <f ca="1">ROUND((C5+C19)*F20,0)</f>
        <v>3749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18409</v>
      </c>
      <c r="D22" s="241">
        <f ca="1">C26</f>
        <v>1E-3</v>
      </c>
      <c r="E22" s="242" t="s">
        <v>2264</v>
      </c>
      <c r="F22" s="243">
        <f ca="1">'数据-取费表'!B40</f>
        <v>4.7500000000000001E-2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18231</v>
      </c>
      <c r="D24" s="244"/>
      <c r="E24" s="244"/>
      <c r="F24" s="245"/>
      <c r="G24" s="246" t="s">
        <v>2271</v>
      </c>
    </row>
    <row r="25" spans="1:7" s="220" customFormat="1" ht="24">
      <c r="A25" s="887" t="s">
        <v>2161</v>
      </c>
      <c r="B25" s="221" t="s">
        <v>2272</v>
      </c>
      <c r="C25" s="1289">
        <f ca="1">ROUND(IF('数据-取费表'!B22&lt;=1,C20*F22*'数据-取费表'!B22/2,C20*(POWER((1+F22),'数据-取费表'!B22/2)-1)),0)</f>
        <v>178</v>
      </c>
      <c r="D25" s="244"/>
      <c r="E25" s="247"/>
      <c r="F25" s="245"/>
      <c r="G25" s="248" t="s">
        <v>2273</v>
      </c>
    </row>
    <row r="26" spans="1:7" s="220" customFormat="1">
      <c r="A26" s="887"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38240</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38240</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268903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1047891</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2212</v>
      </c>
      <c r="C35" s="226">
        <f ca="1">ROUND(C34*F35,0)</f>
        <v>23360</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46721</v>
      </c>
      <c r="D36" s="226"/>
      <c r="E36" s="226"/>
      <c r="F36" s="265">
        <f>'数据-取费表'!B34</f>
        <v>0.06</v>
      </c>
      <c r="G36" s="266" t="s">
        <v>2215</v>
      </c>
    </row>
    <row r="37" spans="1:7" s="264" customFormat="1" ht="13.5" customHeight="1">
      <c r="A37" s="887" t="s">
        <v>798</v>
      </c>
      <c r="B37" s="221" t="s">
        <v>2216</v>
      </c>
      <c r="C37" s="255">
        <f ca="1">ROUND(E37*D37,0)</f>
        <v>187450</v>
      </c>
      <c r="D37" s="223">
        <f ca="1">D19</f>
        <v>1041.3899999999999</v>
      </c>
      <c r="E37" s="255">
        <f>'数据-取费表'!B35</f>
        <v>180</v>
      </c>
      <c r="F37" s="265"/>
      <c r="G37" s="267"/>
    </row>
    <row r="38" spans="1:7" ht="13.5" customHeight="1">
      <c r="A38" s="887" t="s">
        <v>799</v>
      </c>
      <c r="B38" s="221" t="s">
        <v>2218</v>
      </c>
      <c r="C38" s="226">
        <f ca="1">ROUND(C34*F38,0)</f>
        <v>11680</v>
      </c>
      <c r="D38" s="226"/>
      <c r="E38" s="226"/>
      <c r="F38" s="265">
        <f>'数据-取费表'!B36</f>
        <v>1.4999999999999999E-2</v>
      </c>
      <c r="G38" s="225" t="s">
        <v>2213</v>
      </c>
    </row>
    <row r="39" spans="1:7" s="220" customFormat="1" ht="13.5" customHeight="1">
      <c r="A39" s="261" t="s">
        <v>2219</v>
      </c>
      <c r="B39" s="216" t="s">
        <v>2220</v>
      </c>
      <c r="C39" s="238">
        <f ca="1">ROUND(C33*F20,0)</f>
        <v>20958</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50771</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49775</v>
      </c>
      <c r="D42" s="244"/>
      <c r="E42" s="244"/>
      <c r="F42" s="245"/>
      <c r="G42" s="3255" t="s">
        <v>2276</v>
      </c>
    </row>
    <row r="43" spans="1:7" ht="13.5" customHeight="1">
      <c r="A43" s="887" t="s">
        <v>792</v>
      </c>
      <c r="B43" s="221" t="s">
        <v>2230</v>
      </c>
      <c r="C43" s="244">
        <f ca="1">ROUND(IF('数据-取费表'!B22&lt;=1,C39*F22*'数据-取费表'!B20/2,C39*(POWER((1+F22),'数据-取费表'!B20/2)-1)),0)</f>
        <v>996</v>
      </c>
      <c r="D43" s="244"/>
      <c r="E43" s="244"/>
      <c r="F43" s="245"/>
      <c r="G43" s="3256"/>
    </row>
    <row r="44" spans="1:7" ht="13.5" customHeight="1">
      <c r="A44" s="887" t="s">
        <v>793</v>
      </c>
      <c r="B44" s="221" t="s">
        <v>2231</v>
      </c>
      <c r="C44" s="244">
        <f ca="1">ROUND(IF('数据-取费表'!B22&lt;=1,C40*F22*'数据-取费表'!B20/2,C40*(POWER((1+F22),'数据-取费表'!B20/2)-1)),4)</f>
        <v>1E-3</v>
      </c>
      <c r="D44" s="244"/>
      <c r="E44" s="244"/>
      <c r="F44" s="245"/>
      <c r="G44" s="3257"/>
    </row>
    <row r="45" spans="1:7" s="220" customFormat="1" ht="13.5" customHeight="1">
      <c r="A45" s="261" t="s">
        <v>2232</v>
      </c>
      <c r="B45" s="250" t="s">
        <v>2198</v>
      </c>
      <c r="C45" s="251">
        <f ca="1">C46</f>
        <v>213770</v>
      </c>
      <c r="D45" s="241">
        <f ca="1">C47</f>
        <v>4.0000000000000001E-3</v>
      </c>
      <c r="E45" s="242" t="s">
        <v>2224</v>
      </c>
      <c r="F45" s="2534">
        <f ca="1">F27</f>
        <v>0.2</v>
      </c>
      <c r="G45" s="253" t="s">
        <v>2233</v>
      </c>
    </row>
    <row r="46" spans="1:7" s="220" customFormat="1" ht="13.5" customHeight="1">
      <c r="A46" s="887" t="s">
        <v>791</v>
      </c>
      <c r="B46" s="254" t="s">
        <v>2234</v>
      </c>
      <c r="C46" s="255">
        <f ca="1">ROUND((C33+C39)*F27,0)</f>
        <v>213770</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3">
        <f>F30</f>
        <v>5.6000000000000001E-2</v>
      </c>
      <c r="G48" s="240" t="s">
        <v>2237</v>
      </c>
    </row>
    <row r="49" spans="1:7" ht="16.5" customHeight="1">
      <c r="A49" s="261" t="s">
        <v>2203</v>
      </c>
      <c r="B49" s="216" t="s">
        <v>2277</v>
      </c>
      <c r="C49" s="238">
        <f ca="1">ROUND((C33+C39+C41+C45)/(1-C40-D41-D45-C48),0)</f>
        <v>1446664</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1200731</v>
      </c>
      <c r="D51" s="238"/>
      <c r="E51" s="238"/>
      <c r="F51" s="270"/>
      <c r="G51" s="240" t="s">
        <v>2245</v>
      </c>
    </row>
    <row r="52" spans="1:7" s="214" customFormat="1" ht="16.5" thickBot="1">
      <c r="A52" s="271" t="s">
        <v>2246</v>
      </c>
      <c r="B52" s="272"/>
      <c r="C52" s="273">
        <f ca="1">C31+C51</f>
        <v>1469634</v>
      </c>
      <c r="D52" s="272"/>
      <c r="E52" s="272"/>
      <c r="F52" s="272"/>
      <c r="G52" s="274"/>
    </row>
    <row r="55" spans="1:7" ht="15">
      <c r="B55" s="276" t="s">
        <v>2247</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20"/>
      <c r="F1" s="3020"/>
      <c r="G1" s="2883"/>
      <c r="H1" s="3020"/>
      <c r="I1" s="3020"/>
      <c r="J1" s="3020"/>
      <c r="K1" s="3021">
        <f>MATCH(C1,'数据-取费表'!A6:A16,0)+5</f>
        <v>8</v>
      </c>
    </row>
    <row r="2" spans="1:33" ht="18" customHeight="1">
      <c r="A2" s="207" t="s">
        <v>2147</v>
      </c>
      <c r="B2" s="210">
        <f ca="1">C32</f>
        <v>0</v>
      </c>
      <c r="C2" s="282" t="s">
        <v>2280</v>
      </c>
      <c r="D2" s="282"/>
      <c r="E2" s="3020"/>
      <c r="F2" s="3020"/>
      <c r="G2" s="3020"/>
      <c r="H2" s="3020"/>
      <c r="I2" s="3020"/>
      <c r="J2" s="3020"/>
      <c r="K2" s="3020"/>
    </row>
    <row r="3" spans="1:33" ht="18" customHeight="1" thickBot="1">
      <c r="A3" s="209" t="s">
        <v>2149</v>
      </c>
      <c r="B3" s="210">
        <f ca="1">ROUND(B2*10000/IF(C1="",'数据-汇总表'!E3,INDIRECT("'数据-取费表'!K"&amp;$K$1)),0)</f>
        <v>0</v>
      </c>
      <c r="C3" s="282" t="s">
        <v>2281</v>
      </c>
      <c r="D3" s="282"/>
      <c r="E3" s="3020"/>
      <c r="F3" s="3020"/>
      <c r="G3" s="3020"/>
      <c r="H3" s="3020"/>
      <c r="I3" s="3020"/>
      <c r="J3" s="3020"/>
      <c r="K3" s="3020"/>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0.06</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1041.3899999999999</v>
      </c>
      <c r="E14" s="24">
        <f>'数据-取费表'!B35</f>
        <v>180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1041.3899999999999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2329</v>
      </c>
      <c r="B28" s="2051"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2"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60" t="s">
        <v>1368</v>
      </c>
      <c r="C6" s="1205">
        <f ca="1">ROUND(F6*F8*F7*(1-F9)/10000,0)</f>
        <v>0</v>
      </c>
      <c r="D6" s="160" t="s">
        <v>2846</v>
      </c>
      <c r="E6" s="308" t="s">
        <v>1370</v>
      </c>
      <c r="F6" s="309">
        <f ca="1">INDIRECT("'数据-取费表'!u"&amp;$G$1)</f>
        <v>0</v>
      </c>
      <c r="G6" s="1568"/>
      <c r="H6" s="1200" t="s">
        <v>1003</v>
      </c>
      <c r="I6" s="3260" t="s">
        <v>1368</v>
      </c>
      <c r="J6" s="307">
        <f ca="1">ROUND(M6*M8*M7*(1-M9)/10000,0)</f>
        <v>0</v>
      </c>
      <c r="K6" s="160" t="s">
        <v>2845</v>
      </c>
      <c r="L6" s="308" t="s">
        <v>1370</v>
      </c>
      <c r="M6" s="309">
        <f ca="1">INDIRECT("'数据-取费表'!z"&amp;$G$1)</f>
        <v>0</v>
      </c>
    </row>
    <row r="7" spans="1:37" ht="18" customHeight="1">
      <c r="A7" s="1204"/>
      <c r="B7" s="3261"/>
      <c r="C7" s="1206"/>
      <c r="D7" s="313"/>
      <c r="E7" s="1207" t="s">
        <v>1371</v>
      </c>
      <c r="F7" s="309">
        <f ca="1">IF(INDIRECT("'数据-取费表'!ah"&amp;$G$1)="",INDIRECT("'数据-取费表'!k"&amp;$G$1),INDIRECT("'数据-取费表'!ah"&amp;$G$1))</f>
        <v>0</v>
      </c>
      <c r="G7" s="1568"/>
      <c r="H7" s="310"/>
      <c r="I7" s="3261"/>
      <c r="J7" s="312"/>
      <c r="K7" s="313"/>
      <c r="L7" s="308" t="s">
        <v>1371</v>
      </c>
      <c r="M7" s="309">
        <f ca="1">F7</f>
        <v>0</v>
      </c>
    </row>
    <row r="8" spans="1:37" ht="18" customHeight="1">
      <c r="A8" s="310"/>
      <c r="B8" s="3261"/>
      <c r="C8" s="312"/>
      <c r="D8" s="313"/>
      <c r="E8" s="308" t="s">
        <v>1372</v>
      </c>
      <c r="F8" s="309">
        <f ca="1">INDIRECT("'数据-取费表'!ai"&amp;$G$1)</f>
        <v>0</v>
      </c>
      <c r="G8" s="1568"/>
      <c r="H8" s="310"/>
      <c r="I8" s="3261"/>
      <c r="J8" s="312"/>
      <c r="K8" s="313"/>
      <c r="L8" s="308" t="s">
        <v>1372</v>
      </c>
      <c r="M8" s="309">
        <f ca="1">INDIRECT("'数据-取费表'!ai"&amp;$G$1)</f>
        <v>0</v>
      </c>
    </row>
    <row r="9" spans="1:37" ht="18" customHeight="1">
      <c r="A9" s="310"/>
      <c r="B9" s="3262"/>
      <c r="C9" s="312"/>
      <c r="D9" s="313"/>
      <c r="E9" s="308" t="s">
        <v>1373</v>
      </c>
      <c r="F9" s="318">
        <f ca="1">INDIRECT("'数据-取费表'!w"&amp;$G$1)</f>
        <v>0</v>
      </c>
      <c r="G9" s="1568"/>
      <c r="H9" s="310"/>
      <c r="I9" s="3262"/>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2854</v>
      </c>
      <c r="E10" s="319" t="s">
        <v>1375</v>
      </c>
      <c r="F10" s="1275"/>
      <c r="G10" s="1568"/>
      <c r="H10" s="1200" t="s">
        <v>1007</v>
      </c>
      <c r="I10" s="1549" t="s">
        <v>1374</v>
      </c>
      <c r="J10" s="307">
        <f ca="1">ROUND(IF(M10="押一",J6/12*M11,IF(M10="押二",J6/12*2*M11,IF(M10="押三",J6/12*3*M11,J11*M11))),0)</f>
        <v>0</v>
      </c>
      <c r="K10" s="1550" t="s">
        <v>2853</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ROUND(F49*F51*F50*(1-F52)/10000,0)</f>
        <v>0</v>
      </c>
      <c r="D49" s="1185" t="s">
        <v>2847</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24.75" thickBot="1">
      <c r="A53" s="1313" t="s">
        <v>1105</v>
      </c>
      <c r="B53" s="1557" t="s">
        <v>1374</v>
      </c>
      <c r="C53" s="322">
        <f ca="1">ROUND(IF(F53="押一",C49/12*F11,IF(F53="押二",C49/12*2*F11,IF(F53="押三",C49/12*3*F11,C54*F11))),0)</f>
        <v>0</v>
      </c>
      <c r="D53" s="1550" t="s">
        <v>2853</v>
      </c>
      <c r="E53" s="319" t="s">
        <v>1375</v>
      </c>
      <c r="F53" s="1275"/>
      <c r="I53" s="1623" t="s">
        <v>1512</v>
      </c>
      <c r="J53" s="2383">
        <f ca="1">IF(M47="住宅",IF(D1="——",MAX(J51,L48),MAX(J51,L48-'数据-取费表'!B24)),IF(D1="——",MIN(J51,L48),MIN(J51,L48-'数据-取费表'!B24)))</f>
        <v>0</v>
      </c>
      <c r="K53" s="3258" t="s">
        <v>1513</v>
      </c>
      <c r="L53" s="3259"/>
      <c r="O53" s="1602" t="s">
        <v>1014</v>
      </c>
      <c r="P53" s="1603" t="s">
        <v>1514</v>
      </c>
      <c r="Q53" s="1604" t="e">
        <f ca="1">Q47+Q48</f>
        <v>#DIV/0!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4"/>
      <c r="O70" s="1612" t="s">
        <v>1017</v>
      </c>
      <c r="P70" s="1651" t="s">
        <v>1550</v>
      </c>
      <c r="Q70" s="1604">
        <f ca="1">C13</f>
        <v>0</v>
      </c>
      <c r="R70" s="1604" t="s">
        <v>1494</v>
      </c>
    </row>
    <row r="71" spans="1:18" s="1568" customFormat="1" ht="13.5"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1" zoomScale="80" zoomScaleNormal="60" zoomScaleSheetLayoutView="80" workbookViewId="0">
      <selection activeCell="G33" sqref="G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2349</v>
      </c>
      <c r="C1" s="1405" t="s">
        <v>2350</v>
      </c>
      <c r="D1" s="1392" t="s">
        <v>3074</v>
      </c>
      <c r="E1" s="2541"/>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2353</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2354</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5">
      <c r="A4" s="361" t="s">
        <v>2355</v>
      </c>
      <c r="B4" s="362"/>
      <c r="C4" s="3281" t="s">
        <v>2356</v>
      </c>
      <c r="D4" s="3282"/>
      <c r="E4" s="3283" t="s">
        <v>2357</v>
      </c>
      <c r="F4" s="3284"/>
      <c r="G4" s="3281" t="s">
        <v>2358</v>
      </c>
      <c r="H4" s="3282"/>
      <c r="I4" s="3281" t="s">
        <v>2359</v>
      </c>
      <c r="J4" s="3282"/>
      <c r="K4" s="2075" t="s">
        <v>2360</v>
      </c>
      <c r="L4" s="2927"/>
      <c r="M4" s="2928"/>
      <c r="N4" s="2928"/>
      <c r="O4" s="2928"/>
      <c r="P4" s="3285" t="s">
        <v>2361</v>
      </c>
      <c r="Q4" s="3286"/>
      <c r="R4" s="3291" t="s">
        <v>2357</v>
      </c>
      <c r="S4" s="3292"/>
      <c r="T4" s="3291" t="s">
        <v>2358</v>
      </c>
      <c r="U4" s="3292"/>
      <c r="V4" s="3297" t="s">
        <v>2359</v>
      </c>
      <c r="W4" s="3297"/>
      <c r="X4" s="1539"/>
      <c r="Y4" s="3291" t="s">
        <v>2361</v>
      </c>
      <c r="Z4" s="3292"/>
      <c r="AA4" s="3278" t="s">
        <v>2357</v>
      </c>
      <c r="AB4" s="3278" t="s">
        <v>2358</v>
      </c>
      <c r="AC4" s="3278" t="s">
        <v>2359</v>
      </c>
    </row>
    <row r="5" spans="1:29" ht="15">
      <c r="A5" s="364"/>
      <c r="B5" s="365"/>
      <c r="C5" s="3305" t="s">
        <v>3094</v>
      </c>
      <c r="D5" s="3301"/>
      <c r="E5" s="3308" t="str">
        <f>C5</f>
        <v>太古城</v>
      </c>
      <c r="F5" s="3309"/>
      <c r="G5" s="3300" t="str">
        <f>C5</f>
        <v>太古城</v>
      </c>
      <c r="H5" s="3301"/>
      <c r="I5" s="3300" t="str">
        <f>C5</f>
        <v>太古城</v>
      </c>
      <c r="J5" s="3301"/>
      <c r="K5" s="2076"/>
      <c r="L5" s="2927"/>
      <c r="M5" s="2928"/>
      <c r="N5" s="2928"/>
      <c r="O5" s="2928"/>
      <c r="P5" s="3287"/>
      <c r="Q5" s="3288"/>
      <c r="R5" s="3293"/>
      <c r="S5" s="3294"/>
      <c r="T5" s="3293"/>
      <c r="U5" s="3294"/>
      <c r="V5" s="3297"/>
      <c r="W5" s="3297"/>
      <c r="X5" s="1539"/>
      <c r="Y5" s="3293"/>
      <c r="Z5" s="3294"/>
      <c r="AA5" s="3279"/>
      <c r="AB5" s="3279"/>
      <c r="AC5" s="3279"/>
    </row>
    <row r="6" spans="1:29" ht="15.75" thickBot="1">
      <c r="A6" s="366"/>
      <c r="B6" s="367"/>
      <c r="C6" s="3298" t="str">
        <f>项目基本情况!C10</f>
        <v>广东省深圳市</v>
      </c>
      <c r="D6" s="3299"/>
      <c r="E6" s="3306" t="str">
        <f>C6</f>
        <v>广东省深圳市</v>
      </c>
      <c r="F6" s="3307"/>
      <c r="G6" s="3298" t="str">
        <f>C6</f>
        <v>广东省深圳市</v>
      </c>
      <c r="H6" s="3299"/>
      <c r="I6" s="3298" t="str">
        <f>C6</f>
        <v>广东省深圳市</v>
      </c>
      <c r="J6" s="3299"/>
      <c r="K6" s="2076" t="s">
        <v>2367</v>
      </c>
      <c r="L6" s="2927"/>
      <c r="M6" s="2928"/>
      <c r="N6" s="2928"/>
      <c r="O6" s="2928"/>
      <c r="P6" s="3289"/>
      <c r="Q6" s="3290"/>
      <c r="R6" s="3293"/>
      <c r="S6" s="3294"/>
      <c r="T6" s="3295"/>
      <c r="U6" s="3296"/>
      <c r="V6" s="3297"/>
      <c r="W6" s="3297"/>
      <c r="X6" s="1539"/>
      <c r="Y6" s="3295"/>
      <c r="Z6" s="3296"/>
      <c r="AA6" s="3280"/>
      <c r="AB6" s="3280"/>
      <c r="AC6" s="3280"/>
    </row>
    <row r="7" spans="1:29" s="113" customFormat="1" ht="15.75" thickBot="1">
      <c r="A7" s="368" t="s">
        <v>2368</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302" t="s">
        <v>2369</v>
      </c>
      <c r="Q7" s="3304"/>
      <c r="R7" s="709" t="s">
        <v>23</v>
      </c>
      <c r="S7" s="710">
        <f t="shared" ref="S7:S15" si="0">F7</f>
        <v>100</v>
      </c>
      <c r="T7" s="709" t="s">
        <v>23</v>
      </c>
      <c r="U7" s="710">
        <f t="shared" ref="U7:U15" si="1">H7</f>
        <v>100</v>
      </c>
      <c r="V7" s="709" t="s">
        <v>23</v>
      </c>
      <c r="W7" s="710">
        <f t="shared" ref="W7:W15" si="2">J7</f>
        <v>100</v>
      </c>
      <c r="X7" s="711"/>
      <c r="Y7" s="3302" t="s">
        <v>2369</v>
      </c>
      <c r="Z7" s="3303"/>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29"/>
      <c r="M8" s="2930"/>
      <c r="N8" s="2930"/>
      <c r="O8" s="2930"/>
      <c r="P8" s="3302" t="s">
        <v>2372</v>
      </c>
      <c r="Q8" s="3303"/>
      <c r="R8" s="709" t="s">
        <v>23</v>
      </c>
      <c r="S8" s="710">
        <f t="shared" si="0"/>
        <v>100</v>
      </c>
      <c r="T8" s="709" t="s">
        <v>23</v>
      </c>
      <c r="U8" s="710">
        <f t="shared" si="1"/>
        <v>100</v>
      </c>
      <c r="V8" s="709" t="s">
        <v>23</v>
      </c>
      <c r="W8" s="710">
        <f t="shared" si="2"/>
        <v>100</v>
      </c>
      <c r="X8" s="711"/>
      <c r="Y8" s="3302" t="s">
        <v>2372</v>
      </c>
      <c r="Z8" s="3303"/>
      <c r="AA8" s="712">
        <f t="shared" ref="AA8:AA19" si="3">D8/F8</f>
        <v>1</v>
      </c>
      <c r="AB8" s="712">
        <f t="shared" ref="AB8:AB19" si="4">D8/H8</f>
        <v>1</v>
      </c>
      <c r="AC8" s="712">
        <f t="shared" ref="AC8:AC19" si="5">D8/J8</f>
        <v>1</v>
      </c>
    </row>
    <row r="9" spans="1:29" s="113" customFormat="1">
      <c r="A9" s="375" t="s">
        <v>2373</v>
      </c>
      <c r="B9" s="67" t="s">
        <v>2374</v>
      </c>
      <c r="C9" s="3037" t="s">
        <v>3095</v>
      </c>
      <c r="D9" s="131">
        <v>100</v>
      </c>
      <c r="E9" s="377" t="s">
        <v>3081</v>
      </c>
      <c r="F9" s="378">
        <f>SUMIF(63:63,E9,64:64)-SUMIF(63:63,C9,64:64)+100</f>
        <v>100</v>
      </c>
      <c r="G9" s="377" t="s">
        <v>3081</v>
      </c>
      <c r="H9" s="131">
        <f>SUMIF(63:63,G9,64:64)-SUMIF(63:63,C9,64:64)+100</f>
        <v>100</v>
      </c>
      <c r="I9" s="377" t="s">
        <v>3081</v>
      </c>
      <c r="J9" s="131">
        <f>SUMIF(63:63,I9,64:64)-SUMIF(63:63,C9,64:64)+100</f>
        <v>100</v>
      </c>
      <c r="K9" s="2077"/>
      <c r="L9" s="2929"/>
      <c r="M9" s="2930"/>
      <c r="N9" s="2930"/>
      <c r="O9" s="2930"/>
      <c r="P9" s="3277" t="s">
        <v>2375</v>
      </c>
      <c r="Q9" s="1527" t="str">
        <f t="shared" ref="Q9:Q15" si="6">B9</f>
        <v>用途</v>
      </c>
      <c r="R9" s="709" t="s">
        <v>17</v>
      </c>
      <c r="S9" s="710">
        <f t="shared" si="0"/>
        <v>100</v>
      </c>
      <c r="T9" s="709" t="s">
        <v>17</v>
      </c>
      <c r="U9" s="710">
        <f t="shared" si="1"/>
        <v>100</v>
      </c>
      <c r="V9" s="709" t="s">
        <v>17</v>
      </c>
      <c r="W9" s="710">
        <f t="shared" si="2"/>
        <v>100</v>
      </c>
      <c r="X9" s="711"/>
      <c r="Y9" s="3159" t="s">
        <v>2376</v>
      </c>
      <c r="Z9" s="55" t="str">
        <f t="shared" ref="Z9:Z15" si="7">Q9</f>
        <v>用途</v>
      </c>
      <c r="AA9" s="712">
        <f t="shared" si="3"/>
        <v>1</v>
      </c>
      <c r="AB9" s="712">
        <f t="shared" si="4"/>
        <v>1</v>
      </c>
      <c r="AC9" s="712">
        <f t="shared" si="5"/>
        <v>1</v>
      </c>
    </row>
    <row r="10" spans="1:29" s="386" customFormat="1" ht="27">
      <c r="A10" s="380"/>
      <c r="B10" s="381" t="s">
        <v>2377</v>
      </c>
      <c r="C10" s="382" t="s">
        <v>3097</v>
      </c>
      <c r="D10" s="132">
        <v>100</v>
      </c>
      <c r="E10" s="382" t="s">
        <v>3097</v>
      </c>
      <c r="F10" s="384">
        <f>SUMIF(65:65,E10,66:66)-SUMIF(65:65,C10,66:66)+100</f>
        <v>100</v>
      </c>
      <c r="G10" s="382" t="s">
        <v>3097</v>
      </c>
      <c r="H10" s="132">
        <f>SUMIF(65:65,G10,66:66)-SUMIF(65:65,C10,66:66)+100</f>
        <v>100</v>
      </c>
      <c r="I10" s="382" t="s">
        <v>3097</v>
      </c>
      <c r="J10" s="132">
        <f>SUMIF(65:65,I10,66:66)-SUMIF(65:65,C10,66:66)+100</f>
        <v>100</v>
      </c>
      <c r="K10" s="385">
        <v>2</v>
      </c>
      <c r="L10" s="2931"/>
      <c r="M10" s="2932"/>
      <c r="N10" s="2932"/>
      <c r="O10" s="2932"/>
      <c r="P10" s="3277"/>
      <c r="Q10" s="1527" t="str">
        <f t="shared" si="6"/>
        <v>土地使用年限（年）</v>
      </c>
      <c r="R10" s="709" t="s">
        <v>17</v>
      </c>
      <c r="S10" s="710">
        <f t="shared" si="0"/>
        <v>100</v>
      </c>
      <c r="T10" s="709" t="s">
        <v>17</v>
      </c>
      <c r="U10" s="710">
        <f t="shared" si="1"/>
        <v>100</v>
      </c>
      <c r="V10" s="709" t="s">
        <v>17</v>
      </c>
      <c r="W10" s="710">
        <f t="shared" si="2"/>
        <v>100</v>
      </c>
      <c r="X10" s="711"/>
      <c r="Y10" s="3159"/>
      <c r="Z10" s="55" t="str">
        <f t="shared" si="7"/>
        <v>土地使用年限（年）</v>
      </c>
      <c r="AA10" s="712">
        <f t="shared" si="3"/>
        <v>1</v>
      </c>
      <c r="AB10" s="712">
        <f t="shared" si="4"/>
        <v>1</v>
      </c>
      <c r="AC10" s="712">
        <f t="shared" si="5"/>
        <v>1</v>
      </c>
    </row>
    <row r="11" spans="1:29" ht="15.75" thickBot="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77"/>
      <c r="Q11" s="1527" t="str">
        <f t="shared" si="6"/>
        <v>容积率</v>
      </c>
      <c r="R11" s="709" t="s">
        <v>21</v>
      </c>
      <c r="S11" s="710">
        <f t="shared" si="0"/>
        <v>100</v>
      </c>
      <c r="T11" s="709" t="s">
        <v>21</v>
      </c>
      <c r="U11" s="710">
        <f t="shared" si="1"/>
        <v>100</v>
      </c>
      <c r="V11" s="709" t="s">
        <v>21</v>
      </c>
      <c r="W11" s="710">
        <f t="shared" si="2"/>
        <v>100</v>
      </c>
      <c r="X11" s="711"/>
      <c r="Y11" s="3159"/>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77"/>
      <c r="Q12" s="1527">
        <f t="shared" si="6"/>
        <v>111</v>
      </c>
      <c r="R12" s="709" t="s">
        <v>21</v>
      </c>
      <c r="S12" s="710">
        <f t="shared" si="0"/>
        <v>100</v>
      </c>
      <c r="T12" s="709" t="s">
        <v>21</v>
      </c>
      <c r="U12" s="710">
        <f t="shared" si="1"/>
        <v>100</v>
      </c>
      <c r="V12" s="709" t="s">
        <v>21</v>
      </c>
      <c r="W12" s="710">
        <f t="shared" si="2"/>
        <v>100</v>
      </c>
      <c r="X12" s="711"/>
      <c r="Y12" s="3159"/>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77"/>
      <c r="Q13" s="1527">
        <f t="shared" si="6"/>
        <v>111</v>
      </c>
      <c r="R13" s="709" t="s">
        <v>21</v>
      </c>
      <c r="S13" s="710">
        <f t="shared" si="0"/>
        <v>100</v>
      </c>
      <c r="T13" s="709" t="s">
        <v>21</v>
      </c>
      <c r="U13" s="710">
        <f t="shared" si="1"/>
        <v>100</v>
      </c>
      <c r="V13" s="709" t="s">
        <v>21</v>
      </c>
      <c r="W13" s="710">
        <f t="shared" si="2"/>
        <v>100</v>
      </c>
      <c r="X13" s="711"/>
      <c r="Y13" s="3159"/>
      <c r="Z13" s="55">
        <f t="shared" si="7"/>
        <v>111</v>
      </c>
      <c r="AA13" s="712">
        <f t="shared" si="3"/>
        <v>1</v>
      </c>
      <c r="AB13" s="712">
        <f t="shared" si="4"/>
        <v>1</v>
      </c>
      <c r="AC13" s="712">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77"/>
      <c r="Q14" s="1527">
        <f t="shared" si="6"/>
        <v>111</v>
      </c>
      <c r="R14" s="709" t="s">
        <v>21</v>
      </c>
      <c r="S14" s="710">
        <f t="shared" si="0"/>
        <v>100</v>
      </c>
      <c r="T14" s="709" t="s">
        <v>21</v>
      </c>
      <c r="U14" s="710">
        <f t="shared" si="1"/>
        <v>100</v>
      </c>
      <c r="V14" s="709" t="s">
        <v>21</v>
      </c>
      <c r="W14" s="710">
        <f t="shared" si="2"/>
        <v>100</v>
      </c>
      <c r="X14" s="711"/>
      <c r="Y14" s="3159"/>
      <c r="Z14" s="55">
        <f t="shared" si="7"/>
        <v>111</v>
      </c>
      <c r="AA14" s="712">
        <f t="shared" si="3"/>
        <v>1</v>
      </c>
      <c r="AB14" s="712">
        <f t="shared" si="4"/>
        <v>1</v>
      </c>
      <c r="AC14" s="712">
        <f t="shared" si="5"/>
        <v>1</v>
      </c>
    </row>
    <row r="15" spans="1:29" ht="15">
      <c r="A15" s="399" t="s">
        <v>2379</v>
      </c>
      <c r="B15" s="65" t="s">
        <v>1942</v>
      </c>
      <c r="C15" s="2081" t="str">
        <f>估价对象房地状况!C3</f>
        <v>较好</v>
      </c>
      <c r="D15" s="400">
        <v>100</v>
      </c>
      <c r="E15" s="403" t="s">
        <v>3087</v>
      </c>
      <c r="F15" s="400">
        <f>SUMIF(76:76,E16,77:77)-SUMIF(76:76,C16,77:77)+100</f>
        <v>100</v>
      </c>
      <c r="G15" s="403" t="s">
        <v>3087</v>
      </c>
      <c r="H15" s="400">
        <f>SUMIF(76:76,G16,77:77)-SUMIF(76:76,C16,77:77)+100</f>
        <v>100</v>
      </c>
      <c r="I15" s="403" t="s">
        <v>3087</v>
      </c>
      <c r="J15" s="400">
        <f>SUMIF(76:76,I16,77:77)-SUMIF(76:76,C16,77:77)+100</f>
        <v>100</v>
      </c>
      <c r="K15" s="404">
        <v>2</v>
      </c>
      <c r="L15" s="2934"/>
      <c r="M15" s="2928"/>
      <c r="N15" s="2928"/>
      <c r="O15" s="2928"/>
      <c r="P15" s="3275" t="s">
        <v>2380</v>
      </c>
      <c r="Q15" s="1536" t="str">
        <f t="shared" si="6"/>
        <v>居住社区成熟度</v>
      </c>
      <c r="R15" s="713" t="s">
        <v>21</v>
      </c>
      <c r="S15" s="714">
        <f t="shared" si="0"/>
        <v>100</v>
      </c>
      <c r="T15" s="713" t="s">
        <v>21</v>
      </c>
      <c r="U15" s="714">
        <f t="shared" si="1"/>
        <v>100</v>
      </c>
      <c r="V15" s="713" t="s">
        <v>21</v>
      </c>
      <c r="W15" s="714">
        <f t="shared" si="2"/>
        <v>100</v>
      </c>
      <c r="X15" s="1539"/>
      <c r="Y15" s="3268" t="s">
        <v>2380</v>
      </c>
      <c r="Z15" s="1540" t="str">
        <f t="shared" si="7"/>
        <v>居住社区成熟度</v>
      </c>
      <c r="AA15" s="1537">
        <f t="shared" si="3"/>
        <v>1</v>
      </c>
      <c r="AB15" s="1537">
        <f t="shared" si="4"/>
        <v>1</v>
      </c>
      <c r="AC15" s="1537">
        <f t="shared" si="5"/>
        <v>1</v>
      </c>
    </row>
    <row r="16" spans="1:29" ht="15">
      <c r="A16" s="387"/>
      <c r="B16" s="405"/>
      <c r="C16" s="406" t="s">
        <v>3087</v>
      </c>
      <c r="D16" s="407"/>
      <c r="E16" s="2082" t="s">
        <v>3087</v>
      </c>
      <c r="F16" s="407"/>
      <c r="G16" s="2082" t="s">
        <v>3087</v>
      </c>
      <c r="H16" s="409"/>
      <c r="I16" s="2082" t="s">
        <v>3087</v>
      </c>
      <c r="J16" s="407"/>
      <c r="K16" s="2084"/>
      <c r="L16" s="2934"/>
      <c r="M16" s="2928"/>
      <c r="N16" s="2928"/>
      <c r="O16" s="2928"/>
      <c r="P16" s="3276"/>
      <c r="Q16" s="1536"/>
      <c r="R16" s="713"/>
      <c r="S16" s="714"/>
      <c r="T16" s="713"/>
      <c r="U16" s="714"/>
      <c r="V16" s="713"/>
      <c r="W16" s="714"/>
      <c r="X16" s="1539"/>
      <c r="Y16" s="3269"/>
      <c r="Z16" s="1540"/>
      <c r="AA16" s="1537">
        <v>1</v>
      </c>
      <c r="AB16" s="1537">
        <v>1</v>
      </c>
      <c r="AC16" s="1537">
        <v>1</v>
      </c>
    </row>
    <row r="17" spans="1:29" ht="15">
      <c r="A17" s="387"/>
      <c r="B17" s="410" t="s">
        <v>1944</v>
      </c>
      <c r="C17" s="2085" t="str">
        <f>估价对象房地状况!C6</f>
        <v>较好</v>
      </c>
      <c r="D17" s="409">
        <v>100</v>
      </c>
      <c r="E17" s="413" t="s">
        <v>3087</v>
      </c>
      <c r="F17" s="409">
        <f>SUMIF(78:78,E18,79:79)-SUMIF(78:78,C18,79:79)+100</f>
        <v>100</v>
      </c>
      <c r="G17" s="413" t="s">
        <v>3087</v>
      </c>
      <c r="H17" s="414">
        <f>SUMIF(78:78,G18,79:79)-SUMIF(78:78,C18,79:79)+100</f>
        <v>100</v>
      </c>
      <c r="I17" s="413" t="s">
        <v>3087</v>
      </c>
      <c r="J17" s="414">
        <f>SUMIF(78:78,I18,79:79)-SUMIF(78:78,C18,79:79)+100</f>
        <v>100</v>
      </c>
      <c r="K17" s="404">
        <v>2</v>
      </c>
      <c r="L17" s="2934"/>
      <c r="M17" s="2928"/>
      <c r="N17" s="2928"/>
      <c r="O17" s="2928"/>
      <c r="P17" s="3276"/>
      <c r="Q17" s="1536" t="str">
        <f>B17</f>
        <v>交通便捷度</v>
      </c>
      <c r="R17" s="713" t="s">
        <v>21</v>
      </c>
      <c r="S17" s="714">
        <f>F17</f>
        <v>100</v>
      </c>
      <c r="T17" s="713" t="s">
        <v>21</v>
      </c>
      <c r="U17" s="714">
        <f>H17</f>
        <v>100</v>
      </c>
      <c r="V17" s="713" t="s">
        <v>21</v>
      </c>
      <c r="W17" s="714">
        <f>J17</f>
        <v>100</v>
      </c>
      <c r="X17" s="1539"/>
      <c r="Y17" s="3269"/>
      <c r="Z17" s="1540" t="str">
        <f>Q17</f>
        <v>交通便捷度</v>
      </c>
      <c r="AA17" s="1537">
        <f t="shared" si="3"/>
        <v>1</v>
      </c>
      <c r="AB17" s="1537">
        <f t="shared" si="4"/>
        <v>1</v>
      </c>
      <c r="AC17" s="1537">
        <f t="shared" si="5"/>
        <v>1</v>
      </c>
    </row>
    <row r="18" spans="1:29" ht="15">
      <c r="A18" s="387"/>
      <c r="B18" s="415"/>
      <c r="C18" s="2086" t="s">
        <v>3087</v>
      </c>
      <c r="D18" s="409"/>
      <c r="E18" s="2087" t="s">
        <v>3087</v>
      </c>
      <c r="F18" s="409"/>
      <c r="G18" s="2087" t="s">
        <v>3087</v>
      </c>
      <c r="H18" s="407"/>
      <c r="I18" s="2087" t="s">
        <v>3087</v>
      </c>
      <c r="J18" s="407"/>
      <c r="K18" s="2084"/>
      <c r="L18" s="2934"/>
      <c r="M18" s="2928"/>
      <c r="N18" s="2928"/>
      <c r="O18" s="2928"/>
      <c r="P18" s="3276"/>
      <c r="Q18" s="1536"/>
      <c r="R18" s="713"/>
      <c r="S18" s="714"/>
      <c r="T18" s="713"/>
      <c r="U18" s="714"/>
      <c r="V18" s="713"/>
      <c r="W18" s="714"/>
      <c r="X18" s="1539"/>
      <c r="Y18" s="3269"/>
      <c r="Z18" s="1540"/>
      <c r="AA18" s="1537">
        <v>1</v>
      </c>
      <c r="AB18" s="1537">
        <v>1</v>
      </c>
      <c r="AC18" s="1537">
        <v>1</v>
      </c>
    </row>
    <row r="19" spans="1:29" ht="15">
      <c r="A19" s="387"/>
      <c r="B19" s="410" t="s">
        <v>1943</v>
      </c>
      <c r="C19" s="2085" t="str">
        <f>估价对象房地状况!C7</f>
        <v>较好</v>
      </c>
      <c r="D19" s="414">
        <v>100</v>
      </c>
      <c r="E19" s="418" t="s">
        <v>3087</v>
      </c>
      <c r="F19" s="414">
        <f>SUMIF(80:80,E20,81:81)-SUMIF(80:80,C20,81:81)+100</f>
        <v>100</v>
      </c>
      <c r="G19" s="418" t="s">
        <v>3087</v>
      </c>
      <c r="H19" s="409">
        <f>SUMIF(80:80,G20,81:81)-SUMIF(80:80,C20,81:81)+100</f>
        <v>100</v>
      </c>
      <c r="I19" s="418" t="s">
        <v>3087</v>
      </c>
      <c r="J19" s="409">
        <f>SUMIF(80:80,I20,81:81)-SUMIF(80:80,C20,81:81)+100</f>
        <v>100</v>
      </c>
      <c r="K19" s="404">
        <v>2</v>
      </c>
      <c r="L19" s="2934"/>
      <c r="M19" s="2928"/>
      <c r="N19" s="2928"/>
      <c r="O19" s="2928"/>
      <c r="P19" s="3276"/>
      <c r="Q19" s="1536" t="str">
        <f>B19</f>
        <v>公共配套设施</v>
      </c>
      <c r="R19" s="713" t="s">
        <v>21</v>
      </c>
      <c r="S19" s="714">
        <f>F19</f>
        <v>100</v>
      </c>
      <c r="T19" s="713" t="s">
        <v>21</v>
      </c>
      <c r="U19" s="714">
        <f>H19</f>
        <v>100</v>
      </c>
      <c r="V19" s="713" t="s">
        <v>21</v>
      </c>
      <c r="W19" s="714">
        <f>J19</f>
        <v>100</v>
      </c>
      <c r="X19" s="1539"/>
      <c r="Y19" s="3269"/>
      <c r="Z19" s="1540" t="str">
        <f>Q19</f>
        <v>公共配套设施</v>
      </c>
      <c r="AA19" s="1537">
        <f t="shared" si="3"/>
        <v>1</v>
      </c>
      <c r="AB19" s="1537">
        <f t="shared" si="4"/>
        <v>1</v>
      </c>
      <c r="AC19" s="1537">
        <f t="shared" si="5"/>
        <v>1</v>
      </c>
    </row>
    <row r="20" spans="1:29" ht="15">
      <c r="A20" s="387"/>
      <c r="B20" s="415"/>
      <c r="C20" s="406" t="s">
        <v>3087</v>
      </c>
      <c r="D20" s="407"/>
      <c r="E20" s="2082" t="s">
        <v>3087</v>
      </c>
      <c r="F20" s="407"/>
      <c r="G20" s="2082" t="s">
        <v>3087</v>
      </c>
      <c r="H20" s="407"/>
      <c r="I20" s="2082" t="s">
        <v>3087</v>
      </c>
      <c r="J20" s="407"/>
      <c r="K20" s="2084"/>
      <c r="L20" s="2934"/>
      <c r="M20" s="2928"/>
      <c r="N20" s="2928"/>
      <c r="O20" s="2928"/>
      <c r="P20" s="3276"/>
      <c r="Q20" s="1536"/>
      <c r="R20" s="713"/>
      <c r="S20" s="714"/>
      <c r="T20" s="713"/>
      <c r="U20" s="714"/>
      <c r="V20" s="713"/>
      <c r="W20" s="714"/>
      <c r="X20" s="1539"/>
      <c r="Y20" s="3269"/>
      <c r="Z20" s="1540"/>
      <c r="AA20" s="1537">
        <v>1</v>
      </c>
      <c r="AB20" s="1537">
        <v>1</v>
      </c>
      <c r="AC20" s="1537">
        <v>1</v>
      </c>
    </row>
    <row r="21" spans="1:29" ht="15">
      <c r="A21" s="387"/>
      <c r="B21" s="1292" t="s">
        <v>1945</v>
      </c>
      <c r="C21" s="2085" t="str">
        <f>估价对象房地状况!C8</f>
        <v>六通</v>
      </c>
      <c r="D21" s="409">
        <v>100</v>
      </c>
      <c r="E21" s="418" t="s">
        <v>3091</v>
      </c>
      <c r="F21" s="414">
        <f>SUMIF(82:82,E22,83:83)-SUMIF(82:82,C22,83:83)+100</f>
        <v>100</v>
      </c>
      <c r="G21" s="418" t="s">
        <v>3091</v>
      </c>
      <c r="H21" s="409">
        <f>SUMIF(82:82,G22,83:83)-SUMIF(82:82,C22,83:83)+100</f>
        <v>100</v>
      </c>
      <c r="I21" s="418" t="s">
        <v>3091</v>
      </c>
      <c r="J21" s="409">
        <f>SUMIF(82:82,I22,83:83)-SUMIF(82:82,C22,83:83)+100</f>
        <v>100</v>
      </c>
      <c r="K21" s="404">
        <v>1</v>
      </c>
      <c r="L21" s="2934"/>
      <c r="M21" s="2928"/>
      <c r="N21" s="2928"/>
      <c r="O21" s="2928"/>
      <c r="P21" s="3276"/>
      <c r="Q21" s="1536" t="str">
        <f>B21</f>
        <v>基础设施水平</v>
      </c>
      <c r="R21" s="713" t="s">
        <v>17</v>
      </c>
      <c r="S21" s="714">
        <f>F21</f>
        <v>100</v>
      </c>
      <c r="T21" s="713" t="s">
        <v>17</v>
      </c>
      <c r="U21" s="714">
        <f>H21</f>
        <v>100</v>
      </c>
      <c r="V21" s="713" t="s">
        <v>17</v>
      </c>
      <c r="W21" s="714">
        <f>J21</f>
        <v>100</v>
      </c>
      <c r="X21" s="1539"/>
      <c r="Y21" s="3269"/>
      <c r="Z21" s="1540" t="str">
        <f>Q21</f>
        <v>基础设施水平</v>
      </c>
      <c r="AA21" s="1537">
        <f t="shared" ref="AA21" si="8">D21/F21</f>
        <v>1</v>
      </c>
      <c r="AB21" s="1537">
        <f t="shared" ref="AB21" si="9">D21/H21</f>
        <v>1</v>
      </c>
      <c r="AC21" s="1537">
        <f t="shared" ref="AC21" si="10">D21/J21</f>
        <v>1</v>
      </c>
    </row>
    <row r="22" spans="1:29" ht="15">
      <c r="A22" s="387"/>
      <c r="B22" s="1292"/>
      <c r="C22" s="2086" t="s">
        <v>3091</v>
      </c>
      <c r="D22" s="407"/>
      <c r="E22" s="406" t="s">
        <v>3091</v>
      </c>
      <c r="F22" s="407"/>
      <c r="G22" s="406" t="s">
        <v>3091</v>
      </c>
      <c r="H22" s="407"/>
      <c r="I22" s="406" t="s">
        <v>3091</v>
      </c>
      <c r="J22" s="407"/>
      <c r="K22" s="2090"/>
      <c r="L22" s="2934"/>
      <c r="M22" s="2928"/>
      <c r="N22" s="2928"/>
      <c r="O22" s="2928"/>
      <c r="P22" s="3276"/>
      <c r="Q22" s="1536"/>
      <c r="R22" s="713"/>
      <c r="S22" s="714"/>
      <c r="T22" s="713"/>
      <c r="U22" s="714"/>
      <c r="V22" s="713"/>
      <c r="W22" s="714"/>
      <c r="X22" s="1539"/>
      <c r="Y22" s="3269"/>
      <c r="Z22" s="1540"/>
      <c r="AA22" s="1537">
        <v>1</v>
      </c>
      <c r="AB22" s="1537">
        <v>1</v>
      </c>
      <c r="AC22" s="1537">
        <v>1</v>
      </c>
    </row>
    <row r="23" spans="1:29" ht="15">
      <c r="A23" s="387"/>
      <c r="B23" s="410" t="s">
        <v>1946</v>
      </c>
      <c r="C23" s="2085" t="str">
        <f>估价对象房地状况!C9</f>
        <v>较好</v>
      </c>
      <c r="D23" s="409">
        <v>100</v>
      </c>
      <c r="E23" s="413" t="s">
        <v>3087</v>
      </c>
      <c r="F23" s="409">
        <f>SUMIF(84:84,E24,85:85)-SUMIF(84:84,C24,85:85)+100</f>
        <v>100</v>
      </c>
      <c r="G23" s="413" t="s">
        <v>3087</v>
      </c>
      <c r="H23" s="409">
        <f>SUMIF(84:84,G24,85:85)-SUMIF(84:84,C24,85:85)+100</f>
        <v>100</v>
      </c>
      <c r="I23" s="413" t="s">
        <v>3087</v>
      </c>
      <c r="J23" s="409">
        <f>SUMIF(84:84,I24,85:85)-SUMIF(84:84,C24,85:85)+100</f>
        <v>100</v>
      </c>
      <c r="K23" s="404">
        <v>2</v>
      </c>
      <c r="L23" s="2934"/>
      <c r="M23" s="2928"/>
      <c r="N23" s="2928"/>
      <c r="O23" s="2928"/>
      <c r="P23" s="3276"/>
      <c r="Q23" s="1536" t="str">
        <f>B23</f>
        <v>自然及人文环境</v>
      </c>
      <c r="R23" s="713" t="s">
        <v>21</v>
      </c>
      <c r="S23" s="714">
        <f>F23</f>
        <v>100</v>
      </c>
      <c r="T23" s="713" t="s">
        <v>21</v>
      </c>
      <c r="U23" s="714">
        <f>H23</f>
        <v>100</v>
      </c>
      <c r="V23" s="713" t="s">
        <v>21</v>
      </c>
      <c r="W23" s="714">
        <f>J23</f>
        <v>100</v>
      </c>
      <c r="X23" s="1539"/>
      <c r="Y23" s="3269"/>
      <c r="Z23" s="1540" t="str">
        <f>Q23</f>
        <v>自然及人文环境</v>
      </c>
      <c r="AA23" s="1537">
        <f>D23/F23</f>
        <v>1</v>
      </c>
      <c r="AB23" s="1537">
        <f>D23/H23</f>
        <v>1</v>
      </c>
      <c r="AC23" s="1537">
        <f>D23/J23</f>
        <v>1</v>
      </c>
    </row>
    <row r="24" spans="1:29" ht="15">
      <c r="A24" s="387"/>
      <c r="B24" s="415"/>
      <c r="C24" s="406" t="s">
        <v>3087</v>
      </c>
      <c r="D24" s="407"/>
      <c r="E24" s="2082" t="s">
        <v>3087</v>
      </c>
      <c r="F24" s="407"/>
      <c r="G24" s="2082" t="s">
        <v>3087</v>
      </c>
      <c r="H24" s="407"/>
      <c r="I24" s="2082" t="s">
        <v>3087</v>
      </c>
      <c r="J24" s="407"/>
      <c r="K24" s="2084"/>
      <c r="L24" s="2934"/>
      <c r="M24" s="2928"/>
      <c r="N24" s="2928"/>
      <c r="O24" s="2928"/>
      <c r="P24" s="3276"/>
      <c r="Q24" s="1536"/>
      <c r="R24" s="713"/>
      <c r="S24" s="714"/>
      <c r="T24" s="713"/>
      <c r="U24" s="714"/>
      <c r="V24" s="713"/>
      <c r="W24" s="714"/>
      <c r="X24" s="1539"/>
      <c r="Y24" s="3269"/>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276"/>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269"/>
      <c r="Z25" s="1540" t="str">
        <f>Q25</f>
        <v>楼层-1</v>
      </c>
      <c r="AA25" s="1537">
        <f t="shared" ref="AA25:AA46" si="15">D25/F25</f>
        <v>1</v>
      </c>
      <c r="AB25" s="1537">
        <f t="shared" ref="AB25:AB46" si="16">D25/H25</f>
        <v>1</v>
      </c>
      <c r="AC25" s="1537">
        <f t="shared" ref="AC25:AC46" si="17">D25/J25</f>
        <v>1</v>
      </c>
    </row>
    <row r="26" spans="1:29" ht="15">
      <c r="A26" s="387"/>
      <c r="B26" s="381" t="s">
        <v>2382</v>
      </c>
      <c r="C26" s="419" t="s">
        <v>3158</v>
      </c>
      <c r="D26" s="394">
        <v>100</v>
      </c>
      <c r="E26" s="2091" t="s">
        <v>3134</v>
      </c>
      <c r="F26" s="394">
        <f>SUMIF(88:88,E26,89:89)-SUMIF(88:88,C26,89:89)+100</f>
        <v>102</v>
      </c>
      <c r="G26" s="2092" t="s">
        <v>3137</v>
      </c>
      <c r="H26" s="394">
        <f>SUMIF(88:88,G26,89:89)-SUMIF(88:88,C26,89:89)+100</f>
        <v>95</v>
      </c>
      <c r="I26" s="2092" t="s">
        <v>3134</v>
      </c>
      <c r="J26" s="394">
        <f>SUMIF(88:88,I26,89:89)-SUMIF(88:88,C26,89:89)+100</f>
        <v>102</v>
      </c>
      <c r="K26" s="385">
        <v>1</v>
      </c>
      <c r="L26" s="2934"/>
      <c r="M26" s="2928"/>
      <c r="N26" s="2928"/>
      <c r="O26" s="2928"/>
      <c r="P26" s="3276"/>
      <c r="Q26" s="1536" t="str">
        <f t="shared" si="11"/>
        <v>朝向</v>
      </c>
      <c r="R26" s="713" t="s">
        <v>21</v>
      </c>
      <c r="S26" s="714">
        <f t="shared" si="12"/>
        <v>102</v>
      </c>
      <c r="T26" s="713" t="s">
        <v>21</v>
      </c>
      <c r="U26" s="714">
        <f t="shared" si="13"/>
        <v>95</v>
      </c>
      <c r="V26" s="713" t="s">
        <v>21</v>
      </c>
      <c r="W26" s="714">
        <f t="shared" si="14"/>
        <v>102</v>
      </c>
      <c r="X26" s="1539"/>
      <c r="Y26" s="3269"/>
      <c r="Z26" s="1540" t="str">
        <f>Q26</f>
        <v>朝向</v>
      </c>
      <c r="AA26" s="1537">
        <f t="shared" si="15"/>
        <v>0.98039215686274506</v>
      </c>
      <c r="AB26" s="1537">
        <f t="shared" si="16"/>
        <v>1.0526315789473684</v>
      </c>
      <c r="AC26" s="1537">
        <f t="shared" si="17"/>
        <v>0.98039215686274506</v>
      </c>
    </row>
    <row r="27" spans="1:29" s="113" customFormat="1" ht="15.75" thickBot="1">
      <c r="A27" s="390"/>
      <c r="B27" s="3041" t="s">
        <v>3116</v>
      </c>
      <c r="C27" s="3042" t="s">
        <v>3121</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276"/>
      <c r="Q27" s="1527" t="str">
        <f t="shared" si="11"/>
        <v>楼层</v>
      </c>
      <c r="R27" s="709" t="s">
        <v>21</v>
      </c>
      <c r="S27" s="710">
        <f t="shared" si="12"/>
        <v>96</v>
      </c>
      <c r="T27" s="709" t="s">
        <v>21</v>
      </c>
      <c r="U27" s="710">
        <f t="shared" si="13"/>
        <v>96</v>
      </c>
      <c r="V27" s="709" t="s">
        <v>21</v>
      </c>
      <c r="W27" s="710">
        <f t="shared" si="14"/>
        <v>100</v>
      </c>
      <c r="X27" s="711"/>
      <c r="Y27" s="3269"/>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276"/>
      <c r="Q28" s="1536">
        <f t="shared" si="11"/>
        <v>111</v>
      </c>
      <c r="R28" s="713" t="s">
        <v>21</v>
      </c>
      <c r="S28" s="714">
        <f t="shared" si="12"/>
        <v>100</v>
      </c>
      <c r="T28" s="713" t="s">
        <v>21</v>
      </c>
      <c r="U28" s="714">
        <f t="shared" si="13"/>
        <v>100</v>
      </c>
      <c r="V28" s="713" t="s">
        <v>21</v>
      </c>
      <c r="W28" s="714">
        <f t="shared" si="14"/>
        <v>100</v>
      </c>
      <c r="X28" s="1539"/>
      <c r="Y28" s="3269"/>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276"/>
      <c r="Q29" s="1536">
        <f t="shared" si="11"/>
        <v>111</v>
      </c>
      <c r="R29" s="713" t="s">
        <v>21</v>
      </c>
      <c r="S29" s="714">
        <f t="shared" si="12"/>
        <v>100</v>
      </c>
      <c r="T29" s="713" t="s">
        <v>21</v>
      </c>
      <c r="U29" s="714">
        <f t="shared" si="13"/>
        <v>100</v>
      </c>
      <c r="V29" s="713" t="s">
        <v>21</v>
      </c>
      <c r="W29" s="714">
        <f t="shared" si="14"/>
        <v>100</v>
      </c>
      <c r="X29" s="1539"/>
      <c r="Y29" s="3269"/>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276"/>
      <c r="Q30" s="1536">
        <f t="shared" si="11"/>
        <v>111</v>
      </c>
      <c r="R30" s="713" t="s">
        <v>21</v>
      </c>
      <c r="S30" s="714">
        <f t="shared" si="12"/>
        <v>100</v>
      </c>
      <c r="T30" s="713" t="s">
        <v>21</v>
      </c>
      <c r="U30" s="714">
        <f t="shared" si="13"/>
        <v>100</v>
      </c>
      <c r="V30" s="713" t="s">
        <v>21</v>
      </c>
      <c r="W30" s="714">
        <f t="shared" si="14"/>
        <v>100</v>
      </c>
      <c r="X30" s="1539"/>
      <c r="Y30" s="3269"/>
      <c r="Z30" s="1540">
        <f t="shared" si="18"/>
        <v>111</v>
      </c>
      <c r="AA30" s="1537">
        <f t="shared" si="15"/>
        <v>1</v>
      </c>
      <c r="AB30" s="1537">
        <f t="shared" si="16"/>
        <v>1</v>
      </c>
      <c r="AC30" s="1537">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276"/>
      <c r="Q31" s="1536">
        <f t="shared" si="11"/>
        <v>111</v>
      </c>
      <c r="R31" s="713" t="s">
        <v>21</v>
      </c>
      <c r="S31" s="714">
        <f t="shared" si="12"/>
        <v>100</v>
      </c>
      <c r="T31" s="713" t="s">
        <v>21</v>
      </c>
      <c r="U31" s="714">
        <f t="shared" si="13"/>
        <v>100</v>
      </c>
      <c r="V31" s="713" t="s">
        <v>21</v>
      </c>
      <c r="W31" s="714">
        <f t="shared" si="14"/>
        <v>100</v>
      </c>
      <c r="X31" s="1539"/>
      <c r="Y31" s="3269"/>
      <c r="Z31" s="1540">
        <f t="shared" si="18"/>
        <v>111</v>
      </c>
      <c r="AA31" s="1537">
        <f t="shared" si="15"/>
        <v>1</v>
      </c>
      <c r="AB31" s="1537">
        <f t="shared" si="16"/>
        <v>1</v>
      </c>
      <c r="AC31" s="1537">
        <f t="shared" si="17"/>
        <v>1</v>
      </c>
    </row>
    <row r="32" spans="1:29" ht="15">
      <c r="A32" s="399" t="s">
        <v>2383</v>
      </c>
      <c r="B32" s="67" t="s">
        <v>2384</v>
      </c>
      <c r="C32" s="2095" t="s">
        <v>3098</v>
      </c>
      <c r="D32" s="426">
        <v>100</v>
      </c>
      <c r="E32" s="2095" t="s">
        <v>3098</v>
      </c>
      <c r="F32" s="420">
        <f>SUMIF(100:100,E32,101:101)-SUMIF(100:100,C32,101:101)+100</f>
        <v>100</v>
      </c>
      <c r="G32" s="2095" t="s">
        <v>3098</v>
      </c>
      <c r="H32" s="426">
        <f>SUMIF(100:100,G32,101:101)-SUMIF(100:100,C32,101:101)+100</f>
        <v>100</v>
      </c>
      <c r="I32" s="2095" t="s">
        <v>3098</v>
      </c>
      <c r="J32" s="394">
        <f>SUMIF(100:100,I32,101:101)-SUMIF(100:100,C32,101:101)+100</f>
        <v>100</v>
      </c>
      <c r="K32" s="385">
        <v>2</v>
      </c>
      <c r="L32" s="2934"/>
      <c r="M32" s="2928"/>
      <c r="N32" s="2928"/>
      <c r="O32" s="2928"/>
      <c r="P32" s="3270" t="s">
        <v>2385</v>
      </c>
      <c r="Q32" s="1536" t="str">
        <f t="shared" si="11"/>
        <v>建筑类型</v>
      </c>
      <c r="R32" s="713" t="s">
        <v>21</v>
      </c>
      <c r="S32" s="714">
        <f t="shared" si="12"/>
        <v>100</v>
      </c>
      <c r="T32" s="713" t="s">
        <v>21</v>
      </c>
      <c r="U32" s="714">
        <f t="shared" si="13"/>
        <v>100</v>
      </c>
      <c r="V32" s="713" t="s">
        <v>21</v>
      </c>
      <c r="W32" s="714">
        <f t="shared" si="14"/>
        <v>100</v>
      </c>
      <c r="X32" s="1539"/>
      <c r="Y32" s="3273" t="s">
        <v>2385</v>
      </c>
      <c r="Z32" s="1540" t="str">
        <f t="shared" si="18"/>
        <v>建筑类型</v>
      </c>
      <c r="AA32" s="1537">
        <f t="shared" si="15"/>
        <v>1</v>
      </c>
      <c r="AB32" s="1537">
        <f t="shared" si="16"/>
        <v>1</v>
      </c>
      <c r="AC32" s="1537">
        <f t="shared" si="17"/>
        <v>1</v>
      </c>
    </row>
    <row r="33" spans="1:29" s="430" customFormat="1" ht="15">
      <c r="A33" s="427"/>
      <c r="B33" s="381" t="s">
        <v>2386</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271"/>
      <c r="Q33" s="715" t="str">
        <f t="shared" si="11"/>
        <v>项目建筑规模</v>
      </c>
      <c r="R33" s="716" t="s">
        <v>21</v>
      </c>
      <c r="S33" s="717">
        <f t="shared" si="12"/>
        <v>103</v>
      </c>
      <c r="T33" s="716" t="s">
        <v>21</v>
      </c>
      <c r="U33" s="717">
        <f t="shared" si="13"/>
        <v>104.5</v>
      </c>
      <c r="V33" s="716" t="s">
        <v>21</v>
      </c>
      <c r="W33" s="717">
        <f t="shared" si="14"/>
        <v>103</v>
      </c>
      <c r="X33" s="718"/>
      <c r="Y33" s="3273"/>
      <c r="Z33" s="719" t="str">
        <f t="shared" si="18"/>
        <v>项目建筑规模</v>
      </c>
      <c r="AA33" s="1537">
        <f t="shared" si="15"/>
        <v>0.970873786407767</v>
      </c>
      <c r="AB33" s="1537">
        <f t="shared" si="16"/>
        <v>0.9569377990430622</v>
      </c>
      <c r="AC33" s="1537">
        <f t="shared" si="17"/>
        <v>0.970873786407767</v>
      </c>
    </row>
    <row r="34" spans="1:29" ht="15">
      <c r="A34" s="431"/>
      <c r="B34" s="381" t="s">
        <v>2387</v>
      </c>
      <c r="C34" s="2096" t="s">
        <v>3100</v>
      </c>
      <c r="D34" s="394">
        <v>100</v>
      </c>
      <c r="E34" s="2096" t="s">
        <v>3100</v>
      </c>
      <c r="F34" s="420">
        <f>SUMIF(105:105,E34,106:106)-SUMIF(105:105,C34,106:106)+100</f>
        <v>100</v>
      </c>
      <c r="G34" s="2096" t="s">
        <v>3100</v>
      </c>
      <c r="H34" s="394">
        <f>SUMIF(105:105,G34,106:106)-SUMIF(105:105,C34,106:106)+100</f>
        <v>100</v>
      </c>
      <c r="I34" s="2096" t="s">
        <v>3100</v>
      </c>
      <c r="J34" s="394">
        <f>SUMIF(105:105,I34,106:106)-SUMIF(105:105,C34,106:106)+100</f>
        <v>100</v>
      </c>
      <c r="K34" s="385">
        <v>2</v>
      </c>
      <c r="L34" s="2934"/>
      <c r="M34" s="2928"/>
      <c r="N34" s="2928"/>
      <c r="O34" s="2928"/>
      <c r="P34" s="3271"/>
      <c r="Q34" s="1536" t="str">
        <f t="shared" si="11"/>
        <v>建筑结构</v>
      </c>
      <c r="R34" s="713" t="s">
        <v>21</v>
      </c>
      <c r="S34" s="714">
        <f t="shared" si="12"/>
        <v>100</v>
      </c>
      <c r="T34" s="713" t="s">
        <v>21</v>
      </c>
      <c r="U34" s="714">
        <f t="shared" si="13"/>
        <v>100</v>
      </c>
      <c r="V34" s="713" t="s">
        <v>21</v>
      </c>
      <c r="W34" s="714">
        <f t="shared" si="14"/>
        <v>100</v>
      </c>
      <c r="X34" s="1539"/>
      <c r="Y34" s="3273"/>
      <c r="Z34" s="1540" t="str">
        <f t="shared" si="18"/>
        <v>建筑结构</v>
      </c>
      <c r="AA34" s="1537">
        <f t="shared" si="15"/>
        <v>1</v>
      </c>
      <c r="AB34" s="1537">
        <f t="shared" si="16"/>
        <v>1</v>
      </c>
      <c r="AC34" s="1537">
        <f t="shared" si="17"/>
        <v>1</v>
      </c>
    </row>
    <row r="35" spans="1:29" ht="15">
      <c r="A35" s="431"/>
      <c r="B35" s="381" t="s">
        <v>2388</v>
      </c>
      <c r="C35" s="2091" t="s">
        <v>3102</v>
      </c>
      <c r="D35" s="394">
        <v>100</v>
      </c>
      <c r="E35" s="2091" t="s">
        <v>3102</v>
      </c>
      <c r="F35" s="420">
        <f>SUMIF(107:107,E35,108:108)-SUMIF(107:107,C35,108:108)+100</f>
        <v>100</v>
      </c>
      <c r="G35" s="2091" t="s">
        <v>3102</v>
      </c>
      <c r="H35" s="394">
        <f>SUMIF(107:107,G35,108:108)-SUMIF(107:107,C35,108:108)+100</f>
        <v>100</v>
      </c>
      <c r="I35" s="2091" t="s">
        <v>3102</v>
      </c>
      <c r="J35" s="394">
        <f>SUMIF(107:107,I35,108:108)-SUMIF(107:107,C35,108:108)+100</f>
        <v>100</v>
      </c>
      <c r="K35" s="385">
        <v>2</v>
      </c>
      <c r="L35" s="2934"/>
      <c r="M35" s="2928"/>
      <c r="N35" s="2928"/>
      <c r="O35" s="2928"/>
      <c r="P35" s="3271"/>
      <c r="Q35" s="1536" t="str">
        <f t="shared" si="11"/>
        <v>建筑品质</v>
      </c>
      <c r="R35" s="713" t="s">
        <v>21</v>
      </c>
      <c r="S35" s="714">
        <f t="shared" si="12"/>
        <v>100</v>
      </c>
      <c r="T35" s="713" t="s">
        <v>21</v>
      </c>
      <c r="U35" s="714">
        <f t="shared" si="13"/>
        <v>100</v>
      </c>
      <c r="V35" s="713" t="s">
        <v>21</v>
      </c>
      <c r="W35" s="714">
        <f t="shared" si="14"/>
        <v>100</v>
      </c>
      <c r="X35" s="1539"/>
      <c r="Y35" s="3273"/>
      <c r="Z35" s="1540" t="str">
        <f t="shared" si="18"/>
        <v>建筑品质</v>
      </c>
      <c r="AA35" s="1537">
        <f t="shared" si="15"/>
        <v>1</v>
      </c>
      <c r="AB35" s="1537">
        <f t="shared" si="16"/>
        <v>1</v>
      </c>
      <c r="AC35" s="1537">
        <f t="shared" si="17"/>
        <v>1</v>
      </c>
    </row>
    <row r="36" spans="1:29" ht="15">
      <c r="A36" s="431"/>
      <c r="B36" s="381" t="s">
        <v>2389</v>
      </c>
      <c r="C36" s="2091" t="s">
        <v>3105</v>
      </c>
      <c r="D36" s="394">
        <v>100</v>
      </c>
      <c r="E36" s="2091" t="s">
        <v>3105</v>
      </c>
      <c r="F36" s="420">
        <f>SUMIF(109:109,E36,110:110)-SUMIF(109:109,C36,110:110)+100</f>
        <v>100</v>
      </c>
      <c r="G36" s="2091" t="s">
        <v>3105</v>
      </c>
      <c r="H36" s="394">
        <f>SUMIF(109:109,G36,110:110)-SUMIF(109:109,C36,110:110)+100</f>
        <v>100</v>
      </c>
      <c r="I36" s="2091" t="s">
        <v>3105</v>
      </c>
      <c r="J36" s="394">
        <f>SUMIF(109:109,I36,110:110)-SUMIF(109:109,C36,110:110)+100</f>
        <v>100</v>
      </c>
      <c r="K36" s="385">
        <v>2</v>
      </c>
      <c r="L36" s="2934"/>
      <c r="M36" s="2928"/>
      <c r="N36" s="2928"/>
      <c r="O36" s="2928"/>
      <c r="P36" s="3271"/>
      <c r="Q36" s="1536" t="str">
        <f t="shared" si="11"/>
        <v>公共部分装修</v>
      </c>
      <c r="R36" s="713" t="s">
        <v>21</v>
      </c>
      <c r="S36" s="714">
        <f t="shared" si="12"/>
        <v>100</v>
      </c>
      <c r="T36" s="713" t="s">
        <v>21</v>
      </c>
      <c r="U36" s="714">
        <f t="shared" si="13"/>
        <v>100</v>
      </c>
      <c r="V36" s="713" t="s">
        <v>21</v>
      </c>
      <c r="W36" s="714">
        <f t="shared" si="14"/>
        <v>100</v>
      </c>
      <c r="X36" s="1539"/>
      <c r="Y36" s="3273"/>
      <c r="Z36" s="1540" t="str">
        <f t="shared" si="18"/>
        <v>公共部分装修</v>
      </c>
      <c r="AA36" s="1537">
        <f t="shared" si="15"/>
        <v>1</v>
      </c>
      <c r="AB36" s="1537">
        <f t="shared" si="16"/>
        <v>1</v>
      </c>
      <c r="AC36" s="1537">
        <f t="shared" si="17"/>
        <v>1</v>
      </c>
    </row>
    <row r="37" spans="1:29" s="113" customFormat="1" ht="15">
      <c r="A37" s="432"/>
      <c r="B37" s="381" t="s">
        <v>2390</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271"/>
      <c r="Q37" s="1527" t="str">
        <f t="shared" si="11"/>
        <v>成新度</v>
      </c>
      <c r="R37" s="709" t="s">
        <v>21</v>
      </c>
      <c r="S37" s="710">
        <f t="shared" si="12"/>
        <v>100</v>
      </c>
      <c r="T37" s="709" t="s">
        <v>21</v>
      </c>
      <c r="U37" s="710">
        <f t="shared" si="13"/>
        <v>100</v>
      </c>
      <c r="V37" s="709" t="s">
        <v>21</v>
      </c>
      <c r="W37" s="710">
        <f t="shared" si="14"/>
        <v>100</v>
      </c>
      <c r="X37" s="711"/>
      <c r="Y37" s="3273"/>
      <c r="Z37" s="55" t="str">
        <f t="shared" si="18"/>
        <v>成新度</v>
      </c>
      <c r="AA37" s="712">
        <f t="shared" si="15"/>
        <v>1</v>
      </c>
      <c r="AB37" s="712">
        <f t="shared" si="16"/>
        <v>1</v>
      </c>
      <c r="AC37" s="712">
        <f t="shared" si="17"/>
        <v>1</v>
      </c>
    </row>
    <row r="38" spans="1:29" ht="15">
      <c r="A38" s="431"/>
      <c r="B38" s="381" t="s">
        <v>2391</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2</v>
      </c>
      <c r="L38" s="2934"/>
      <c r="M38" s="2928"/>
      <c r="N38" s="2928"/>
      <c r="O38" s="2928"/>
      <c r="P38" s="3271" t="s">
        <v>2385</v>
      </c>
      <c r="Q38" s="1536" t="str">
        <f t="shared" si="11"/>
        <v>物业管理</v>
      </c>
      <c r="R38" s="713" t="s">
        <v>21</v>
      </c>
      <c r="S38" s="714">
        <f t="shared" si="12"/>
        <v>100</v>
      </c>
      <c r="T38" s="713" t="s">
        <v>21</v>
      </c>
      <c r="U38" s="714">
        <f t="shared" si="13"/>
        <v>100</v>
      </c>
      <c r="V38" s="713" t="s">
        <v>21</v>
      </c>
      <c r="W38" s="714">
        <f t="shared" si="14"/>
        <v>100</v>
      </c>
      <c r="X38" s="1539"/>
      <c r="Y38" s="3273" t="s">
        <v>2385</v>
      </c>
      <c r="Z38" s="1540" t="str">
        <f t="shared" si="18"/>
        <v>物业管理</v>
      </c>
      <c r="AA38" s="1537">
        <f t="shared" si="15"/>
        <v>1</v>
      </c>
      <c r="AB38" s="1537">
        <f t="shared" si="16"/>
        <v>1</v>
      </c>
      <c r="AC38" s="1537">
        <f t="shared" si="17"/>
        <v>1</v>
      </c>
    </row>
    <row r="39" spans="1:29" ht="15">
      <c r="A39" s="431"/>
      <c r="B39" s="381" t="s">
        <v>2392</v>
      </c>
      <c r="C39" s="2091" t="s">
        <v>3091</v>
      </c>
      <c r="D39" s="394">
        <v>100</v>
      </c>
      <c r="E39" s="2091" t="s">
        <v>3091</v>
      </c>
      <c r="F39" s="420">
        <f>SUMIF(116:116,E39,117:117)-SUMIF(116:116,C39,117:117)+100</f>
        <v>100</v>
      </c>
      <c r="G39" s="2091" t="s">
        <v>3091</v>
      </c>
      <c r="H39" s="394">
        <f>SUMIF(116:116,G39,117:117)-SUMIF(116:116,C39,117:117)+100</f>
        <v>100</v>
      </c>
      <c r="I39" s="2091" t="s">
        <v>3091</v>
      </c>
      <c r="J39" s="394">
        <f>SUMIF(116:116,I39,117:117)-SUMIF(116:116,C39,117:117)+100</f>
        <v>100</v>
      </c>
      <c r="K39" s="385">
        <v>1</v>
      </c>
      <c r="L39" s="2934"/>
      <c r="M39" s="2928"/>
      <c r="N39" s="2928"/>
      <c r="O39" s="2928"/>
      <c r="P39" s="3271"/>
      <c r="Q39" s="1536" t="str">
        <f t="shared" si="11"/>
        <v>市政基础设施</v>
      </c>
      <c r="R39" s="713" t="s">
        <v>21</v>
      </c>
      <c r="S39" s="714">
        <f t="shared" si="12"/>
        <v>100</v>
      </c>
      <c r="T39" s="713" t="s">
        <v>21</v>
      </c>
      <c r="U39" s="714">
        <f t="shared" si="13"/>
        <v>100</v>
      </c>
      <c r="V39" s="713" t="s">
        <v>21</v>
      </c>
      <c r="W39" s="714">
        <f t="shared" si="14"/>
        <v>100</v>
      </c>
      <c r="X39" s="1539"/>
      <c r="Y39" s="3273"/>
      <c r="Z39" s="1540" t="str">
        <f t="shared" si="18"/>
        <v>市政基础设施</v>
      </c>
      <c r="AA39" s="1537">
        <f t="shared" si="15"/>
        <v>1</v>
      </c>
      <c r="AB39" s="1537">
        <f t="shared" si="16"/>
        <v>1</v>
      </c>
      <c r="AC39" s="1537">
        <f t="shared" si="17"/>
        <v>1</v>
      </c>
    </row>
    <row r="40" spans="1:29" ht="15">
      <c r="A40" s="431"/>
      <c r="B40" s="381" t="s">
        <v>2393</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271"/>
      <c r="Q40" s="1536" t="str">
        <f t="shared" si="11"/>
        <v>房型</v>
      </c>
      <c r="R40" s="713" t="s">
        <v>21</v>
      </c>
      <c r="S40" s="714">
        <f t="shared" si="12"/>
        <v>100</v>
      </c>
      <c r="T40" s="713" t="s">
        <v>21</v>
      </c>
      <c r="U40" s="714">
        <f t="shared" si="13"/>
        <v>100</v>
      </c>
      <c r="V40" s="713" t="s">
        <v>21</v>
      </c>
      <c r="W40" s="714">
        <f t="shared" si="14"/>
        <v>100</v>
      </c>
      <c r="X40" s="1539"/>
      <c r="Y40" s="3273"/>
      <c r="Z40" s="1540" t="str">
        <f t="shared" si="18"/>
        <v>房型</v>
      </c>
      <c r="AA40" s="1537">
        <f t="shared" si="15"/>
        <v>1</v>
      </c>
      <c r="AB40" s="1537">
        <f t="shared" si="16"/>
        <v>1</v>
      </c>
      <c r="AC40" s="1537">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271"/>
      <c r="Q41" s="715" t="str">
        <f t="shared" si="11"/>
        <v>单套/主力户型建筑面积</v>
      </c>
      <c r="R41" s="716" t="s">
        <v>21</v>
      </c>
      <c r="S41" s="717">
        <f t="shared" si="12"/>
        <v>100</v>
      </c>
      <c r="T41" s="716" t="s">
        <v>21</v>
      </c>
      <c r="U41" s="717">
        <f t="shared" si="13"/>
        <v>100</v>
      </c>
      <c r="V41" s="716" t="s">
        <v>21</v>
      </c>
      <c r="W41" s="717">
        <f t="shared" si="14"/>
        <v>100</v>
      </c>
      <c r="X41" s="718"/>
      <c r="Y41" s="3273"/>
      <c r="Z41" s="719" t="str">
        <f t="shared" si="18"/>
        <v>单套/主力户型建筑面积</v>
      </c>
      <c r="AA41" s="1537">
        <f t="shared" si="15"/>
        <v>1</v>
      </c>
      <c r="AB41" s="1537">
        <f t="shared" si="16"/>
        <v>1</v>
      </c>
      <c r="AC41" s="1537">
        <f t="shared" si="17"/>
        <v>1</v>
      </c>
    </row>
    <row r="42" spans="1:29" ht="15">
      <c r="A42" s="431"/>
      <c r="B42" s="381" t="s">
        <v>2395</v>
      </c>
      <c r="C42" s="2091" t="s">
        <v>3111</v>
      </c>
      <c r="D42" s="394">
        <v>100</v>
      </c>
      <c r="E42" s="2091" t="s">
        <v>3109</v>
      </c>
      <c r="F42" s="420">
        <f>SUMIF(122:122,E42,123:123)-SUMIF(122:122,C42,123:123)+100</f>
        <v>102</v>
      </c>
      <c r="G42" s="2091" t="s">
        <v>3109</v>
      </c>
      <c r="H42" s="394">
        <f>SUMIF(122:122,G42,123:123)-SUMIF(122:122,C42,123:123)+100</f>
        <v>102</v>
      </c>
      <c r="I42" s="2091" t="s">
        <v>3107</v>
      </c>
      <c r="J42" s="394">
        <f>SUMIF(122:122,I42,123:123)-SUMIF(122:122,C42,123:123)+100</f>
        <v>104</v>
      </c>
      <c r="K42" s="385">
        <v>2</v>
      </c>
      <c r="L42" s="2934"/>
      <c r="M42" s="2928"/>
      <c r="N42" s="2928"/>
      <c r="O42" s="2928"/>
      <c r="P42" s="3271"/>
      <c r="Q42" s="1536" t="str">
        <f t="shared" si="11"/>
        <v>内部装修</v>
      </c>
      <c r="R42" s="713" t="s">
        <v>21</v>
      </c>
      <c r="S42" s="714">
        <f t="shared" si="12"/>
        <v>102</v>
      </c>
      <c r="T42" s="713" t="s">
        <v>21</v>
      </c>
      <c r="U42" s="714">
        <f t="shared" si="13"/>
        <v>102</v>
      </c>
      <c r="V42" s="713" t="s">
        <v>21</v>
      </c>
      <c r="W42" s="714">
        <f t="shared" si="14"/>
        <v>104</v>
      </c>
      <c r="X42" s="1539"/>
      <c r="Y42" s="3273"/>
      <c r="Z42" s="1540" t="str">
        <f t="shared" si="18"/>
        <v>内部装修</v>
      </c>
      <c r="AA42" s="1537">
        <f t="shared" si="15"/>
        <v>0.98039215686274506</v>
      </c>
      <c r="AB42" s="1537">
        <f t="shared" si="16"/>
        <v>0.98039215686274506</v>
      </c>
      <c r="AC42" s="1537">
        <f t="shared" si="17"/>
        <v>0.96153846153846156</v>
      </c>
    </row>
    <row r="43" spans="1:29" ht="15.75" thickBot="1">
      <c r="A43" s="431"/>
      <c r="B43" s="381" t="s">
        <v>2396</v>
      </c>
      <c r="C43" s="2091" t="s">
        <v>3087</v>
      </c>
      <c r="D43" s="394">
        <v>100</v>
      </c>
      <c r="E43" s="2091" t="s">
        <v>3087</v>
      </c>
      <c r="F43" s="420">
        <f>SUMIF(124:124,E43,125:125)-SUMIF(124:124,C43,125:125)+100</f>
        <v>100</v>
      </c>
      <c r="G43" s="2091" t="s">
        <v>3087</v>
      </c>
      <c r="H43" s="394">
        <f>SUMIF(124:124,G43,125:125)-SUMIF(124:124,C43,125:125)+100</f>
        <v>100</v>
      </c>
      <c r="I43" s="2091" t="s">
        <v>3087</v>
      </c>
      <c r="J43" s="394">
        <f>SUMIF(124:124,I43,125:125)-SUMIF(124:124,C43,125:125)+100</f>
        <v>100</v>
      </c>
      <c r="K43" s="385">
        <v>2</v>
      </c>
      <c r="L43" s="2934"/>
      <c r="M43" s="2928"/>
      <c r="N43" s="2928"/>
      <c r="O43" s="2928"/>
      <c r="P43" s="3271"/>
      <c r="Q43" s="1536" t="str">
        <f t="shared" si="11"/>
        <v>内部装修维护情况</v>
      </c>
      <c r="R43" s="713" t="s">
        <v>21</v>
      </c>
      <c r="S43" s="714">
        <f t="shared" si="12"/>
        <v>100</v>
      </c>
      <c r="T43" s="713" t="s">
        <v>21</v>
      </c>
      <c r="U43" s="714">
        <f t="shared" si="13"/>
        <v>100</v>
      </c>
      <c r="V43" s="713" t="s">
        <v>21</v>
      </c>
      <c r="W43" s="714">
        <f t="shared" si="14"/>
        <v>100</v>
      </c>
      <c r="X43" s="1539"/>
      <c r="Y43" s="3273"/>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271"/>
      <c r="Q44" s="1527">
        <f t="shared" si="11"/>
        <v>111</v>
      </c>
      <c r="R44" s="709" t="s">
        <v>21</v>
      </c>
      <c r="S44" s="710">
        <f t="shared" si="12"/>
        <v>100</v>
      </c>
      <c r="T44" s="709" t="s">
        <v>21</v>
      </c>
      <c r="U44" s="710">
        <f t="shared" si="13"/>
        <v>100</v>
      </c>
      <c r="V44" s="709" t="s">
        <v>21</v>
      </c>
      <c r="W44" s="710">
        <f t="shared" si="14"/>
        <v>100</v>
      </c>
      <c r="X44" s="711"/>
      <c r="Y44" s="3273"/>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271"/>
      <c r="Q45" s="1536">
        <f t="shared" si="11"/>
        <v>111</v>
      </c>
      <c r="R45" s="713" t="s">
        <v>21</v>
      </c>
      <c r="S45" s="714">
        <f t="shared" si="12"/>
        <v>100</v>
      </c>
      <c r="T45" s="713" t="s">
        <v>21</v>
      </c>
      <c r="U45" s="714">
        <f t="shared" si="13"/>
        <v>100</v>
      </c>
      <c r="V45" s="713" t="s">
        <v>21</v>
      </c>
      <c r="W45" s="714">
        <f t="shared" si="14"/>
        <v>100</v>
      </c>
      <c r="X45" s="1539"/>
      <c r="Y45" s="3273"/>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272"/>
      <c r="Q46" s="1536">
        <f t="shared" si="11"/>
        <v>111</v>
      </c>
      <c r="R46" s="713" t="s">
        <v>20</v>
      </c>
      <c r="S46" s="714">
        <f t="shared" si="12"/>
        <v>100</v>
      </c>
      <c r="T46" s="713" t="s">
        <v>20</v>
      </c>
      <c r="U46" s="714">
        <f t="shared" si="13"/>
        <v>100</v>
      </c>
      <c r="V46" s="713" t="s">
        <v>20</v>
      </c>
      <c r="W46" s="714">
        <f t="shared" si="14"/>
        <v>100</v>
      </c>
      <c r="X46" s="1539"/>
      <c r="Y46" s="3274"/>
      <c r="Z46" s="1540">
        <f t="shared" si="18"/>
        <v>111</v>
      </c>
      <c r="AA46" s="1537">
        <f t="shared" si="15"/>
        <v>1</v>
      </c>
      <c r="AB46" s="1537">
        <f t="shared" si="16"/>
        <v>1</v>
      </c>
      <c r="AC46" s="1537">
        <f t="shared" si="17"/>
        <v>1</v>
      </c>
    </row>
    <row r="47" spans="1:29" ht="15">
      <c r="A47" s="438" t="s">
        <v>2397</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66" t="str">
        <f>A47</f>
        <v>成交单价（元/平方米）</v>
      </c>
      <c r="Q47" s="3266"/>
      <c r="R47" s="3267">
        <f>E47</f>
        <v>190920</v>
      </c>
      <c r="S47" s="3267"/>
      <c r="T47" s="3267">
        <f>G47</f>
        <v>202194</v>
      </c>
      <c r="U47" s="3267"/>
      <c r="V47" s="3267">
        <f>I47</f>
        <v>195627</v>
      </c>
      <c r="W47" s="3267"/>
      <c r="X47" s="698"/>
      <c r="Y47" s="720"/>
      <c r="Z47" s="698"/>
      <c r="AA47" s="698"/>
      <c r="AB47" s="698"/>
      <c r="AC47" s="698"/>
    </row>
    <row r="48" spans="1:29" ht="15.75" thickBot="1">
      <c r="A48" s="445" t="s">
        <v>2398</v>
      </c>
      <c r="B48" s="446"/>
      <c r="C48" s="1321">
        <f>R49</f>
        <v>190875</v>
      </c>
      <c r="D48" s="2535" t="s">
        <v>2876</v>
      </c>
      <c r="E48" s="1322">
        <f>R48</f>
        <v>185585</v>
      </c>
      <c r="F48" s="2536"/>
      <c r="G48" s="1321">
        <f>T48</f>
        <v>207997</v>
      </c>
      <c r="H48" s="2536"/>
      <c r="I48" s="1322">
        <f>V48</f>
        <v>179043</v>
      </c>
      <c r="J48" s="2536"/>
      <c r="K48" s="2537">
        <f>F48+H48+J48</f>
        <v>0</v>
      </c>
      <c r="L48" s="2936">
        <v>0.99263500000000005</v>
      </c>
      <c r="M48" s="2937"/>
      <c r="N48" s="2937"/>
      <c r="O48" s="2937"/>
      <c r="P48" s="3266" t="str">
        <f>A48</f>
        <v>比较价值（元/平方米）</v>
      </c>
      <c r="Q48" s="3266"/>
      <c r="R48" s="3267">
        <f>IF(F1="售价",ROUND(PRODUCT(R47,AA7:AA46),0),ROUND(PRODUCT(R47,AA7:AA46),1))</f>
        <v>185585</v>
      </c>
      <c r="S48" s="3267"/>
      <c r="T48" s="3267">
        <f>IF(F1="售价",ROUND(PRODUCT(T47,AB7:AB46),0),ROUND(PRODUCT(T47,AB7:AB46),1))</f>
        <v>207997</v>
      </c>
      <c r="U48" s="3267"/>
      <c r="V48" s="3267">
        <f>IF(F1="售价",ROUND(PRODUCT(V47,AC7:AC46),0),ROUND(PRODUCT(V47,AC7:AC46),1))</f>
        <v>179043</v>
      </c>
      <c r="W48" s="3267"/>
      <c r="X48" s="698"/>
      <c r="Y48" s="698"/>
      <c r="Z48" s="698"/>
      <c r="AA48" s="698"/>
      <c r="AB48" s="698"/>
      <c r="AC48" s="698"/>
    </row>
    <row r="49" spans="1:29" ht="15.75" thickBot="1">
      <c r="A49" s="449" t="s">
        <v>2399</v>
      </c>
      <c r="B49" s="450"/>
      <c r="C49" s="1323">
        <f>R49</f>
        <v>190875</v>
      </c>
      <c r="D49" s="1324"/>
      <c r="E49" s="1324"/>
      <c r="F49" s="1324"/>
      <c r="G49" s="1324"/>
      <c r="H49" s="1324"/>
      <c r="I49" s="1324"/>
      <c r="J49" s="1324"/>
      <c r="K49" s="2098"/>
      <c r="L49" s="3050">
        <f ca="1">结果表!G20-典型户型修正!U24</f>
        <v>0</v>
      </c>
      <c r="M49" s="2937"/>
      <c r="N49" s="2937"/>
      <c r="O49" s="2937"/>
      <c r="P49" s="3263" t="str">
        <f>A49</f>
        <v>估价对象XX用房的比较价值（楼面单价，元/平方米）</v>
      </c>
      <c r="Q49" s="3264"/>
      <c r="R49" s="3265">
        <f>IF(F1="售价",ROUND(IF(D48="简单平均",AVERAGE(R48:V48),R48*F48+T48*H48+V48*J48),0),ROUND(IF(D48="简单平均",AVERAGE(R48:V48),R48*F48+T48*H48+V48*J48),1))</f>
        <v>190875</v>
      </c>
      <c r="S49" s="3265"/>
      <c r="T49" s="3265"/>
      <c r="U49" s="3265"/>
      <c r="V49" s="3265"/>
      <c r="W49" s="3265"/>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2400</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2401</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2402</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1.75" thickBot="1">
      <c r="A57" s="702" t="s">
        <v>2403</v>
      </c>
      <c r="B57" s="698"/>
      <c r="C57" s="703"/>
      <c r="D57" s="703"/>
      <c r="E57" s="703"/>
      <c r="F57" s="704"/>
      <c r="G57" s="704"/>
      <c r="H57" s="703"/>
      <c r="I57" s="703"/>
      <c r="J57" s="703"/>
      <c r="K57" s="1071"/>
      <c r="L57" s="1072"/>
      <c r="M57" s="1070"/>
      <c r="N57" s="1070"/>
      <c r="O57" s="1070"/>
      <c r="P57" s="2101"/>
      <c r="Q57" s="461"/>
    </row>
    <row r="58" spans="1:29" s="465" customFormat="1" ht="15">
      <c r="A58" s="462" t="s">
        <v>2404</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75" thickBot="1">
      <c r="A60" s="472" t="s">
        <v>2405</v>
      </c>
      <c r="B60" s="473"/>
      <c r="C60" s="474"/>
      <c r="D60" s="475"/>
      <c r="E60" s="475"/>
      <c r="F60" s="475"/>
      <c r="G60" s="475"/>
      <c r="H60" s="475"/>
      <c r="I60" s="475"/>
      <c r="J60" s="475"/>
      <c r="K60" s="475"/>
      <c r="L60" s="475"/>
      <c r="M60" s="476"/>
      <c r="N60" s="475"/>
      <c r="O60" s="476"/>
      <c r="P60" s="2103"/>
      <c r="Q60" s="461"/>
    </row>
    <row r="61" spans="1:29" s="113" customFormat="1" ht="15">
      <c r="A61" s="478" t="s">
        <v>2406</v>
      </c>
      <c r="B61" s="467"/>
      <c r="C61" s="479" t="s">
        <v>2407</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2408</v>
      </c>
      <c r="B63" s="485" t="s">
        <v>2374</v>
      </c>
      <c r="C63" s="486" t="str">
        <f>C9</f>
        <v>住宅</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5"/>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ht="15">
      <c r="A68" s="491"/>
      <c r="B68" s="505"/>
      <c r="C68" s="506">
        <v>0</v>
      </c>
      <c r="D68" s="506">
        <v>1</v>
      </c>
      <c r="E68" s="506">
        <v>2</v>
      </c>
      <c r="F68" s="506">
        <v>3</v>
      </c>
      <c r="G68" s="506">
        <v>4</v>
      </c>
      <c r="H68" s="506">
        <v>5</v>
      </c>
      <c r="I68" s="506"/>
      <c r="J68" s="506"/>
      <c r="K68" s="507"/>
      <c r="L68" s="508"/>
      <c r="M68" s="509"/>
      <c r="N68" s="1063"/>
      <c r="O68" s="1063"/>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9"/>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5"/>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5"/>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5"/>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5"/>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75" thickTop="1">
      <c r="A86" s="536"/>
      <c r="B86" s="495" t="s">
        <v>2430</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14.75" thickTop="1">
      <c r="A88" s="536"/>
      <c r="B88" s="495" t="s">
        <v>2431</v>
      </c>
      <c r="C88" s="511" t="s">
        <v>3150</v>
      </c>
      <c r="D88" s="511" t="s">
        <v>3151</v>
      </c>
      <c r="E88" s="511" t="s">
        <v>3152</v>
      </c>
      <c r="F88" s="2110" t="s">
        <v>3153</v>
      </c>
      <c r="G88" s="511" t="s">
        <v>3154</v>
      </c>
      <c r="H88" s="511" t="s">
        <v>3155</v>
      </c>
      <c r="I88" s="511" t="s">
        <v>3156</v>
      </c>
      <c r="J88" s="3039" t="s">
        <v>3157</v>
      </c>
      <c r="K88" s="511"/>
      <c r="L88" s="511"/>
      <c r="M88" s="538"/>
      <c r="N88" s="1062" t="s">
        <v>3148</v>
      </c>
      <c r="O88" s="1062" t="s">
        <v>3149</v>
      </c>
      <c r="P88" s="2105"/>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75" thickTop="1">
      <c r="A90" s="510"/>
      <c r="B90" s="495" t="str">
        <f>B27</f>
        <v>楼层</v>
      </c>
      <c r="C90" s="3039" t="s">
        <v>3118</v>
      </c>
      <c r="D90" s="3039" t="s">
        <v>3119</v>
      </c>
      <c r="E90" s="3039" t="s">
        <v>3120</v>
      </c>
      <c r="F90" s="511"/>
      <c r="G90" s="511"/>
      <c r="H90" s="512"/>
      <c r="I90" s="512"/>
      <c r="J90" s="512"/>
      <c r="K90" s="512"/>
      <c r="L90" s="513"/>
      <c r="M90" s="514"/>
      <c r="N90" s="1065"/>
      <c r="O90" s="1065"/>
      <c r="P90" s="2106"/>
      <c r="Q90" s="516"/>
    </row>
    <row r="91" spans="1:17" s="430" customFormat="1" ht="15.75" thickBot="1">
      <c r="A91" s="510"/>
      <c r="B91" s="500"/>
      <c r="C91" s="517">
        <v>100</v>
      </c>
      <c r="D91" s="517">
        <f>C91-2</f>
        <v>98</v>
      </c>
      <c r="E91" s="517">
        <f>D91-2</f>
        <v>96</v>
      </c>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2383</v>
      </c>
      <c r="B100" s="485" t="s">
        <v>2432</v>
      </c>
      <c r="C100" s="3038" t="s">
        <v>3099</v>
      </c>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5.75"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2434</v>
      </c>
      <c r="C105" s="3039" t="s">
        <v>3101</v>
      </c>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2435</v>
      </c>
      <c r="C107" s="3040" t="s">
        <v>3103</v>
      </c>
      <c r="D107" s="3040" t="s">
        <v>3104</v>
      </c>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2436</v>
      </c>
      <c r="C109" s="3039" t="s">
        <v>3106</v>
      </c>
      <c r="D109" s="3039" t="s">
        <v>3108</v>
      </c>
      <c r="E109" s="3039" t="s">
        <v>3110</v>
      </c>
      <c r="F109" s="3040" t="s">
        <v>3112</v>
      </c>
      <c r="G109" s="540"/>
      <c r="H109" s="540"/>
      <c r="I109" s="540"/>
      <c r="J109" s="540"/>
      <c r="K109" s="541"/>
      <c r="L109" s="542"/>
      <c r="M109" s="543"/>
      <c r="N109" s="1063"/>
      <c r="O109" s="1063"/>
      <c r="P109" s="2105"/>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2437</v>
      </c>
      <c r="C114" s="3039" t="s">
        <v>3114</v>
      </c>
      <c r="D114" s="3039" t="s">
        <v>3115</v>
      </c>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2438</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2439</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2440</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6"/>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2" t="s">
        <v>2445</v>
      </c>
      <c r="D138" s="142" t="s">
        <v>2446</v>
      </c>
      <c r="E138" s="2120" t="s">
        <v>2447</v>
      </c>
      <c r="F138" s="2121" t="s">
        <v>2448</v>
      </c>
      <c r="G138" s="142" t="s">
        <v>2446</v>
      </c>
      <c r="H138" s="143" t="s">
        <v>2447</v>
      </c>
      <c r="I138" s="2122"/>
      <c r="J138" s="142" t="s">
        <v>2449</v>
      </c>
      <c r="K138" s="143"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7">
        <f>ROUNDUP((J139-1)/2,0)</f>
        <v>10</v>
      </c>
      <c r="K140" s="1008">
        <v>100</v>
      </c>
    </row>
    <row r="141" spans="1:17" ht="15">
      <c r="B141" s="1003">
        <v>4</v>
      </c>
      <c r="C141" s="1004">
        <v>102</v>
      </c>
      <c r="D141" s="1004"/>
      <c r="E141" s="1005"/>
      <c r="F141" s="1006">
        <v>101.5</v>
      </c>
      <c r="G141" s="1004"/>
      <c r="H141" s="1007"/>
      <c r="I141" s="2125" t="s">
        <v>2454</v>
      </c>
      <c r="J141" s="277">
        <v>1</v>
      </c>
      <c r="K141" s="1009">
        <f>ROUND(100+(J141-J140)*K139*100,1)</f>
        <v>96.4</v>
      </c>
    </row>
    <row r="142" spans="1:17" ht="15">
      <c r="B142" s="1003">
        <v>3</v>
      </c>
      <c r="C142" s="1004">
        <v>103</v>
      </c>
      <c r="D142" s="1004"/>
      <c r="E142" s="1005"/>
      <c r="F142" s="1006">
        <v>101</v>
      </c>
      <c r="G142" s="1004"/>
      <c r="H142" s="1007"/>
      <c r="I142" s="2125" t="s">
        <v>2455</v>
      </c>
      <c r="J142" s="277">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2" zoomScale="90" zoomScaleNormal="70" zoomScaleSheetLayoutView="90" workbookViewId="0">
      <selection activeCell="F32" sqref="F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3074</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60" t="s">
        <v>1368</v>
      </c>
      <c r="C6" s="1205">
        <f ca="1">ROUND(F6*F8*F7*(1-F9),0)</f>
        <v>369484</v>
      </c>
      <c r="D6" s="160" t="s">
        <v>2843</v>
      </c>
      <c r="E6" s="308" t="s">
        <v>1370</v>
      </c>
      <c r="F6" s="309">
        <f ca="1">INDIRECT("'数据-取费表'!u"&amp;$G$1)</f>
        <v>6.5</v>
      </c>
      <c r="G6" s="1568"/>
      <c r="H6" s="1200" t="s">
        <v>1003</v>
      </c>
      <c r="I6" s="3260" t="s">
        <v>1368</v>
      </c>
      <c r="J6" s="307">
        <f ca="1">ROUND(M6*M8*M7*(1-M9),0)</f>
        <v>0</v>
      </c>
      <c r="K6" s="1560" t="s">
        <v>2844</v>
      </c>
      <c r="L6" s="308" t="s">
        <v>1370</v>
      </c>
      <c r="M6" s="309">
        <f ca="1">INDIRECT("'数据-取费表'!z"&amp;$G$1)</f>
        <v>0</v>
      </c>
    </row>
    <row r="7" spans="1:37" ht="18" customHeight="1">
      <c r="A7" s="1204"/>
      <c r="B7" s="3261"/>
      <c r="C7" s="1206"/>
      <c r="D7" s="313"/>
      <c r="E7" s="1207" t="s">
        <v>1371</v>
      </c>
      <c r="F7" s="309">
        <f ca="1">IF(INDIRECT("'数据-取费表'!ah"&amp;$G$1)="",INDIRECT("'数据-取费表'!k"&amp;$G$1),INDIRECT("'数据-取费表'!ah"&amp;$G$1))</f>
        <v>173.04</v>
      </c>
      <c r="G7" s="1568"/>
      <c r="H7" s="310"/>
      <c r="I7" s="3261"/>
      <c r="J7" s="312"/>
      <c r="K7" s="313"/>
      <c r="L7" s="308" t="s">
        <v>1371</v>
      </c>
      <c r="M7" s="309">
        <f ca="1">F7</f>
        <v>173.04</v>
      </c>
    </row>
    <row r="8" spans="1:37" ht="18" customHeight="1">
      <c r="A8" s="310"/>
      <c r="B8" s="3261"/>
      <c r="C8" s="312"/>
      <c r="D8" s="313"/>
      <c r="E8" s="308" t="s">
        <v>1372</v>
      </c>
      <c r="F8" s="309">
        <f ca="1">INDIRECT("'数据-取费表'!ai"&amp;$G$1)</f>
        <v>365</v>
      </c>
      <c r="G8" s="1568"/>
      <c r="H8" s="310"/>
      <c r="I8" s="3261"/>
      <c r="J8" s="312"/>
      <c r="K8" s="313"/>
      <c r="L8" s="308" t="s">
        <v>1372</v>
      </c>
      <c r="M8" s="309">
        <f ca="1">INDIRECT("'数据-取费表'!ai"&amp;$G$1)</f>
        <v>365</v>
      </c>
    </row>
    <row r="9" spans="1:37" ht="18" customHeight="1">
      <c r="A9" s="310"/>
      <c r="B9" s="3262"/>
      <c r="C9" s="312"/>
      <c r="D9" s="313"/>
      <c r="E9" s="308" t="s">
        <v>1373</v>
      </c>
      <c r="F9" s="318">
        <f ca="1">INDIRECT("'数据-取费表'!w"&amp;$G$1)</f>
        <v>0.1</v>
      </c>
      <c r="G9" s="1568"/>
      <c r="H9" s="310"/>
      <c r="I9" s="3262"/>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2853</v>
      </c>
      <c r="E10" s="319" t="s">
        <v>1375</v>
      </c>
      <c r="F10" s="1275" t="s">
        <v>3141</v>
      </c>
      <c r="G10" s="1568"/>
      <c r="H10" s="1200" t="s">
        <v>1007</v>
      </c>
      <c r="I10" s="1549" t="s">
        <v>1374</v>
      </c>
      <c r="J10" s="307">
        <f ca="1">ROUND(IF(M10="押一",J6/12*M11,IF(M10="押二",J6/12*2*M11,IF(M10="押三",J6/12*3*M11,J11*M11))),0)</f>
        <v>0</v>
      </c>
      <c r="K10" s="1561" t="s">
        <v>2855</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3142</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5"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t="s">
        <v>3144</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28.5" thickBot="1">
      <c r="A48" s="1269" t="s">
        <v>1103</v>
      </c>
      <c r="B48" s="306" t="s">
        <v>1366</v>
      </c>
      <c r="C48" s="1543">
        <f ca="1">C49+C53+C55</f>
        <v>0</v>
      </c>
      <c r="D48" s="1271"/>
      <c r="E48" s="1272"/>
      <c r="F48" s="1092"/>
      <c r="G48" s="730"/>
      <c r="H48" s="731"/>
      <c r="I48" s="1605" t="s">
        <v>1495</v>
      </c>
      <c r="J48" s="1606" t="s">
        <v>3143</v>
      </c>
      <c r="K48" s="1607" t="s">
        <v>1496</v>
      </c>
      <c r="L48" s="1608">
        <f ca="1">INDIRECT("'数据-取费表'!f"&amp;$G$1)</f>
        <v>56.05</v>
      </c>
      <c r="O48" s="1602" t="s">
        <v>1009</v>
      </c>
      <c r="P48" s="1603" t="s">
        <v>1497</v>
      </c>
      <c r="Q48" s="1604" t="str">
        <f ca="1">J60</f>
        <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5"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5"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2856</v>
      </c>
      <c r="E53" s="319" t="s">
        <v>1375</v>
      </c>
      <c r="F53" s="1275"/>
      <c r="I53" s="1623" t="s">
        <v>1512</v>
      </c>
      <c r="J53" s="2383">
        <f ca="1">IF(M47="住宅",IF(D1="——",MAX(J51,L48),MAX(J51,L48-'数据-取费表'!B24)),IF(D1="——",MIN(J51,L48),MIN(J51,L48-'数据-取费表'!B24)))</f>
        <v>56.05</v>
      </c>
      <c r="K53" s="3258" t="s">
        <v>1513</v>
      </c>
      <c r="L53" s="3259"/>
      <c r="O53" s="1602" t="s">
        <v>1014</v>
      </c>
      <c r="P53" s="1603" t="s">
        <v>1514</v>
      </c>
      <c r="Q53" s="1604">
        <f ca="1">Q47+Q48</f>
        <v>13028866</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3062</v>
      </c>
      <c r="K56" s="1605" t="s">
        <v>1520</v>
      </c>
      <c r="L56" s="1608" t="str">
        <f ca="1">IF(L48&lt;J51,"——",L48-J51)</f>
        <v>——</v>
      </c>
      <c r="O56" s="1602" t="s">
        <v>1008</v>
      </c>
      <c r="P56" s="1603" t="s">
        <v>1493</v>
      </c>
      <c r="Q56" s="1604">
        <f ca="1">C40+J29</f>
        <v>13028866</v>
      </c>
      <c r="R56" s="1604" t="s">
        <v>1494</v>
      </c>
    </row>
    <row r="57" spans="1:18" s="1568" customFormat="1" ht="24.75"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5"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16.5"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5"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5"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5"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5"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19"/>
      <c r="G1" s="1674"/>
      <c r="H1" s="1674"/>
      <c r="I1" s="1674"/>
      <c r="J1" s="1674"/>
      <c r="K1" s="1674"/>
      <c r="L1" s="1674"/>
      <c r="M1" s="1674"/>
      <c r="N1" s="1674"/>
      <c r="O1" s="1674"/>
      <c r="P1" s="1674"/>
      <c r="Q1" s="1674"/>
      <c r="R1" s="1674"/>
      <c r="S1" s="1674"/>
    </row>
    <row r="2" spans="1:22" ht="15.75">
      <c r="A2" s="2056" t="s">
        <v>2147</v>
      </c>
      <c r="B2" s="2057">
        <f ca="1">SUMIF(B6:B13,"&lt;&gt;#ref!",B6:B13)</f>
        <v>1303</v>
      </c>
      <c r="C2" s="2058" t="s">
        <v>2339</v>
      </c>
      <c r="D2" s="2059" t="s">
        <v>2340</v>
      </c>
      <c r="E2" s="2816">
        <f>SUM(E6:E13)</f>
        <v>173.04</v>
      </c>
      <c r="F2" s="2919"/>
      <c r="G2" s="1674"/>
      <c r="H2" s="1674"/>
      <c r="I2" s="1674"/>
      <c r="J2" s="1674"/>
      <c r="K2" s="1674"/>
      <c r="L2" s="1674"/>
      <c r="M2" s="1674"/>
      <c r="N2" s="1674"/>
      <c r="O2" s="1674"/>
      <c r="P2" s="1674"/>
      <c r="Q2" s="1674"/>
      <c r="R2" s="1674"/>
      <c r="S2" s="1674"/>
    </row>
    <row r="3" spans="1:22" ht="15.75">
      <c r="A3" s="2056" t="s">
        <v>1360</v>
      </c>
      <c r="B3" s="2810">
        <f ca="1">ROUND(B2*10000/E2,0)</f>
        <v>75301</v>
      </c>
      <c r="C3" s="2058" t="s">
        <v>2347</v>
      </c>
      <c r="D3" s="2921"/>
      <c r="E3" s="2923"/>
      <c r="F3" s="2919"/>
      <c r="G3" s="1674"/>
      <c r="H3" s="1674"/>
      <c r="I3" s="1674"/>
      <c r="J3" s="1674"/>
      <c r="K3" s="1674"/>
      <c r="L3" s="1674"/>
      <c r="M3" s="1674"/>
      <c r="N3" s="1674"/>
      <c r="O3" s="1674"/>
      <c r="P3" s="1674"/>
      <c r="Q3" s="1674"/>
      <c r="R3" s="1674"/>
      <c r="S3" s="1674"/>
    </row>
    <row r="4" spans="1:22" ht="15.75">
      <c r="A4" s="2924"/>
      <c r="B4" s="2921"/>
      <c r="C4" s="2921"/>
      <c r="D4" s="2921"/>
      <c r="E4" s="2923"/>
      <c r="F4" s="2919"/>
      <c r="G4" s="1674"/>
      <c r="H4" s="1674"/>
      <c r="I4" s="1674"/>
      <c r="J4" s="1674"/>
      <c r="K4" s="1674"/>
      <c r="L4" s="1674"/>
      <c r="M4" s="1674"/>
      <c r="N4" s="1674"/>
      <c r="O4" s="1674"/>
      <c r="P4" s="1674"/>
      <c r="Q4" s="1674"/>
      <c r="R4" s="1674"/>
      <c r="S4" s="1674"/>
    </row>
    <row r="5" spans="1:22" ht="15">
      <c r="A5" s="2812" t="s">
        <v>2341</v>
      </c>
      <c r="B5" s="3310" t="s">
        <v>2342</v>
      </c>
      <c r="C5" s="3311"/>
      <c r="D5" s="2920"/>
      <c r="E5" s="2060" t="s">
        <v>2343</v>
      </c>
      <c r="F5" s="2061" t="s">
        <v>2344</v>
      </c>
      <c r="G5" s="1674"/>
      <c r="H5" s="1674"/>
      <c r="I5" s="1674"/>
      <c r="J5" s="1674"/>
      <c r="K5" s="1674"/>
      <c r="L5" s="1674"/>
      <c r="M5" s="1674"/>
      <c r="N5" s="1674"/>
      <c r="O5" s="1674"/>
      <c r="P5" s="1674"/>
      <c r="Q5" s="1674"/>
      <c r="R5" s="1674"/>
      <c r="S5" s="1674"/>
    </row>
    <row r="6" spans="1:22">
      <c r="A6" s="2813" t="str">
        <f>'数据-取费表'!AN6</f>
        <v>收益法 (元)</v>
      </c>
      <c r="B6" s="2811">
        <f ca="1">IF(F6="是",'数据-取费表'!AO6,0)</f>
        <v>1303</v>
      </c>
      <c r="C6" s="2058" t="s">
        <v>2339</v>
      </c>
      <c r="D6" s="2921"/>
      <c r="E6" s="2815">
        <f>IF(OR(A6=0,F6="否"),0,'数据-取费表'!K6+'数据-取费表'!S6)</f>
        <v>173.04</v>
      </c>
      <c r="F6" s="2062" t="s">
        <v>2345</v>
      </c>
      <c r="G6" s="1674"/>
      <c r="H6" s="1674"/>
      <c r="I6" s="1674"/>
      <c r="J6" s="1674"/>
      <c r="K6" s="1674"/>
      <c r="L6" s="1674"/>
      <c r="M6" s="1674"/>
      <c r="N6" s="1674"/>
      <c r="O6" s="1674"/>
      <c r="P6" s="1674"/>
      <c r="Q6" s="1674"/>
      <c r="R6" s="1674"/>
      <c r="S6" s="1674"/>
    </row>
    <row r="7" spans="1:22">
      <c r="A7" s="2813">
        <f>'数据-取费表'!AN7</f>
        <v>0</v>
      </c>
      <c r="B7" s="2811" t="e">
        <f ca="1">IF(F7="是",'数据-取费表'!AO7,0)</f>
        <v>#REF!</v>
      </c>
      <c r="C7" s="2058" t="s">
        <v>2339</v>
      </c>
      <c r="D7" s="2921"/>
      <c r="E7" s="2815">
        <f>IF(OR(A7=0,F7="否"),0,'数据-取费表'!K7+'数据-取费表'!S7)</f>
        <v>0</v>
      </c>
      <c r="F7" s="2062" t="s">
        <v>2345</v>
      </c>
      <c r="G7" s="1674"/>
      <c r="H7" s="1674"/>
      <c r="I7" s="1674"/>
      <c r="J7" s="1674"/>
      <c r="K7" s="1674"/>
      <c r="L7" s="1674"/>
      <c r="M7" s="1674"/>
      <c r="N7" s="1674"/>
      <c r="O7" s="1674"/>
      <c r="P7" s="1674"/>
      <c r="Q7" s="1674"/>
      <c r="R7" s="1674"/>
      <c r="S7" s="1674"/>
    </row>
    <row r="8" spans="1:22">
      <c r="A8" s="2813">
        <f>'数据-取费表'!AN8</f>
        <v>0</v>
      </c>
      <c r="B8" s="2811" t="e">
        <f ca="1">IF(F8="是",'数据-取费表'!AO8,0)</f>
        <v>#REF!</v>
      </c>
      <c r="C8" s="2058" t="s">
        <v>2339</v>
      </c>
      <c r="D8" s="2921"/>
      <c r="E8" s="2815">
        <f>IF(OR(A8=0,F8="否"),0,'数据-取费表'!K8+'数据-取费表'!S8)</f>
        <v>0</v>
      </c>
      <c r="F8" s="2062" t="s">
        <v>2345</v>
      </c>
      <c r="G8" s="1674"/>
      <c r="H8" s="1674"/>
      <c r="I8" s="1674"/>
      <c r="J8" s="1674"/>
      <c r="K8" s="1674"/>
      <c r="L8" s="1674"/>
      <c r="M8" s="1674"/>
      <c r="N8" s="1674"/>
      <c r="O8" s="1674"/>
      <c r="P8" s="1674"/>
      <c r="Q8" s="1674"/>
      <c r="R8" s="1674"/>
      <c r="S8" s="1674"/>
    </row>
    <row r="9" spans="1:22">
      <c r="A9" s="2813">
        <f>'数据-取费表'!AN9</f>
        <v>0</v>
      </c>
      <c r="B9" s="2811" t="e">
        <f ca="1">IF(F9="是",'数据-取费表'!AO9,0)</f>
        <v>#REF!</v>
      </c>
      <c r="C9" s="2058" t="s">
        <v>2339</v>
      </c>
      <c r="D9" s="2921"/>
      <c r="E9" s="2815">
        <f>IF(OR(A9=0,F9="否"),0,'数据-取费表'!K9+'数据-取费表'!S9)</f>
        <v>0</v>
      </c>
      <c r="F9" s="2062" t="s">
        <v>2345</v>
      </c>
      <c r="G9" s="1674"/>
      <c r="H9" s="1674"/>
      <c r="I9" s="1674"/>
      <c r="J9" s="1674"/>
      <c r="K9" s="1674"/>
      <c r="L9" s="1674"/>
      <c r="M9" s="1674"/>
      <c r="N9" s="1674"/>
      <c r="O9" s="1674"/>
      <c r="P9" s="1674"/>
      <c r="Q9" s="1674"/>
      <c r="R9" s="1674"/>
      <c r="S9" s="1674"/>
    </row>
    <row r="10" spans="1:22">
      <c r="A10" s="2813">
        <f>'数据-取费表'!AN10</f>
        <v>0</v>
      </c>
      <c r="B10" s="2811" t="e">
        <f ca="1">IF(F10="是",'数据-取费表'!AO10,0)</f>
        <v>#REF!</v>
      </c>
      <c r="C10" s="2058" t="s">
        <v>2339</v>
      </c>
      <c r="D10" s="2921"/>
      <c r="E10" s="2815">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13">
        <f>'数据-取费表'!AN11</f>
        <v>0</v>
      </c>
      <c r="B11" s="2811" t="e">
        <f ca="1">IF(F11="是",'数据-取费表'!AO11,0)</f>
        <v>#REF!</v>
      </c>
      <c r="C11" s="2058" t="s">
        <v>2339</v>
      </c>
      <c r="D11" s="2921"/>
      <c r="E11" s="2815">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13">
        <f>'数据-取费表'!AN12</f>
        <v>0</v>
      </c>
      <c r="B12" s="2811" t="e">
        <f ca="1">IF(F12="是",'数据-取费表'!AO12,0)</f>
        <v>#REF!</v>
      </c>
      <c r="C12" s="2058" t="s">
        <v>2339</v>
      </c>
      <c r="D12" s="2921"/>
      <c r="E12" s="2815">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2339</v>
      </c>
      <c r="D13" s="2922"/>
      <c r="E13" s="2815">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8" t="s">
        <v>1044</v>
      </c>
      <c r="B1" s="3329"/>
      <c r="C1" s="3330"/>
      <c r="D1" s="3331">
        <f>SUM(I10,I15,I20,I21,I23)</f>
        <v>0</v>
      </c>
      <c r="E1" s="3331"/>
      <c r="F1" s="3331"/>
      <c r="G1" s="3331"/>
      <c r="H1" s="3331"/>
      <c r="I1" s="3332"/>
    </row>
    <row r="2" spans="1:9">
      <c r="A2" s="3318" t="s">
        <v>1045</v>
      </c>
      <c r="B2" s="3319" t="s">
        <v>1046</v>
      </c>
      <c r="C2" s="3319"/>
      <c r="D2" s="1210" t="s">
        <v>1047</v>
      </c>
      <c r="E2" s="1210" t="s">
        <v>1048</v>
      </c>
      <c r="F2" s="1210" t="s">
        <v>1049</v>
      </c>
      <c r="G2" s="1210" t="s">
        <v>1050</v>
      </c>
      <c r="H2" s="1210" t="s">
        <v>1051</v>
      </c>
      <c r="I2" s="1211" t="s">
        <v>1052</v>
      </c>
    </row>
    <row r="3" spans="1:9">
      <c r="A3" s="3318"/>
      <c r="B3" s="3319" t="s">
        <v>1053</v>
      </c>
      <c r="C3" s="3319"/>
      <c r="D3" s="1212"/>
      <c r="E3" s="1210"/>
      <c r="F3" s="1213"/>
      <c r="G3" s="1213"/>
      <c r="H3" s="1214"/>
      <c r="I3" s="1215">
        <f>ROUND(D3*E3*F3*G3*H3/10000,0)</f>
        <v>0</v>
      </c>
    </row>
    <row r="4" spans="1:9">
      <c r="A4" s="3318"/>
      <c r="B4" s="3319" t="s">
        <v>1054</v>
      </c>
      <c r="C4" s="3319"/>
      <c r="D4" s="1212"/>
      <c r="E4" s="1210"/>
      <c r="F4" s="1213"/>
      <c r="G4" s="1213"/>
      <c r="H4" s="1214"/>
      <c r="I4" s="1215">
        <f t="shared" ref="I4:I9" si="0">ROUND(D4*E4*F4*G4*H4/10000,0)</f>
        <v>0</v>
      </c>
    </row>
    <row r="5" spans="1:9">
      <c r="A5" s="3318"/>
      <c r="B5" s="3319" t="s">
        <v>1055</v>
      </c>
      <c r="C5" s="3319"/>
      <c r="D5" s="1212"/>
      <c r="E5" s="1210"/>
      <c r="F5" s="1213"/>
      <c r="G5" s="1213"/>
      <c r="H5" s="1214"/>
      <c r="I5" s="1215">
        <f t="shared" si="0"/>
        <v>0</v>
      </c>
    </row>
    <row r="6" spans="1:9">
      <c r="A6" s="3318"/>
      <c r="B6" s="3319" t="s">
        <v>1056</v>
      </c>
      <c r="C6" s="3319"/>
      <c r="D6" s="1212"/>
      <c r="E6" s="1210"/>
      <c r="F6" s="1213"/>
      <c r="G6" s="1213"/>
      <c r="H6" s="1214"/>
      <c r="I6" s="1215">
        <f t="shared" si="0"/>
        <v>0</v>
      </c>
    </row>
    <row r="7" spans="1:9">
      <c r="A7" s="3318"/>
      <c r="B7" s="3319" t="s">
        <v>1057</v>
      </c>
      <c r="C7" s="3319"/>
      <c r="D7" s="1212"/>
      <c r="E7" s="1210"/>
      <c r="F7" s="1213"/>
      <c r="G7" s="1213"/>
      <c r="H7" s="1214"/>
      <c r="I7" s="1215">
        <f t="shared" si="0"/>
        <v>0</v>
      </c>
    </row>
    <row r="8" spans="1:9">
      <c r="A8" s="3318"/>
      <c r="B8" s="3319" t="s">
        <v>1058</v>
      </c>
      <c r="C8" s="3319"/>
      <c r="D8" s="1212"/>
      <c r="E8" s="1210"/>
      <c r="F8" s="1213"/>
      <c r="G8" s="1213"/>
      <c r="H8" s="1214"/>
      <c r="I8" s="1215">
        <f t="shared" si="0"/>
        <v>0</v>
      </c>
    </row>
    <row r="9" spans="1:9">
      <c r="A9" s="3318"/>
      <c r="B9" s="3319" t="s">
        <v>1059</v>
      </c>
      <c r="C9" s="3319"/>
      <c r="D9" s="1212"/>
      <c r="E9" s="1210"/>
      <c r="F9" s="1213"/>
      <c r="G9" s="1213"/>
      <c r="H9" s="1214"/>
      <c r="I9" s="1215">
        <f t="shared" si="0"/>
        <v>0</v>
      </c>
    </row>
    <row r="10" spans="1:9">
      <c r="A10" s="3318"/>
      <c r="B10" s="3320" t="s">
        <v>1060</v>
      </c>
      <c r="C10" s="3320"/>
      <c r="D10" s="1216"/>
      <c r="E10" s="1216" t="e">
        <f>ROUND(D1*10000/D10/H9,0)</f>
        <v>#DIV/0!</v>
      </c>
      <c r="F10" s="1217"/>
      <c r="G10" s="1217"/>
      <c r="H10" s="1218"/>
      <c r="I10" s="1219">
        <f>SUM(I3:I9)</f>
        <v>0</v>
      </c>
    </row>
    <row r="11" spans="1:9" ht="14.25">
      <c r="A11" s="3318" t="s">
        <v>1061</v>
      </c>
      <c r="B11" s="3319" t="s">
        <v>1062</v>
      </c>
      <c r="C11" s="3319"/>
      <c r="D11" s="1212" t="s">
        <v>1063</v>
      </c>
      <c r="E11" s="1212" t="s">
        <v>1064</v>
      </c>
      <c r="F11" s="1213" t="s">
        <v>1065</v>
      </c>
      <c r="G11" s="1213" t="s">
        <v>1051</v>
      </c>
      <c r="H11" s="1220" t="s">
        <v>1066</v>
      </c>
      <c r="I11" s="1211" t="s">
        <v>1052</v>
      </c>
    </row>
    <row r="12" spans="1:9">
      <c r="A12" s="3318"/>
      <c r="B12" s="3319" t="s">
        <v>1067</v>
      </c>
      <c r="C12" s="3319"/>
      <c r="D12" s="1212"/>
      <c r="E12" s="1212"/>
      <c r="F12" s="1213"/>
      <c r="G12" s="1214"/>
      <c r="H12" s="1221"/>
      <c r="I12" s="1211">
        <f>ROUND(D12*E12*F12*G12/10000,0)</f>
        <v>0</v>
      </c>
    </row>
    <row r="13" spans="1:9">
      <c r="A13" s="3318"/>
      <c r="B13" s="3319" t="s">
        <v>1068</v>
      </c>
      <c r="C13" s="3319"/>
      <c r="D13" s="1212"/>
      <c r="E13" s="1212"/>
      <c r="F13" s="1213"/>
      <c r="G13" s="1214"/>
      <c r="H13" s="1221"/>
      <c r="I13" s="1211">
        <f>ROUND(D13*E13*F13*G13/10000,0)</f>
        <v>0</v>
      </c>
    </row>
    <row r="14" spans="1:9">
      <c r="A14" s="3318"/>
      <c r="B14" s="3319" t="s">
        <v>1069</v>
      </c>
      <c r="C14" s="3319"/>
      <c r="D14" s="1212"/>
      <c r="E14" s="1212"/>
      <c r="F14" s="1213"/>
      <c r="G14" s="1214"/>
      <c r="H14" s="1221"/>
      <c r="I14" s="1211">
        <f>ROUND(D14*E14*F14*G14/10000,0)</f>
        <v>0</v>
      </c>
    </row>
    <row r="15" spans="1:9">
      <c r="A15" s="3318"/>
      <c r="B15" s="3320" t="s">
        <v>1060</v>
      </c>
      <c r="C15" s="3320"/>
      <c r="D15" s="1216"/>
      <c r="E15" s="1216">
        <f>SUM(E12:E14)</f>
        <v>0</v>
      </c>
      <c r="F15" s="1217"/>
      <c r="G15" s="1214"/>
      <c r="H15" s="1221"/>
      <c r="I15" s="1222">
        <f>SUM(I12:I14)</f>
        <v>0</v>
      </c>
    </row>
    <row r="16" spans="1:9" ht="24">
      <c r="A16" s="3318" t="s">
        <v>1070</v>
      </c>
      <c r="B16" s="3319" t="s">
        <v>1071</v>
      </c>
      <c r="C16" s="3319"/>
      <c r="D16" s="1212" t="s">
        <v>1047</v>
      </c>
      <c r="E16" s="1223" t="s">
        <v>1072</v>
      </c>
      <c r="F16" s="1213" t="s">
        <v>1073</v>
      </c>
      <c r="G16" s="1214" t="s">
        <v>1051</v>
      </c>
      <c r="H16" s="1220" t="s">
        <v>1066</v>
      </c>
      <c r="I16" s="1211" t="s">
        <v>1052</v>
      </c>
    </row>
    <row r="17" spans="1:9" ht="14.25">
      <c r="A17" s="3318"/>
      <c r="B17" s="3319" t="s">
        <v>1074</v>
      </c>
      <c r="C17" s="3319"/>
      <c r="D17" s="1212"/>
      <c r="E17" s="1212"/>
      <c r="F17" s="1213"/>
      <c r="G17" s="1214"/>
      <c r="H17" s="1224"/>
      <c r="I17" s="1225">
        <f>ROUND(D17*E17*F17*G17/10000,0)</f>
        <v>0</v>
      </c>
    </row>
    <row r="18" spans="1:9" ht="14.25">
      <c r="A18" s="3318"/>
      <c r="B18" s="3319" t="s">
        <v>1075</v>
      </c>
      <c r="C18" s="3319"/>
      <c r="D18" s="1212"/>
      <c r="E18" s="1212"/>
      <c r="F18" s="1213"/>
      <c r="G18" s="1214"/>
      <c r="H18" s="1224"/>
      <c r="I18" s="1225">
        <f>ROUND(D18*E18*F18*G18/10000,0)</f>
        <v>0</v>
      </c>
    </row>
    <row r="19" spans="1:9" ht="14.25">
      <c r="A19" s="3318"/>
      <c r="B19" s="3319" t="s">
        <v>1076</v>
      </c>
      <c r="C19" s="3319"/>
      <c r="D19" s="1212"/>
      <c r="E19" s="1212"/>
      <c r="F19" s="1213"/>
      <c r="G19" s="1214"/>
      <c r="H19" s="1224"/>
      <c r="I19" s="1225">
        <f>ROUND(D19*E19*F19*G19/10000,0)</f>
        <v>0</v>
      </c>
    </row>
    <row r="20" spans="1:9">
      <c r="A20" s="3318"/>
      <c r="B20" s="3320" t="s">
        <v>1060</v>
      </c>
      <c r="C20" s="3320"/>
      <c r="D20" s="1216">
        <f>SUM(D17:D19)</f>
        <v>0</v>
      </c>
      <c r="E20" s="1216"/>
      <c r="F20" s="1217"/>
      <c r="G20" s="1214"/>
      <c r="H20" s="1221"/>
      <c r="I20" s="1222">
        <f>SUM(I17:I19)</f>
        <v>0</v>
      </c>
    </row>
    <row r="21" spans="1:9">
      <c r="A21" s="3318" t="s">
        <v>1077</v>
      </c>
      <c r="B21" s="3321"/>
      <c r="C21" s="3321"/>
      <c r="D21" s="3321"/>
      <c r="E21" s="3321"/>
      <c r="F21" s="3321"/>
      <c r="G21" s="3321"/>
      <c r="H21" s="1503">
        <v>0.1</v>
      </c>
      <c r="I21" s="1219">
        <f>ROUND(I10*H21,0)</f>
        <v>0</v>
      </c>
    </row>
    <row r="22" spans="1:9" ht="14.25">
      <c r="A22" s="3322" t="s">
        <v>1078</v>
      </c>
      <c r="B22" s="3323"/>
      <c r="C22" s="3324"/>
      <c r="D22" s="1226" t="s">
        <v>1079</v>
      </c>
      <c r="E22" s="1226" t="s">
        <v>1080</v>
      </c>
      <c r="F22" s="1227" t="s">
        <v>1081</v>
      </c>
      <c r="G22" s="1227" t="s">
        <v>1082</v>
      </c>
      <c r="H22" s="1220" t="s">
        <v>1083</v>
      </c>
      <c r="I22" s="1211" t="s">
        <v>1084</v>
      </c>
    </row>
    <row r="23" spans="1:9" ht="14.25" thickBot="1">
      <c r="A23" s="3325"/>
      <c r="B23" s="3326"/>
      <c r="C23" s="3327"/>
      <c r="D23" s="1228"/>
      <c r="E23" s="1228"/>
      <c r="F23" s="1228"/>
      <c r="G23" s="1229"/>
      <c r="H23" s="1230"/>
      <c r="I23" s="1231">
        <f>ROUND(E23*D23*F23*(1-G23)/10000,0)</f>
        <v>0</v>
      </c>
    </row>
    <row r="26" spans="1:9">
      <c r="A26" s="1232" t="s">
        <v>1085</v>
      </c>
      <c r="B26" s="1232"/>
      <c r="C26" s="1232"/>
      <c r="D26" s="1232"/>
      <c r="E26" s="3315">
        <f>C27-C30-C31-C32</f>
        <v>0</v>
      </c>
      <c r="F26" s="3315"/>
      <c r="G26" s="3315"/>
      <c r="H26" s="1500" t="s">
        <v>1306</v>
      </c>
    </row>
    <row r="27" spans="1:9">
      <c r="A27" s="1233">
        <v>1</v>
      </c>
      <c r="B27" s="1234" t="s">
        <v>1086</v>
      </c>
      <c r="C27" s="1234">
        <f>C28+C29</f>
        <v>0</v>
      </c>
      <c r="D27" s="1234"/>
      <c r="E27" s="3316"/>
      <c r="F27" s="3316"/>
      <c r="G27" s="3316"/>
    </row>
    <row r="28" spans="1:9">
      <c r="A28" s="1235" t="s">
        <v>1087</v>
      </c>
      <c r="B28" s="1234" t="s">
        <v>1088</v>
      </c>
      <c r="C28" s="1234"/>
      <c r="D28" s="1234"/>
      <c r="E28" s="3316"/>
      <c r="F28" s="3316"/>
      <c r="G28" s="3316"/>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7"/>
      <c r="F32" s="3317"/>
      <c r="G32" s="3317"/>
    </row>
    <row r="33" spans="1:7" hidden="1">
      <c r="A33" s="3312" t="s">
        <v>1097</v>
      </c>
      <c r="B33" s="3313"/>
      <c r="C33" s="3313"/>
      <c r="D33" s="3314"/>
      <c r="E33" s="3315"/>
      <c r="F33" s="3315"/>
      <c r="G33" s="3315"/>
    </row>
    <row r="34" spans="1:7" hidden="1">
      <c r="A34" s="1237">
        <v>1</v>
      </c>
      <c r="B34" s="1234" t="s">
        <v>1098</v>
      </c>
      <c r="C34" s="1234"/>
      <c r="D34" s="1234"/>
      <c r="E34" s="3316"/>
      <c r="F34" s="3316"/>
      <c r="G34" s="3316"/>
    </row>
    <row r="35" spans="1:7" hidden="1">
      <c r="A35" s="1237">
        <v>2</v>
      </c>
      <c r="B35" s="1234" t="s">
        <v>1099</v>
      </c>
      <c r="C35" s="1234"/>
      <c r="D35" s="1234"/>
      <c r="E35" s="3316"/>
      <c r="F35" s="3316"/>
      <c r="G35" s="3316"/>
    </row>
    <row r="36" spans="1:7" hidden="1">
      <c r="A36" s="1237">
        <v>3</v>
      </c>
      <c r="B36" s="1234" t="s">
        <v>1100</v>
      </c>
      <c r="C36" s="1234"/>
      <c r="D36" s="1234"/>
      <c r="E36" s="3316"/>
      <c r="F36" s="3316"/>
      <c r="G36" s="3316"/>
    </row>
    <row r="37" spans="1:7" hidden="1">
      <c r="A37" s="1237">
        <v>4</v>
      </c>
      <c r="B37" s="1234" t="s">
        <v>1101</v>
      </c>
      <c r="C37" s="1234"/>
      <c r="D37" s="1234"/>
      <c r="E37" s="3316"/>
      <c r="F37" s="3316"/>
      <c r="G37" s="3316"/>
    </row>
    <row r="38" spans="1:7" hidden="1">
      <c r="A38" s="3312" t="s">
        <v>1102</v>
      </c>
      <c r="B38" s="3313"/>
      <c r="C38" s="3313"/>
      <c r="D38" s="3314"/>
      <c r="E38" s="3315"/>
      <c r="F38" s="3315"/>
      <c r="G38" s="33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2462</v>
      </c>
      <c r="C1" s="1405" t="s">
        <v>2350</v>
      </c>
      <c r="D1" s="1392"/>
      <c r="E1" s="2540"/>
      <c r="F1" s="2065"/>
      <c r="G1" s="1402" t="s">
        <v>2463</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2149</v>
      </c>
      <c r="B3" s="566" t="e">
        <f ca="1">IF(C2="——",C49,ROUND(B2*10000/D3,0))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91" t="s">
        <v>2467</v>
      </c>
      <c r="S4" s="3292"/>
      <c r="T4" s="3291" t="s">
        <v>2468</v>
      </c>
      <c r="U4" s="3292"/>
      <c r="V4" s="3297" t="s">
        <v>2469</v>
      </c>
      <c r="W4" s="3297"/>
      <c r="X4" s="1539"/>
      <c r="Y4" s="3291" t="s">
        <v>2471</v>
      </c>
      <c r="Z4" s="3292"/>
      <c r="AA4" s="3278" t="s">
        <v>2467</v>
      </c>
      <c r="AB4" s="3297" t="s">
        <v>2468</v>
      </c>
      <c r="AC4" s="3278" t="s">
        <v>2469</v>
      </c>
    </row>
    <row r="5" spans="1:29" ht="15">
      <c r="A5" s="364"/>
      <c r="B5" s="365"/>
      <c r="C5" s="3300" t="s">
        <v>2362</v>
      </c>
      <c r="D5" s="3301"/>
      <c r="E5" s="3308" t="s">
        <v>2363</v>
      </c>
      <c r="F5" s="3309"/>
      <c r="G5" s="3300" t="s">
        <v>2364</v>
      </c>
      <c r="H5" s="3301"/>
      <c r="I5" s="3300" t="s">
        <v>2365</v>
      </c>
      <c r="J5" s="3301"/>
      <c r="K5" s="567"/>
      <c r="L5" s="2927"/>
      <c r="M5" s="2928"/>
      <c r="N5" s="2928"/>
      <c r="O5" s="2928"/>
      <c r="P5" s="3287"/>
      <c r="Q5" s="3288"/>
      <c r="R5" s="3293"/>
      <c r="S5" s="3294"/>
      <c r="T5" s="3293"/>
      <c r="U5" s="3294"/>
      <c r="V5" s="3297"/>
      <c r="W5" s="3297"/>
      <c r="X5" s="1539"/>
      <c r="Y5" s="3293"/>
      <c r="Z5" s="3294"/>
      <c r="AA5" s="3279"/>
      <c r="AB5" s="3297"/>
      <c r="AC5" s="3279"/>
    </row>
    <row r="6" spans="1:29" ht="15.75" thickBot="1">
      <c r="A6" s="366"/>
      <c r="B6" s="367"/>
      <c r="C6" s="3298" t="s">
        <v>2366</v>
      </c>
      <c r="D6" s="3299"/>
      <c r="E6" s="3306" t="s">
        <v>2366</v>
      </c>
      <c r="F6" s="3307"/>
      <c r="G6" s="3298" t="s">
        <v>2366</v>
      </c>
      <c r="H6" s="3299"/>
      <c r="I6" s="3298" t="s">
        <v>2366</v>
      </c>
      <c r="J6" s="3299"/>
      <c r="K6" s="567" t="s">
        <v>2367</v>
      </c>
      <c r="L6" s="2927"/>
      <c r="M6" s="2928"/>
      <c r="N6" s="2928"/>
      <c r="O6" s="2928"/>
      <c r="P6" s="3289"/>
      <c r="Q6" s="3290"/>
      <c r="R6" s="3293"/>
      <c r="S6" s="3294"/>
      <c r="T6" s="3295"/>
      <c r="U6" s="3296"/>
      <c r="V6" s="3297"/>
      <c r="W6" s="3297"/>
      <c r="X6" s="1539"/>
      <c r="Y6" s="3295"/>
      <c r="Z6" s="3296"/>
      <c r="AA6" s="3280"/>
      <c r="AB6" s="3297"/>
      <c r="AC6" s="3280"/>
    </row>
    <row r="7" spans="1:29" s="113" customFormat="1" ht="15.75" thickBot="1">
      <c r="A7" s="368" t="s">
        <v>2368</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302" t="s">
        <v>2369</v>
      </c>
      <c r="Q7" s="3304"/>
      <c r="R7" s="709" t="s">
        <v>17</v>
      </c>
      <c r="S7" s="710">
        <f t="shared" ref="S7:S15" si="0">F7</f>
        <v>0</v>
      </c>
      <c r="T7" s="709" t="s">
        <v>17</v>
      </c>
      <c r="U7" s="710">
        <f t="shared" ref="U7:U15" si="1">H7</f>
        <v>0</v>
      </c>
      <c r="V7" s="709" t="s">
        <v>17</v>
      </c>
      <c r="W7" s="710">
        <f t="shared" ref="W7:W15" si="2">J7</f>
        <v>0</v>
      </c>
      <c r="X7" s="711"/>
      <c r="Y7" s="3302" t="s">
        <v>2369</v>
      </c>
      <c r="Z7" s="3303"/>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302" t="s">
        <v>2372</v>
      </c>
      <c r="Q8" s="3303"/>
      <c r="R8" s="709" t="s">
        <v>17</v>
      </c>
      <c r="S8" s="710">
        <f t="shared" si="0"/>
        <v>0</v>
      </c>
      <c r="T8" s="709" t="s">
        <v>17</v>
      </c>
      <c r="U8" s="710">
        <f t="shared" si="1"/>
        <v>0</v>
      </c>
      <c r="V8" s="709" t="s">
        <v>17</v>
      </c>
      <c r="W8" s="710">
        <f t="shared" si="2"/>
        <v>0</v>
      </c>
      <c r="X8" s="711"/>
      <c r="Y8" s="3302" t="s">
        <v>2372</v>
      </c>
      <c r="Z8" s="3303"/>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77" t="s">
        <v>2375</v>
      </c>
      <c r="Q9" s="1527" t="str">
        <f t="shared" ref="Q9:Q15" si="6">B9</f>
        <v>用途</v>
      </c>
      <c r="R9" s="709" t="s">
        <v>17</v>
      </c>
      <c r="S9" s="710">
        <f t="shared" si="0"/>
        <v>100</v>
      </c>
      <c r="T9" s="709" t="s">
        <v>17</v>
      </c>
      <c r="U9" s="710">
        <f t="shared" si="1"/>
        <v>100</v>
      </c>
      <c r="V9" s="709" t="s">
        <v>17</v>
      </c>
      <c r="W9" s="710">
        <f t="shared" si="2"/>
        <v>100</v>
      </c>
      <c r="X9" s="711"/>
      <c r="Y9" s="3159"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77"/>
      <c r="Q10" s="1527" t="str">
        <f t="shared" si="6"/>
        <v>土地使用年限（年）</v>
      </c>
      <c r="R10" s="709" t="s">
        <v>17</v>
      </c>
      <c r="S10" s="710">
        <f t="shared" si="0"/>
        <v>100</v>
      </c>
      <c r="T10" s="709" t="s">
        <v>17</v>
      </c>
      <c r="U10" s="710">
        <f t="shared" si="1"/>
        <v>100</v>
      </c>
      <c r="V10" s="709" t="s">
        <v>17</v>
      </c>
      <c r="W10" s="710">
        <f t="shared" si="2"/>
        <v>100</v>
      </c>
      <c r="X10" s="711"/>
      <c r="Y10" s="3159"/>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77"/>
      <c r="Q11" s="1527" t="str">
        <f t="shared" si="6"/>
        <v>容积率</v>
      </c>
      <c r="R11" s="709" t="s">
        <v>17</v>
      </c>
      <c r="S11" s="710" t="e">
        <f t="shared" si="0"/>
        <v>#N/A</v>
      </c>
      <c r="T11" s="709" t="s">
        <v>17</v>
      </c>
      <c r="U11" s="710" t="e">
        <f t="shared" si="1"/>
        <v>#N/A</v>
      </c>
      <c r="V11" s="709" t="s">
        <v>17</v>
      </c>
      <c r="W11" s="710" t="e">
        <f t="shared" si="2"/>
        <v>#N/A</v>
      </c>
      <c r="X11" s="711"/>
      <c r="Y11" s="3159"/>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77"/>
      <c r="Q12" s="1527">
        <f t="shared" si="6"/>
        <v>111</v>
      </c>
      <c r="R12" s="709" t="s">
        <v>17</v>
      </c>
      <c r="S12" s="710">
        <f t="shared" si="0"/>
        <v>100</v>
      </c>
      <c r="T12" s="709" t="s">
        <v>17</v>
      </c>
      <c r="U12" s="710">
        <f t="shared" si="1"/>
        <v>100</v>
      </c>
      <c r="V12" s="709" t="s">
        <v>17</v>
      </c>
      <c r="W12" s="710">
        <f t="shared" si="2"/>
        <v>100</v>
      </c>
      <c r="X12" s="711"/>
      <c r="Y12" s="3159"/>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77"/>
      <c r="Q13" s="1527">
        <f t="shared" si="6"/>
        <v>111</v>
      </c>
      <c r="R13" s="709" t="s">
        <v>17</v>
      </c>
      <c r="S13" s="710">
        <f t="shared" si="0"/>
        <v>100</v>
      </c>
      <c r="T13" s="709" t="s">
        <v>17</v>
      </c>
      <c r="U13" s="710">
        <f t="shared" si="1"/>
        <v>100</v>
      </c>
      <c r="V13" s="709" t="s">
        <v>17</v>
      </c>
      <c r="W13" s="710">
        <f t="shared" si="2"/>
        <v>100</v>
      </c>
      <c r="X13" s="711"/>
      <c r="Y13" s="3159"/>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77"/>
      <c r="Q14" s="1527">
        <f t="shared" si="6"/>
        <v>111</v>
      </c>
      <c r="R14" s="709" t="s">
        <v>17</v>
      </c>
      <c r="S14" s="710">
        <f t="shared" si="0"/>
        <v>100</v>
      </c>
      <c r="T14" s="709" t="s">
        <v>17</v>
      </c>
      <c r="U14" s="710">
        <f t="shared" si="1"/>
        <v>100</v>
      </c>
      <c r="V14" s="709" t="s">
        <v>17</v>
      </c>
      <c r="W14" s="710">
        <f t="shared" si="2"/>
        <v>100</v>
      </c>
      <c r="X14" s="711"/>
      <c r="Y14" s="3159"/>
      <c r="Z14" s="55">
        <f t="shared" si="7"/>
        <v>111</v>
      </c>
      <c r="AA14" s="712">
        <f t="shared" si="3"/>
        <v>1</v>
      </c>
      <c r="AB14" s="712">
        <f t="shared" si="4"/>
        <v>1</v>
      </c>
      <c r="AC14" s="712">
        <f t="shared" si="5"/>
        <v>1</v>
      </c>
    </row>
    <row r="15" spans="1:29" ht="15">
      <c r="A15" s="399" t="s">
        <v>2379</v>
      </c>
      <c r="B15" s="65" t="s">
        <v>2473</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275" t="s">
        <v>2380</v>
      </c>
      <c r="Q15" s="1536" t="str">
        <f t="shared" si="6"/>
        <v>商业繁华度</v>
      </c>
      <c r="R15" s="713" t="s">
        <v>17</v>
      </c>
      <c r="S15" s="714">
        <f t="shared" si="0"/>
        <v>100</v>
      </c>
      <c r="T15" s="713" t="s">
        <v>17</v>
      </c>
      <c r="U15" s="714">
        <f t="shared" si="1"/>
        <v>100</v>
      </c>
      <c r="V15" s="713" t="s">
        <v>17</v>
      </c>
      <c r="W15" s="714">
        <f t="shared" si="2"/>
        <v>100</v>
      </c>
      <c r="X15" s="1539"/>
      <c r="Y15" s="3268"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276"/>
      <c r="Q16" s="1536"/>
      <c r="R16" s="713"/>
      <c r="S16" s="714"/>
      <c r="T16" s="713"/>
      <c r="U16" s="714"/>
      <c r="V16" s="713"/>
      <c r="W16" s="714"/>
      <c r="X16" s="1539"/>
      <c r="Y16" s="3269"/>
      <c r="Z16" s="1540"/>
      <c r="AA16" s="1537">
        <v>1</v>
      </c>
      <c r="AB16" s="1537">
        <v>1</v>
      </c>
      <c r="AC16" s="1537">
        <v>1</v>
      </c>
    </row>
    <row r="17" spans="1:29" ht="15">
      <c r="A17" s="387"/>
      <c r="B17" s="410" t="s">
        <v>1944</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276"/>
      <c r="Q17" s="1536" t="str">
        <f>B17</f>
        <v>交通便捷度</v>
      </c>
      <c r="R17" s="713" t="s">
        <v>17</v>
      </c>
      <c r="S17" s="714">
        <f>F17</f>
        <v>100</v>
      </c>
      <c r="T17" s="713" t="s">
        <v>17</v>
      </c>
      <c r="U17" s="714">
        <f>H17</f>
        <v>100</v>
      </c>
      <c r="V17" s="713" t="s">
        <v>17</v>
      </c>
      <c r="W17" s="714">
        <f>J17</f>
        <v>100</v>
      </c>
      <c r="X17" s="1539"/>
      <c r="Y17" s="326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276"/>
      <c r="Q18" s="1536"/>
      <c r="R18" s="713"/>
      <c r="S18" s="714"/>
      <c r="T18" s="713"/>
      <c r="U18" s="714"/>
      <c r="V18" s="713"/>
      <c r="W18" s="714"/>
      <c r="X18" s="1539"/>
      <c r="Y18" s="3269"/>
      <c r="Z18" s="1540"/>
      <c r="AA18" s="1537">
        <v>1</v>
      </c>
      <c r="AB18" s="1537">
        <v>1</v>
      </c>
      <c r="AC18" s="1537">
        <v>1</v>
      </c>
    </row>
    <row r="19" spans="1:29" ht="15">
      <c r="A19" s="387"/>
      <c r="B19" s="410" t="s">
        <v>2474</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276"/>
      <c r="Q19" s="1536" t="str">
        <f>B19</f>
        <v>公共配套设施</v>
      </c>
      <c r="R19" s="713" t="s">
        <v>17</v>
      </c>
      <c r="S19" s="714">
        <f>F19</f>
        <v>100</v>
      </c>
      <c r="T19" s="713" t="s">
        <v>17</v>
      </c>
      <c r="U19" s="714">
        <f>H19</f>
        <v>100</v>
      </c>
      <c r="V19" s="713" t="s">
        <v>17</v>
      </c>
      <c r="W19" s="714">
        <f>J19</f>
        <v>100</v>
      </c>
      <c r="X19" s="1539"/>
      <c r="Y19" s="326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276"/>
      <c r="Q20" s="1536"/>
      <c r="R20" s="713"/>
      <c r="S20" s="714"/>
      <c r="T20" s="713"/>
      <c r="U20" s="714"/>
      <c r="V20" s="713"/>
      <c r="W20" s="714"/>
      <c r="X20" s="1539"/>
      <c r="Y20" s="3269"/>
      <c r="Z20" s="1540"/>
      <c r="AA20" s="1537">
        <v>1</v>
      </c>
      <c r="AB20" s="1537">
        <v>1</v>
      </c>
      <c r="AC20" s="1537">
        <v>1</v>
      </c>
    </row>
    <row r="21" spans="1:29" ht="15">
      <c r="A21" s="387"/>
      <c r="B21" s="1292" t="s">
        <v>2475</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276"/>
      <c r="Q21" s="1536" t="str">
        <f>B21</f>
        <v>基础设施水平</v>
      </c>
      <c r="R21" s="713" t="s">
        <v>17</v>
      </c>
      <c r="S21" s="714">
        <f>F21</f>
        <v>100</v>
      </c>
      <c r="T21" s="713" t="s">
        <v>17</v>
      </c>
      <c r="U21" s="714">
        <f>H21</f>
        <v>100</v>
      </c>
      <c r="V21" s="713" t="s">
        <v>17</v>
      </c>
      <c r="W21" s="714">
        <f>J21</f>
        <v>100</v>
      </c>
      <c r="X21" s="1539"/>
      <c r="Y21" s="3269"/>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276"/>
      <c r="Q22" s="1536"/>
      <c r="R22" s="713"/>
      <c r="S22" s="714"/>
      <c r="T22" s="713"/>
      <c r="U22" s="714"/>
      <c r="V22" s="713"/>
      <c r="W22" s="714"/>
      <c r="X22" s="1539"/>
      <c r="Y22" s="3269"/>
      <c r="Z22" s="1540"/>
      <c r="AA22" s="1537">
        <v>1</v>
      </c>
      <c r="AB22" s="1537">
        <v>1</v>
      </c>
      <c r="AC22" s="1537">
        <v>1</v>
      </c>
    </row>
    <row r="23" spans="1:29" ht="15">
      <c r="A23" s="387"/>
      <c r="B23" s="410" t="s">
        <v>1946</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276"/>
      <c r="Q23" s="1536" t="str">
        <f>B23</f>
        <v>自然及人文环境</v>
      </c>
      <c r="R23" s="713" t="s">
        <v>17</v>
      </c>
      <c r="S23" s="714">
        <f>F23</f>
        <v>100</v>
      </c>
      <c r="T23" s="713" t="s">
        <v>17</v>
      </c>
      <c r="U23" s="714">
        <f>H23</f>
        <v>100</v>
      </c>
      <c r="V23" s="713" t="s">
        <v>17</v>
      </c>
      <c r="W23" s="714">
        <f>J23</f>
        <v>100</v>
      </c>
      <c r="X23" s="1539"/>
      <c r="Y23" s="3269"/>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276"/>
      <c r="Q24" s="1536"/>
      <c r="R24" s="713"/>
      <c r="S24" s="714"/>
      <c r="T24" s="713"/>
      <c r="U24" s="714"/>
      <c r="V24" s="713"/>
      <c r="W24" s="714"/>
      <c r="X24" s="1539"/>
      <c r="Y24" s="3269"/>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276"/>
      <c r="Q25" s="1536" t="str">
        <f t="shared" ref="Q25:Q46" si="11">B25</f>
        <v>临街状况</v>
      </c>
      <c r="R25" s="713" t="s">
        <v>17</v>
      </c>
      <c r="S25" s="714">
        <f>F25</f>
        <v>100</v>
      </c>
      <c r="T25" s="713" t="s">
        <v>17</v>
      </c>
      <c r="U25" s="714">
        <f>H25</f>
        <v>100</v>
      </c>
      <c r="V25" s="713" t="s">
        <v>17</v>
      </c>
      <c r="W25" s="714">
        <f>J25</f>
        <v>100</v>
      </c>
      <c r="X25" s="1539"/>
      <c r="Y25" s="3269"/>
      <c r="Z25" s="1540" t="str">
        <f>Q25</f>
        <v>临街状况</v>
      </c>
      <c r="AA25" s="1537">
        <f t="shared" si="3"/>
        <v>1</v>
      </c>
      <c r="AB25" s="1537">
        <f t="shared" si="4"/>
        <v>1</v>
      </c>
      <c r="AC25" s="1537">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276"/>
      <c r="Q26" s="1536" t="str">
        <f t="shared" si="11"/>
        <v>平面位置/可视性</v>
      </c>
      <c r="R26" s="713" t="s">
        <v>17</v>
      </c>
      <c r="S26" s="714">
        <f>F26</f>
        <v>100</v>
      </c>
      <c r="T26" s="713" t="s">
        <v>17</v>
      </c>
      <c r="U26" s="714">
        <f>H26</f>
        <v>100</v>
      </c>
      <c r="V26" s="713" t="s">
        <v>17</v>
      </c>
      <c r="W26" s="714">
        <f>J26</f>
        <v>100</v>
      </c>
      <c r="X26" s="1539"/>
      <c r="Y26" s="3269"/>
      <c r="Z26" s="1540" t="str">
        <f>Q26</f>
        <v>平面位置/可视性</v>
      </c>
      <c r="AA26" s="1537">
        <f t="shared" si="3"/>
        <v>1</v>
      </c>
      <c r="AB26" s="1537">
        <f t="shared" si="4"/>
        <v>1</v>
      </c>
      <c r="AC26" s="1537">
        <f t="shared" si="5"/>
        <v>1</v>
      </c>
    </row>
    <row r="27" spans="1:29" s="113" customFormat="1" ht="15">
      <c r="A27" s="390"/>
      <c r="B27" s="410" t="s">
        <v>2478</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276"/>
      <c r="Q27" s="1527" t="str">
        <f t="shared" si="11"/>
        <v>人流量</v>
      </c>
      <c r="R27" s="709" t="s">
        <v>17</v>
      </c>
      <c r="S27" s="710">
        <f>F27</f>
        <v>100</v>
      </c>
      <c r="T27" s="709" t="s">
        <v>17</v>
      </c>
      <c r="U27" s="710">
        <f>H27</f>
        <v>100</v>
      </c>
      <c r="V27" s="709" t="s">
        <v>17</v>
      </c>
      <c r="W27" s="710">
        <f>J27</f>
        <v>100</v>
      </c>
      <c r="X27" s="711"/>
      <c r="Y27" s="3269"/>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276"/>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269"/>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276"/>
      <c r="Q29" s="1536">
        <f t="shared" si="11"/>
        <v>111</v>
      </c>
      <c r="R29" s="713" t="s">
        <v>17</v>
      </c>
      <c r="S29" s="714">
        <f t="shared" si="12"/>
        <v>100</v>
      </c>
      <c r="T29" s="713" t="s">
        <v>17</v>
      </c>
      <c r="U29" s="714">
        <f t="shared" si="13"/>
        <v>100</v>
      </c>
      <c r="V29" s="713" t="s">
        <v>17</v>
      </c>
      <c r="W29" s="714">
        <f t="shared" si="14"/>
        <v>100</v>
      </c>
      <c r="X29" s="1539"/>
      <c r="Y29" s="3269"/>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276"/>
      <c r="Q30" s="1536">
        <f t="shared" si="11"/>
        <v>111</v>
      </c>
      <c r="R30" s="713" t="s">
        <v>17</v>
      </c>
      <c r="S30" s="714">
        <f t="shared" si="12"/>
        <v>100</v>
      </c>
      <c r="T30" s="713" t="s">
        <v>17</v>
      </c>
      <c r="U30" s="714">
        <f t="shared" si="13"/>
        <v>100</v>
      </c>
      <c r="V30" s="713" t="s">
        <v>17</v>
      </c>
      <c r="W30" s="714">
        <f t="shared" si="14"/>
        <v>100</v>
      </c>
      <c r="X30" s="1539"/>
      <c r="Y30" s="3269"/>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276"/>
      <c r="Q31" s="1536">
        <f t="shared" si="11"/>
        <v>111</v>
      </c>
      <c r="R31" s="713" t="s">
        <v>17</v>
      </c>
      <c r="S31" s="714">
        <f t="shared" si="12"/>
        <v>100</v>
      </c>
      <c r="T31" s="713" t="s">
        <v>17</v>
      </c>
      <c r="U31" s="714">
        <f t="shared" si="13"/>
        <v>100</v>
      </c>
      <c r="V31" s="713" t="s">
        <v>17</v>
      </c>
      <c r="W31" s="714">
        <f t="shared" si="14"/>
        <v>100</v>
      </c>
      <c r="X31" s="1539"/>
      <c r="Y31" s="3269"/>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270" t="s">
        <v>2385</v>
      </c>
      <c r="Q32" s="1536" t="str">
        <f t="shared" si="11"/>
        <v>商业类型</v>
      </c>
      <c r="R32" s="713" t="s">
        <v>17</v>
      </c>
      <c r="S32" s="714">
        <f t="shared" si="12"/>
        <v>100</v>
      </c>
      <c r="T32" s="713" t="s">
        <v>17</v>
      </c>
      <c r="U32" s="714">
        <f t="shared" si="13"/>
        <v>100</v>
      </c>
      <c r="V32" s="713" t="s">
        <v>17</v>
      </c>
      <c r="W32" s="714">
        <f t="shared" si="14"/>
        <v>100</v>
      </c>
      <c r="X32" s="1539"/>
      <c r="Y32" s="3273"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271"/>
      <c r="Q33" s="715" t="str">
        <f t="shared" si="11"/>
        <v>项目建筑规模</v>
      </c>
      <c r="R33" s="716" t="s">
        <v>17</v>
      </c>
      <c r="S33" s="717" t="e">
        <f t="shared" si="12"/>
        <v>#N/A</v>
      </c>
      <c r="T33" s="716" t="s">
        <v>17</v>
      </c>
      <c r="U33" s="717" t="e">
        <f t="shared" si="13"/>
        <v>#N/A</v>
      </c>
      <c r="V33" s="716" t="s">
        <v>17</v>
      </c>
      <c r="W33" s="717" t="e">
        <f t="shared" si="14"/>
        <v>#N/A</v>
      </c>
      <c r="X33" s="718"/>
      <c r="Y33" s="3273"/>
      <c r="Z33" s="719" t="str">
        <f t="shared" si="15"/>
        <v>项目建筑规模</v>
      </c>
      <c r="AA33" s="1537" t="e">
        <f t="shared" si="3"/>
        <v>#N/A</v>
      </c>
      <c r="AB33" s="1537" t="e">
        <f t="shared" si="4"/>
        <v>#N/A</v>
      </c>
      <c r="AC33" s="1537"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271"/>
      <c r="Q34" s="1536" t="str">
        <f t="shared" si="11"/>
        <v>建筑结构</v>
      </c>
      <c r="R34" s="713" t="s">
        <v>17</v>
      </c>
      <c r="S34" s="714">
        <f t="shared" si="12"/>
        <v>100</v>
      </c>
      <c r="T34" s="713" t="s">
        <v>17</v>
      </c>
      <c r="U34" s="714">
        <f t="shared" si="13"/>
        <v>100</v>
      </c>
      <c r="V34" s="713" t="s">
        <v>17</v>
      </c>
      <c r="W34" s="714">
        <f t="shared" si="14"/>
        <v>100</v>
      </c>
      <c r="X34" s="1539"/>
      <c r="Y34" s="3273"/>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271"/>
      <c r="Q35" s="1536" t="str">
        <f t="shared" si="11"/>
        <v>公共部分装修</v>
      </c>
      <c r="R35" s="713" t="s">
        <v>17</v>
      </c>
      <c r="S35" s="714">
        <f t="shared" si="12"/>
        <v>100</v>
      </c>
      <c r="T35" s="713" t="s">
        <v>17</v>
      </c>
      <c r="U35" s="714">
        <f t="shared" si="13"/>
        <v>100</v>
      </c>
      <c r="V35" s="713" t="s">
        <v>17</v>
      </c>
      <c r="W35" s="714">
        <f t="shared" si="14"/>
        <v>100</v>
      </c>
      <c r="X35" s="1539"/>
      <c r="Y35" s="3273"/>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271"/>
      <c r="Q36" s="1536" t="str">
        <f t="shared" si="11"/>
        <v>成新度</v>
      </c>
      <c r="R36" s="713" t="s">
        <v>17</v>
      </c>
      <c r="S36" s="714" t="e">
        <f t="shared" si="12"/>
        <v>#N/A</v>
      </c>
      <c r="T36" s="713" t="s">
        <v>17</v>
      </c>
      <c r="U36" s="714" t="e">
        <f t="shared" si="13"/>
        <v>#N/A</v>
      </c>
      <c r="V36" s="713" t="s">
        <v>17</v>
      </c>
      <c r="W36" s="714" t="e">
        <f t="shared" si="14"/>
        <v>#N/A</v>
      </c>
      <c r="X36" s="1539"/>
      <c r="Y36" s="3273"/>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271"/>
      <c r="Q37" s="1527" t="str">
        <f t="shared" si="11"/>
        <v>市政基础设施</v>
      </c>
      <c r="R37" s="709" t="s">
        <v>17</v>
      </c>
      <c r="S37" s="710">
        <f t="shared" si="12"/>
        <v>100</v>
      </c>
      <c r="T37" s="709" t="s">
        <v>17</v>
      </c>
      <c r="U37" s="710">
        <f t="shared" si="13"/>
        <v>100</v>
      </c>
      <c r="V37" s="709" t="s">
        <v>17</v>
      </c>
      <c r="W37" s="710">
        <f t="shared" si="14"/>
        <v>100</v>
      </c>
      <c r="X37" s="711"/>
      <c r="Y37" s="3273"/>
      <c r="Z37" s="55" t="str">
        <f t="shared" si="15"/>
        <v>市政基础设施</v>
      </c>
      <c r="AA37" s="712">
        <f t="shared" si="3"/>
        <v>1</v>
      </c>
      <c r="AB37" s="712">
        <f t="shared" si="4"/>
        <v>1</v>
      </c>
      <c r="AC37" s="712">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271" t="s">
        <v>2385</v>
      </c>
      <c r="Q38" s="1536" t="str">
        <f t="shared" si="11"/>
        <v>业态</v>
      </c>
      <c r="R38" s="713" t="s">
        <v>17</v>
      </c>
      <c r="S38" s="714">
        <f t="shared" si="12"/>
        <v>100</v>
      </c>
      <c r="T38" s="713" t="s">
        <v>17</v>
      </c>
      <c r="U38" s="714">
        <f t="shared" si="13"/>
        <v>100</v>
      </c>
      <c r="V38" s="713" t="s">
        <v>17</v>
      </c>
      <c r="W38" s="714">
        <f t="shared" si="14"/>
        <v>100</v>
      </c>
      <c r="X38" s="1539"/>
      <c r="Y38" s="3273"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271"/>
      <c r="Q39" s="1536" t="str">
        <f t="shared" si="11"/>
        <v>层高</v>
      </c>
      <c r="R39" s="713" t="s">
        <v>17</v>
      </c>
      <c r="S39" s="714">
        <f t="shared" si="12"/>
        <v>100</v>
      </c>
      <c r="T39" s="713" t="s">
        <v>17</v>
      </c>
      <c r="U39" s="714">
        <f t="shared" si="13"/>
        <v>100</v>
      </c>
      <c r="V39" s="713" t="s">
        <v>17</v>
      </c>
      <c r="W39" s="714">
        <f t="shared" si="14"/>
        <v>100</v>
      </c>
      <c r="X39" s="1539"/>
      <c r="Y39" s="327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271"/>
      <c r="Q40" s="1536" t="str">
        <f t="shared" si="11"/>
        <v>单套建筑面积</v>
      </c>
      <c r="R40" s="713" t="s">
        <v>17</v>
      </c>
      <c r="S40" s="714">
        <f t="shared" si="12"/>
        <v>100</v>
      </c>
      <c r="T40" s="713" t="s">
        <v>17</v>
      </c>
      <c r="U40" s="714">
        <f t="shared" si="13"/>
        <v>100</v>
      </c>
      <c r="V40" s="713" t="s">
        <v>17</v>
      </c>
      <c r="W40" s="714">
        <f t="shared" si="14"/>
        <v>100</v>
      </c>
      <c r="X40" s="1539"/>
      <c r="Y40" s="327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271"/>
      <c r="Q41" s="715" t="str">
        <f t="shared" si="11"/>
        <v>进深比</v>
      </c>
      <c r="R41" s="716" t="s">
        <v>17</v>
      </c>
      <c r="S41" s="717">
        <f t="shared" si="12"/>
        <v>100</v>
      </c>
      <c r="T41" s="716" t="s">
        <v>17</v>
      </c>
      <c r="U41" s="717">
        <f t="shared" si="13"/>
        <v>100</v>
      </c>
      <c r="V41" s="716" t="s">
        <v>17</v>
      </c>
      <c r="W41" s="717">
        <f t="shared" si="14"/>
        <v>100</v>
      </c>
      <c r="X41" s="718"/>
      <c r="Y41" s="3273"/>
      <c r="Z41" s="719"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271"/>
      <c r="Q42" s="1536" t="str">
        <f t="shared" si="11"/>
        <v>内部装修</v>
      </c>
      <c r="R42" s="713" t="s">
        <v>17</v>
      </c>
      <c r="S42" s="714">
        <f t="shared" si="12"/>
        <v>100</v>
      </c>
      <c r="T42" s="713" t="s">
        <v>17</v>
      </c>
      <c r="U42" s="714">
        <f t="shared" si="13"/>
        <v>100</v>
      </c>
      <c r="V42" s="713" t="s">
        <v>17</v>
      </c>
      <c r="W42" s="714">
        <f t="shared" si="14"/>
        <v>100</v>
      </c>
      <c r="X42" s="1539"/>
      <c r="Y42" s="3273"/>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271"/>
      <c r="Q43" s="1536" t="str">
        <f t="shared" si="11"/>
        <v>内部装修维护情况</v>
      </c>
      <c r="R43" s="713" t="s">
        <v>17</v>
      </c>
      <c r="S43" s="714">
        <f t="shared" si="12"/>
        <v>100</v>
      </c>
      <c r="T43" s="713" t="s">
        <v>17</v>
      </c>
      <c r="U43" s="714">
        <f t="shared" si="13"/>
        <v>100</v>
      </c>
      <c r="V43" s="713" t="s">
        <v>17</v>
      </c>
      <c r="W43" s="714">
        <f t="shared" si="14"/>
        <v>100</v>
      </c>
      <c r="X43" s="1539"/>
      <c r="Y43" s="3273"/>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271"/>
      <c r="Q44" s="1527">
        <f t="shared" si="11"/>
        <v>111</v>
      </c>
      <c r="R44" s="709" t="s">
        <v>17</v>
      </c>
      <c r="S44" s="710">
        <f t="shared" si="12"/>
        <v>100</v>
      </c>
      <c r="T44" s="709" t="s">
        <v>17</v>
      </c>
      <c r="U44" s="710">
        <f t="shared" si="13"/>
        <v>100</v>
      </c>
      <c r="V44" s="709" t="s">
        <v>17</v>
      </c>
      <c r="W44" s="710">
        <f t="shared" si="14"/>
        <v>100</v>
      </c>
      <c r="X44" s="711"/>
      <c r="Y44" s="3273"/>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271"/>
      <c r="Q45" s="1536">
        <f t="shared" si="11"/>
        <v>111</v>
      </c>
      <c r="R45" s="713" t="s">
        <v>17</v>
      </c>
      <c r="S45" s="714">
        <f t="shared" si="12"/>
        <v>100</v>
      </c>
      <c r="T45" s="713" t="s">
        <v>17</v>
      </c>
      <c r="U45" s="714">
        <f t="shared" si="13"/>
        <v>100</v>
      </c>
      <c r="V45" s="713" t="s">
        <v>17</v>
      </c>
      <c r="W45" s="714">
        <f t="shared" si="14"/>
        <v>100</v>
      </c>
      <c r="X45" s="1539"/>
      <c r="Y45" s="3273"/>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272"/>
      <c r="Q46" s="1536">
        <f t="shared" si="11"/>
        <v>111</v>
      </c>
      <c r="R46" s="713" t="s">
        <v>17</v>
      </c>
      <c r="S46" s="714">
        <f t="shared" si="12"/>
        <v>100</v>
      </c>
      <c r="T46" s="713" t="s">
        <v>17</v>
      </c>
      <c r="U46" s="714">
        <f t="shared" si="13"/>
        <v>100</v>
      </c>
      <c r="V46" s="713" t="s">
        <v>17</v>
      </c>
      <c r="W46" s="714">
        <f t="shared" si="14"/>
        <v>100</v>
      </c>
      <c r="X46" s="1539"/>
      <c r="Y46" s="3274"/>
      <c r="Z46" s="1540">
        <f t="shared" si="15"/>
        <v>111</v>
      </c>
      <c r="AA46" s="1537">
        <f t="shared" si="3"/>
        <v>1</v>
      </c>
      <c r="AB46" s="1537">
        <f t="shared" si="4"/>
        <v>1</v>
      </c>
      <c r="AC46" s="1537">
        <f t="shared" si="5"/>
        <v>1</v>
      </c>
    </row>
    <row r="47" spans="1:29" ht="15">
      <c r="A47" s="438" t="s">
        <v>2397</v>
      </c>
      <c r="B47" s="439"/>
      <c r="C47" s="1315" t="s">
        <v>1</v>
      </c>
      <c r="D47" s="1316"/>
      <c r="E47" s="1317"/>
      <c r="F47" s="1318"/>
      <c r="G47" s="1319"/>
      <c r="H47" s="1320"/>
      <c r="I47" s="1317"/>
      <c r="J47" s="1320"/>
      <c r="K47" s="722"/>
      <c r="L47" s="2936"/>
      <c r="M47" s="2937"/>
      <c r="N47" s="2928"/>
      <c r="O47" s="2937"/>
      <c r="P47" s="3266" t="str">
        <f>A47</f>
        <v>成交单价（元/平方米）</v>
      </c>
      <c r="Q47" s="3266"/>
      <c r="R47" s="3297">
        <f>E47</f>
        <v>0</v>
      </c>
      <c r="S47" s="3297"/>
      <c r="T47" s="3297">
        <f>G47</f>
        <v>0</v>
      </c>
      <c r="U47" s="3297"/>
      <c r="V47" s="3297">
        <f>I47</f>
        <v>0</v>
      </c>
      <c r="W47" s="3297"/>
      <c r="X47" s="698"/>
      <c r="Y47" s="720"/>
      <c r="Z47" s="698"/>
      <c r="AA47" s="698"/>
      <c r="AB47" s="698"/>
      <c r="AC47" s="698"/>
    </row>
    <row r="48" spans="1:29" ht="15.75" thickBot="1">
      <c r="A48" s="445" t="s">
        <v>2489</v>
      </c>
      <c r="B48" s="446"/>
      <c r="C48" s="1321" t="e">
        <f>R49</f>
        <v>#DIV/0!</v>
      </c>
      <c r="D48" s="2535" t="s">
        <v>2876</v>
      </c>
      <c r="E48" s="1322" t="e">
        <f>R48</f>
        <v>#DIV/0!</v>
      </c>
      <c r="F48" s="2536"/>
      <c r="G48" s="1321" t="e">
        <f>T48</f>
        <v>#DIV/0!</v>
      </c>
      <c r="H48" s="2536"/>
      <c r="I48" s="1322" t="e">
        <f>V48</f>
        <v>#DIV/0!</v>
      </c>
      <c r="J48" s="2536"/>
      <c r="K48" s="2538">
        <f>F48+H48+J48</f>
        <v>0</v>
      </c>
      <c r="L48" s="2936"/>
      <c r="M48" s="2937"/>
      <c r="N48" s="2928"/>
      <c r="O48" s="293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36"/>
      <c r="M49" s="2937"/>
      <c r="N49" s="2928"/>
      <c r="O49" s="2937"/>
      <c r="P49" s="3263" t="str">
        <f>A49</f>
        <v>估价对象XX用房的比较价值（楼面单价，元/平方米）</v>
      </c>
      <c r="Q49" s="3264"/>
      <c r="R49" s="3265" t="e">
        <f>IF(F1="售价",ROUND(IF(D48="简单平均",AVERAGE(R48:V48),R48*F48+T48*H48+V48*J48),0),ROUND(IF(D48="简单平均",AVERAGE(R48:V48),R48*F48+T48*H48+V48*J48),1))</f>
        <v>#DIV/0!</v>
      </c>
      <c r="S49" s="3265"/>
      <c r="T49" s="3265"/>
      <c r="U49" s="3265"/>
      <c r="V49" s="3265"/>
      <c r="W49" s="3265"/>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2" t="s">
        <v>2494</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5">
      <c r="A58" s="462" t="s">
        <v>2368</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ht="15">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75" thickBot="1">
      <c r="A60" s="472" t="s">
        <v>2405</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5">
      <c r="A61" s="478" t="s">
        <v>2370</v>
      </c>
      <c r="B61" s="467"/>
      <c r="C61" s="479" t="s">
        <v>2472</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5.75"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c r="A63" s="484" t="s">
        <v>2408</v>
      </c>
      <c r="B63" s="485" t="s">
        <v>2374</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5.75"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5.75"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5.75"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5.75"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5.75"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5.75"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5.75"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c r="A76" s="484" t="s">
        <v>2379</v>
      </c>
      <c r="B76" s="485" t="s">
        <v>2416</v>
      </c>
      <c r="C76" s="530" t="s">
        <v>2417</v>
      </c>
      <c r="D76" s="530" t="s">
        <v>2418</v>
      </c>
      <c r="E76" s="530" t="s">
        <v>2419</v>
      </c>
      <c r="F76" s="530" t="s">
        <v>2420</v>
      </c>
      <c r="G76" s="530" t="s">
        <v>2421</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75" thickTop="1">
      <c r="A78" s="491"/>
      <c r="B78" s="495" t="s">
        <v>2422</v>
      </c>
      <c r="C78" s="535" t="s">
        <v>2417</v>
      </c>
      <c r="D78" s="535" t="s">
        <v>2418</v>
      </c>
      <c r="E78" s="535" t="s">
        <v>2419</v>
      </c>
      <c r="F78" s="535" t="s">
        <v>2420</v>
      </c>
      <c r="G78" s="535" t="s">
        <v>2421</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75" thickTop="1">
      <c r="A80" s="491"/>
      <c r="B80" s="495" t="s">
        <v>2423</v>
      </c>
      <c r="C80" s="535" t="s">
        <v>2417</v>
      </c>
      <c r="D80" s="535" t="s">
        <v>2418</v>
      </c>
      <c r="E80" s="535" t="s">
        <v>2419</v>
      </c>
      <c r="F80" s="535" t="s">
        <v>2420</v>
      </c>
      <c r="G80" s="535" t="s">
        <v>2421</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75" thickTop="1">
      <c r="A82" s="491"/>
      <c r="B82" s="503" t="s">
        <v>2475</v>
      </c>
      <c r="C82" s="616" t="s">
        <v>2495</v>
      </c>
      <c r="D82" s="616" t="s">
        <v>2496</v>
      </c>
      <c r="E82" s="616" t="s">
        <v>2497</v>
      </c>
      <c r="F82" s="616" t="s">
        <v>2498</v>
      </c>
      <c r="G82" s="616" t="s">
        <v>2499</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75" thickTop="1">
      <c r="A84" s="491"/>
      <c r="B84" s="495" t="s">
        <v>2429</v>
      </c>
      <c r="C84" s="535" t="s">
        <v>2417</v>
      </c>
      <c r="D84" s="535" t="s">
        <v>2418</v>
      </c>
      <c r="E84" s="535" t="s">
        <v>2419</v>
      </c>
      <c r="F84" s="535" t="s">
        <v>2420</v>
      </c>
      <c r="G84" s="535" t="s">
        <v>2421</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75" thickTop="1">
      <c r="A86" s="536"/>
      <c r="B86" s="495" t="s">
        <v>2500</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5.75"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5.75"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5.75"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5.75"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5.75"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5.75"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5.75"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5.75"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5.75"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c r="A100" s="484" t="s">
        <v>2383</v>
      </c>
      <c r="B100" s="485" t="s">
        <v>2501</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5.75"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2434</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2436</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2438</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2502</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2503</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2504</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5.75"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2505</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2440</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5"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5.75"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5"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5.75"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5"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5.75"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339" t="s">
        <v>2471</v>
      </c>
      <c r="Q4" s="3340"/>
      <c r="R4" s="3343" t="s">
        <v>2467</v>
      </c>
      <c r="S4" s="3344"/>
      <c r="T4" s="3343" t="s">
        <v>2468</v>
      </c>
      <c r="U4" s="3344"/>
      <c r="V4" s="3345" t="s">
        <v>2469</v>
      </c>
      <c r="W4" s="3345"/>
      <c r="X4" s="2141"/>
      <c r="Y4" s="3343" t="s">
        <v>2471</v>
      </c>
      <c r="Z4" s="3344"/>
      <c r="AA4" s="3347" t="s">
        <v>2467</v>
      </c>
      <c r="AB4" s="3347" t="s">
        <v>2468</v>
      </c>
      <c r="AC4" s="3336" t="s">
        <v>2469</v>
      </c>
    </row>
    <row r="5" spans="1:29" ht="15">
      <c r="A5" s="364"/>
      <c r="B5" s="365"/>
      <c r="C5" s="3300" t="s">
        <v>2362</v>
      </c>
      <c r="D5" s="3301"/>
      <c r="E5" s="3308" t="s">
        <v>2363</v>
      </c>
      <c r="F5" s="3309"/>
      <c r="G5" s="3300" t="s">
        <v>2364</v>
      </c>
      <c r="H5" s="3301"/>
      <c r="I5" s="3300" t="s">
        <v>2365</v>
      </c>
      <c r="J5" s="3301"/>
      <c r="K5" s="567"/>
      <c r="L5" s="2927"/>
      <c r="M5" s="2928"/>
      <c r="N5" s="2928"/>
      <c r="O5" s="2928"/>
      <c r="P5" s="3341"/>
      <c r="Q5" s="3288"/>
      <c r="R5" s="3293"/>
      <c r="S5" s="3294"/>
      <c r="T5" s="3293"/>
      <c r="U5" s="3294"/>
      <c r="V5" s="3297"/>
      <c r="W5" s="3297"/>
      <c r="X5" s="1539"/>
      <c r="Y5" s="3293"/>
      <c r="Z5" s="3294"/>
      <c r="AA5" s="3279"/>
      <c r="AB5" s="3279"/>
      <c r="AC5" s="3337"/>
    </row>
    <row r="6" spans="1:29" ht="15.75" thickBot="1">
      <c r="A6" s="366"/>
      <c r="B6" s="367"/>
      <c r="C6" s="3298" t="s">
        <v>2366</v>
      </c>
      <c r="D6" s="3299"/>
      <c r="E6" s="3306" t="s">
        <v>2366</v>
      </c>
      <c r="F6" s="3307"/>
      <c r="G6" s="3298" t="s">
        <v>2366</v>
      </c>
      <c r="H6" s="3299"/>
      <c r="I6" s="3298" t="s">
        <v>2366</v>
      </c>
      <c r="J6" s="3299"/>
      <c r="K6" s="567" t="s">
        <v>2367</v>
      </c>
      <c r="L6" s="2927"/>
      <c r="M6" s="2928"/>
      <c r="N6" s="2928"/>
      <c r="O6" s="2928"/>
      <c r="P6" s="3342"/>
      <c r="Q6" s="3290"/>
      <c r="R6" s="3293"/>
      <c r="S6" s="3294"/>
      <c r="T6" s="3295"/>
      <c r="U6" s="3296"/>
      <c r="V6" s="3297"/>
      <c r="W6" s="3297"/>
      <c r="X6" s="1539"/>
      <c r="Y6" s="3295"/>
      <c r="Z6" s="3296"/>
      <c r="AA6" s="3280"/>
      <c r="AB6" s="3280"/>
      <c r="AC6" s="3338"/>
    </row>
    <row r="7" spans="1:29" s="113" customFormat="1" ht="15.75" thickBot="1">
      <c r="A7" s="368" t="s">
        <v>2368</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46" t="s">
        <v>2369</v>
      </c>
      <c r="Q7" s="3304"/>
      <c r="R7" s="709" t="s">
        <v>17</v>
      </c>
      <c r="S7" s="710">
        <f t="shared" ref="S7:S15" si="0">F7</f>
        <v>0</v>
      </c>
      <c r="T7" s="709" t="s">
        <v>17</v>
      </c>
      <c r="U7" s="710">
        <f t="shared" ref="U7:U15" si="1">H7</f>
        <v>0</v>
      </c>
      <c r="V7" s="709" t="s">
        <v>17</v>
      </c>
      <c r="W7" s="710">
        <f t="shared" ref="W7:W15" si="2">J7</f>
        <v>0</v>
      </c>
      <c r="X7" s="711"/>
      <c r="Y7" s="3302" t="s">
        <v>2369</v>
      </c>
      <c r="Z7" s="3303"/>
      <c r="AA7" s="712" t="e">
        <f>D7/F7</f>
        <v>#DIV/0!</v>
      </c>
      <c r="AB7" s="712" t="e">
        <f>D7/H7</f>
        <v>#DIV/0!</v>
      </c>
      <c r="AC7" s="2142"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46" t="s">
        <v>2372</v>
      </c>
      <c r="Q8" s="3303"/>
      <c r="R8" s="709" t="s">
        <v>17</v>
      </c>
      <c r="S8" s="710">
        <f t="shared" si="0"/>
        <v>0</v>
      </c>
      <c r="T8" s="709" t="s">
        <v>17</v>
      </c>
      <c r="U8" s="710">
        <f t="shared" si="1"/>
        <v>0</v>
      </c>
      <c r="V8" s="709" t="s">
        <v>17</v>
      </c>
      <c r="W8" s="710">
        <f t="shared" si="2"/>
        <v>0</v>
      </c>
      <c r="X8" s="711"/>
      <c r="Y8" s="3302" t="s">
        <v>2372</v>
      </c>
      <c r="Z8" s="3303"/>
      <c r="AA8" s="712" t="e">
        <f t="shared" ref="AA8:AA47" si="3">D8/F8</f>
        <v>#DIV/0!</v>
      </c>
      <c r="AB8" s="712" t="e">
        <f t="shared" ref="AB8:AB47" si="4">D8/H8</f>
        <v>#DIV/0!</v>
      </c>
      <c r="AC8" s="2142"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77" t="s">
        <v>2375</v>
      </c>
      <c r="Q9" s="1527" t="str">
        <f t="shared" ref="Q9:Q15" si="6">B9</f>
        <v>用途</v>
      </c>
      <c r="R9" s="709" t="s">
        <v>17</v>
      </c>
      <c r="S9" s="710">
        <f t="shared" si="0"/>
        <v>100</v>
      </c>
      <c r="T9" s="709" t="s">
        <v>17</v>
      </c>
      <c r="U9" s="710">
        <f t="shared" si="1"/>
        <v>100</v>
      </c>
      <c r="V9" s="709" t="s">
        <v>17</v>
      </c>
      <c r="W9" s="710">
        <f t="shared" si="2"/>
        <v>100</v>
      </c>
      <c r="X9" s="711"/>
      <c r="Y9" s="3159" t="s">
        <v>2376</v>
      </c>
      <c r="Z9" s="55" t="str">
        <f t="shared" ref="Z9:Z15" si="7">Q9</f>
        <v>用途</v>
      </c>
      <c r="AA9" s="712">
        <f t="shared" si="3"/>
        <v>1</v>
      </c>
      <c r="AB9" s="712">
        <f t="shared" si="4"/>
        <v>1</v>
      </c>
      <c r="AC9" s="2142">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77"/>
      <c r="Q10" s="1527" t="str">
        <f t="shared" si="6"/>
        <v>土地使用年限（年）</v>
      </c>
      <c r="R10" s="709" t="s">
        <v>17</v>
      </c>
      <c r="S10" s="710">
        <f t="shared" si="0"/>
        <v>100</v>
      </c>
      <c r="T10" s="709" t="s">
        <v>17</v>
      </c>
      <c r="U10" s="710">
        <f t="shared" si="1"/>
        <v>100</v>
      </c>
      <c r="V10" s="709" t="s">
        <v>17</v>
      </c>
      <c r="W10" s="710">
        <f t="shared" si="2"/>
        <v>100</v>
      </c>
      <c r="X10" s="711"/>
      <c r="Y10" s="3159"/>
      <c r="Z10" s="55" t="str">
        <f t="shared" si="7"/>
        <v>土地使用年限（年）</v>
      </c>
      <c r="AA10" s="712">
        <f t="shared" si="3"/>
        <v>1</v>
      </c>
      <c r="AB10" s="712">
        <f t="shared" si="4"/>
        <v>1</v>
      </c>
      <c r="AC10" s="2142">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77"/>
      <c r="Q11" s="1527" t="str">
        <f t="shared" si="6"/>
        <v>容积率</v>
      </c>
      <c r="R11" s="709" t="s">
        <v>17</v>
      </c>
      <c r="S11" s="710" t="e">
        <f t="shared" si="0"/>
        <v>#N/A</v>
      </c>
      <c r="T11" s="709" t="s">
        <v>17</v>
      </c>
      <c r="U11" s="710" t="e">
        <f t="shared" si="1"/>
        <v>#N/A</v>
      </c>
      <c r="V11" s="709" t="s">
        <v>17</v>
      </c>
      <c r="W11" s="710" t="e">
        <f t="shared" si="2"/>
        <v>#N/A</v>
      </c>
      <c r="X11" s="711"/>
      <c r="Y11" s="3159"/>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77"/>
      <c r="Q12" s="1527">
        <f t="shared" si="6"/>
        <v>111</v>
      </c>
      <c r="R12" s="709" t="s">
        <v>17</v>
      </c>
      <c r="S12" s="710">
        <f t="shared" si="0"/>
        <v>100</v>
      </c>
      <c r="T12" s="709" t="s">
        <v>17</v>
      </c>
      <c r="U12" s="710">
        <f t="shared" si="1"/>
        <v>100</v>
      </c>
      <c r="V12" s="709" t="s">
        <v>17</v>
      </c>
      <c r="W12" s="710">
        <f t="shared" si="2"/>
        <v>100</v>
      </c>
      <c r="X12" s="711"/>
      <c r="Y12" s="3159"/>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77"/>
      <c r="Q13" s="1527">
        <f t="shared" si="6"/>
        <v>111</v>
      </c>
      <c r="R13" s="709" t="s">
        <v>17</v>
      </c>
      <c r="S13" s="710">
        <f t="shared" si="0"/>
        <v>100</v>
      </c>
      <c r="T13" s="709" t="s">
        <v>17</v>
      </c>
      <c r="U13" s="710">
        <f t="shared" si="1"/>
        <v>100</v>
      </c>
      <c r="V13" s="709" t="s">
        <v>17</v>
      </c>
      <c r="W13" s="710">
        <f t="shared" si="2"/>
        <v>100</v>
      </c>
      <c r="X13" s="711"/>
      <c r="Y13" s="3159"/>
      <c r="Z13" s="55">
        <f t="shared" si="7"/>
        <v>111</v>
      </c>
      <c r="AA13" s="712">
        <f t="shared" si="3"/>
        <v>1</v>
      </c>
      <c r="AB13" s="712">
        <f t="shared" si="4"/>
        <v>1</v>
      </c>
      <c r="AC13" s="2142">
        <f t="shared" si="5"/>
        <v>1</v>
      </c>
    </row>
    <row r="14" spans="1:29" ht="15.75"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77"/>
      <c r="Q14" s="1527">
        <f t="shared" si="6"/>
        <v>111</v>
      </c>
      <c r="R14" s="709" t="s">
        <v>17</v>
      </c>
      <c r="S14" s="710">
        <f t="shared" si="0"/>
        <v>100</v>
      </c>
      <c r="T14" s="709" t="s">
        <v>17</v>
      </c>
      <c r="U14" s="710">
        <f t="shared" si="1"/>
        <v>100</v>
      </c>
      <c r="V14" s="709" t="s">
        <v>17</v>
      </c>
      <c r="W14" s="710">
        <f t="shared" si="2"/>
        <v>100</v>
      </c>
      <c r="X14" s="711"/>
      <c r="Y14" s="3159"/>
      <c r="Z14" s="55">
        <f t="shared" si="7"/>
        <v>111</v>
      </c>
      <c r="AA14" s="712">
        <f t="shared" si="3"/>
        <v>1</v>
      </c>
      <c r="AB14" s="712">
        <f t="shared" si="4"/>
        <v>1</v>
      </c>
      <c r="AC14" s="2142">
        <f t="shared" si="5"/>
        <v>1</v>
      </c>
    </row>
    <row r="15" spans="1:29" ht="15">
      <c r="A15" s="399" t="s">
        <v>2379</v>
      </c>
      <c r="B15" s="585" t="s">
        <v>2507</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275" t="s">
        <v>2380</v>
      </c>
      <c r="Q15" s="1536" t="str">
        <f t="shared" si="6"/>
        <v>办公集聚程度</v>
      </c>
      <c r="R15" s="713" t="s">
        <v>17</v>
      </c>
      <c r="S15" s="714">
        <f t="shared" si="0"/>
        <v>100</v>
      </c>
      <c r="T15" s="713" t="s">
        <v>17</v>
      </c>
      <c r="U15" s="714">
        <f t="shared" si="1"/>
        <v>100</v>
      </c>
      <c r="V15" s="713" t="s">
        <v>17</v>
      </c>
      <c r="W15" s="714">
        <f t="shared" si="2"/>
        <v>100</v>
      </c>
      <c r="X15" s="1539"/>
      <c r="Y15" s="3268" t="s">
        <v>2380</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276"/>
      <c r="Q16" s="1536"/>
      <c r="R16" s="713"/>
      <c r="S16" s="714"/>
      <c r="T16" s="713"/>
      <c r="U16" s="714"/>
      <c r="V16" s="713"/>
      <c r="W16" s="714"/>
      <c r="X16" s="1539"/>
      <c r="Y16" s="3269"/>
      <c r="Z16" s="1540"/>
      <c r="AA16" s="1537">
        <v>1</v>
      </c>
      <c r="AB16" s="1537">
        <v>1</v>
      </c>
      <c r="AC16" s="2145">
        <v>1</v>
      </c>
    </row>
    <row r="17" spans="1:29" ht="15">
      <c r="A17" s="387"/>
      <c r="B17" s="587" t="s">
        <v>1944</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276"/>
      <c r="Q17" s="1536" t="str">
        <f>B17</f>
        <v>交通便捷度</v>
      </c>
      <c r="R17" s="713" t="s">
        <v>17</v>
      </c>
      <c r="S17" s="714">
        <f>F17</f>
        <v>100</v>
      </c>
      <c r="T17" s="713" t="s">
        <v>17</v>
      </c>
      <c r="U17" s="714">
        <f>H17</f>
        <v>100</v>
      </c>
      <c r="V17" s="713" t="s">
        <v>17</v>
      </c>
      <c r="W17" s="714">
        <f>J17</f>
        <v>100</v>
      </c>
      <c r="X17" s="1539"/>
      <c r="Y17" s="3269"/>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276"/>
      <c r="Q18" s="1536"/>
      <c r="R18" s="713"/>
      <c r="S18" s="714"/>
      <c r="T18" s="713"/>
      <c r="U18" s="714"/>
      <c r="V18" s="713"/>
      <c r="W18" s="714"/>
      <c r="X18" s="1539"/>
      <c r="Y18" s="3269"/>
      <c r="Z18" s="1540"/>
      <c r="AA18" s="1537">
        <v>1</v>
      </c>
      <c r="AB18" s="1537">
        <v>1</v>
      </c>
      <c r="AC18" s="2145">
        <v>1</v>
      </c>
    </row>
    <row r="19" spans="1:29" ht="15">
      <c r="A19" s="387"/>
      <c r="B19" s="587" t="s">
        <v>2508</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276"/>
      <c r="Q19" s="1536" t="str">
        <f>B19</f>
        <v>公共配套设施</v>
      </c>
      <c r="R19" s="713" t="s">
        <v>17</v>
      </c>
      <c r="S19" s="714">
        <f>F19</f>
        <v>100</v>
      </c>
      <c r="T19" s="713" t="s">
        <v>17</v>
      </c>
      <c r="U19" s="714">
        <f>H19</f>
        <v>100</v>
      </c>
      <c r="V19" s="713" t="s">
        <v>17</v>
      </c>
      <c r="W19" s="714">
        <f>J19</f>
        <v>100</v>
      </c>
      <c r="X19" s="1539"/>
      <c r="Y19" s="3269"/>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276"/>
      <c r="Q20" s="1536"/>
      <c r="R20" s="713"/>
      <c r="S20" s="714"/>
      <c r="T20" s="713"/>
      <c r="U20" s="714"/>
      <c r="V20" s="713"/>
      <c r="W20" s="714"/>
      <c r="X20" s="1539"/>
      <c r="Y20" s="3269"/>
      <c r="Z20" s="1540"/>
      <c r="AA20" s="1537">
        <v>1</v>
      </c>
      <c r="AB20" s="1537">
        <v>1</v>
      </c>
      <c r="AC20" s="2145">
        <v>1</v>
      </c>
    </row>
    <row r="21" spans="1:29" ht="15">
      <c r="A21" s="387"/>
      <c r="B21" s="589" t="s">
        <v>2509</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276"/>
      <c r="Q21" s="1536" t="str">
        <f>B21</f>
        <v>基础设施水平</v>
      </c>
      <c r="R21" s="713" t="s">
        <v>17</v>
      </c>
      <c r="S21" s="714">
        <f>F21</f>
        <v>100</v>
      </c>
      <c r="T21" s="713" t="s">
        <v>17</v>
      </c>
      <c r="U21" s="714">
        <f>H21</f>
        <v>100</v>
      </c>
      <c r="V21" s="713" t="s">
        <v>17</v>
      </c>
      <c r="W21" s="714">
        <f>J21</f>
        <v>100</v>
      </c>
      <c r="X21" s="1539"/>
      <c r="Y21" s="3269"/>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276"/>
      <c r="Q22" s="1536"/>
      <c r="R22" s="713"/>
      <c r="S22" s="714"/>
      <c r="T22" s="713"/>
      <c r="U22" s="714"/>
      <c r="V22" s="713"/>
      <c r="W22" s="714"/>
      <c r="X22" s="1539"/>
      <c r="Y22" s="3269"/>
      <c r="Z22" s="1540"/>
      <c r="AA22" s="1537">
        <v>1</v>
      </c>
      <c r="AB22" s="1537">
        <v>1</v>
      </c>
      <c r="AC22" s="2145">
        <v>1</v>
      </c>
    </row>
    <row r="23" spans="1:29" ht="15">
      <c r="A23" s="387"/>
      <c r="B23" s="587" t="s">
        <v>2510</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276"/>
      <c r="Q23" s="1536" t="str">
        <f>B23</f>
        <v>环境质量</v>
      </c>
      <c r="R23" s="713" t="s">
        <v>17</v>
      </c>
      <c r="S23" s="714">
        <f>F23</f>
        <v>100</v>
      </c>
      <c r="T23" s="713" t="s">
        <v>17</v>
      </c>
      <c r="U23" s="714">
        <f>H23</f>
        <v>100</v>
      </c>
      <c r="V23" s="713" t="s">
        <v>17</v>
      </c>
      <c r="W23" s="714">
        <f>J23</f>
        <v>100</v>
      </c>
      <c r="X23" s="1539"/>
      <c r="Y23" s="3269"/>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276"/>
      <c r="Q24" s="1536"/>
      <c r="R24" s="713"/>
      <c r="S24" s="714"/>
      <c r="T24" s="713"/>
      <c r="U24" s="714"/>
      <c r="V24" s="713"/>
      <c r="W24" s="714"/>
      <c r="X24" s="1539"/>
      <c r="Y24" s="3269"/>
      <c r="Z24" s="1540"/>
      <c r="AA24" s="1537">
        <v>1</v>
      </c>
      <c r="AB24" s="1537">
        <v>1</v>
      </c>
      <c r="AC24" s="2145">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276"/>
      <c r="Q25" s="1536" t="str">
        <f>B25</f>
        <v>毗邻道路的类型与等级</v>
      </c>
      <c r="R25" s="713" t="s">
        <v>17</v>
      </c>
      <c r="S25" s="714">
        <f>F25</f>
        <v>100</v>
      </c>
      <c r="T25" s="713" t="s">
        <v>17</v>
      </c>
      <c r="U25" s="714">
        <f>H25</f>
        <v>100</v>
      </c>
      <c r="V25" s="713" t="s">
        <v>17</v>
      </c>
      <c r="W25" s="714">
        <f>J25</f>
        <v>100</v>
      </c>
      <c r="X25" s="1539"/>
      <c r="Y25" s="3269"/>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276"/>
      <c r="Q26" s="1536"/>
      <c r="R26" s="713"/>
      <c r="S26" s="714"/>
      <c r="T26" s="713"/>
      <c r="U26" s="714"/>
      <c r="V26" s="713"/>
      <c r="W26" s="714"/>
      <c r="X26" s="1539"/>
      <c r="Y26" s="3269"/>
      <c r="Z26" s="1540"/>
      <c r="AA26" s="1537">
        <v>1</v>
      </c>
      <c r="AB26" s="1537">
        <v>1</v>
      </c>
      <c r="AC26" s="2145">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276"/>
      <c r="Q27" s="1536" t="str">
        <f t="shared" ref="Q27:Q47" si="11">B27</f>
        <v>楼层</v>
      </c>
      <c r="R27" s="713" t="s">
        <v>17</v>
      </c>
      <c r="S27" s="714">
        <f>F27</f>
        <v>100</v>
      </c>
      <c r="T27" s="713" t="s">
        <v>17</v>
      </c>
      <c r="U27" s="714">
        <f>H27</f>
        <v>100</v>
      </c>
      <c r="V27" s="713" t="s">
        <v>17</v>
      </c>
      <c r="W27" s="714">
        <f>J27</f>
        <v>100</v>
      </c>
      <c r="X27" s="1539"/>
      <c r="Y27" s="3269"/>
      <c r="Z27" s="1540" t="str">
        <f>Q27</f>
        <v>楼层</v>
      </c>
      <c r="AA27" s="1537">
        <f t="shared" si="3"/>
        <v>1</v>
      </c>
      <c r="AB27" s="1537">
        <f t="shared" si="4"/>
        <v>1</v>
      </c>
      <c r="AC27" s="2145">
        <f t="shared" si="5"/>
        <v>1</v>
      </c>
    </row>
    <row r="28" spans="1:29" s="113" customFormat="1" ht="15">
      <c r="A28" s="390"/>
      <c r="B28" s="587" t="s">
        <v>2512</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276"/>
      <c r="Q28" s="1527" t="str">
        <f t="shared" si="11"/>
        <v>朝向</v>
      </c>
      <c r="R28" s="709" t="s">
        <v>17</v>
      </c>
      <c r="S28" s="710">
        <f>F28</f>
        <v>100</v>
      </c>
      <c r="T28" s="709" t="s">
        <v>17</v>
      </c>
      <c r="U28" s="710">
        <f>H28</f>
        <v>100</v>
      </c>
      <c r="V28" s="709" t="s">
        <v>17</v>
      </c>
      <c r="W28" s="710">
        <f>J28</f>
        <v>100</v>
      </c>
      <c r="X28" s="711"/>
      <c r="Y28" s="3269"/>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276"/>
      <c r="Q29" s="1536">
        <f t="shared" si="11"/>
        <v>111</v>
      </c>
      <c r="R29" s="713" t="s">
        <v>17</v>
      </c>
      <c r="S29" s="714">
        <f t="shared" ref="S29:S47" si="12">F29</f>
        <v>100</v>
      </c>
      <c r="T29" s="713" t="s">
        <v>17</v>
      </c>
      <c r="U29" s="714">
        <f t="shared" ref="U29:U47" si="13">H29</f>
        <v>100</v>
      </c>
      <c r="V29" s="713" t="s">
        <v>17</v>
      </c>
      <c r="W29" s="714">
        <f t="shared" ref="W29:W47" si="14">J29</f>
        <v>100</v>
      </c>
      <c r="X29" s="1539"/>
      <c r="Y29" s="3269"/>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276"/>
      <c r="Q30" s="1536">
        <f t="shared" si="11"/>
        <v>111</v>
      </c>
      <c r="R30" s="713" t="s">
        <v>17</v>
      </c>
      <c r="S30" s="714">
        <f t="shared" si="12"/>
        <v>100</v>
      </c>
      <c r="T30" s="713" t="s">
        <v>17</v>
      </c>
      <c r="U30" s="714">
        <f t="shared" si="13"/>
        <v>100</v>
      </c>
      <c r="V30" s="713" t="s">
        <v>17</v>
      </c>
      <c r="W30" s="714">
        <f t="shared" si="14"/>
        <v>100</v>
      </c>
      <c r="X30" s="1539"/>
      <c r="Y30" s="3269"/>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276"/>
      <c r="Q31" s="1536">
        <f t="shared" si="11"/>
        <v>111</v>
      </c>
      <c r="R31" s="713" t="s">
        <v>17</v>
      </c>
      <c r="S31" s="714">
        <f t="shared" si="12"/>
        <v>100</v>
      </c>
      <c r="T31" s="713" t="s">
        <v>17</v>
      </c>
      <c r="U31" s="714">
        <f t="shared" si="13"/>
        <v>100</v>
      </c>
      <c r="V31" s="713" t="s">
        <v>17</v>
      </c>
      <c r="W31" s="714">
        <f t="shared" si="14"/>
        <v>100</v>
      </c>
      <c r="X31" s="1539"/>
      <c r="Y31" s="3269"/>
      <c r="Z31" s="1540">
        <f t="shared" si="15"/>
        <v>111</v>
      </c>
      <c r="AA31" s="1537">
        <f t="shared" si="3"/>
        <v>1</v>
      </c>
      <c r="AB31" s="1537">
        <f t="shared" si="4"/>
        <v>1</v>
      </c>
      <c r="AC31" s="2145">
        <f t="shared" si="5"/>
        <v>1</v>
      </c>
    </row>
    <row r="32" spans="1:29" ht="15.75"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276"/>
      <c r="Q32" s="1536">
        <f t="shared" si="11"/>
        <v>111</v>
      </c>
      <c r="R32" s="713" t="s">
        <v>17</v>
      </c>
      <c r="S32" s="714">
        <f t="shared" si="12"/>
        <v>100</v>
      </c>
      <c r="T32" s="713" t="s">
        <v>17</v>
      </c>
      <c r="U32" s="714">
        <f t="shared" si="13"/>
        <v>100</v>
      </c>
      <c r="V32" s="713" t="s">
        <v>17</v>
      </c>
      <c r="W32" s="714">
        <f t="shared" si="14"/>
        <v>100</v>
      </c>
      <c r="X32" s="1539"/>
      <c r="Y32" s="3269"/>
      <c r="Z32" s="1540">
        <f t="shared" si="15"/>
        <v>111</v>
      </c>
      <c r="AA32" s="1537">
        <f t="shared" si="3"/>
        <v>1</v>
      </c>
      <c r="AB32" s="1537">
        <f t="shared" si="4"/>
        <v>1</v>
      </c>
      <c r="AC32" s="2145">
        <f t="shared" si="5"/>
        <v>1</v>
      </c>
    </row>
    <row r="33" spans="1:29" ht="15">
      <c r="A33" s="399" t="s">
        <v>2383</v>
      </c>
      <c r="B33" s="67" t="s">
        <v>2513</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270" t="s">
        <v>2385</v>
      </c>
      <c r="Q33" s="1536" t="str">
        <f t="shared" si="11"/>
        <v>建筑类型</v>
      </c>
      <c r="R33" s="713" t="s">
        <v>17</v>
      </c>
      <c r="S33" s="714">
        <f t="shared" si="12"/>
        <v>100</v>
      </c>
      <c r="T33" s="713" t="s">
        <v>17</v>
      </c>
      <c r="U33" s="714">
        <f t="shared" si="13"/>
        <v>100</v>
      </c>
      <c r="V33" s="713" t="s">
        <v>17</v>
      </c>
      <c r="W33" s="714">
        <f t="shared" si="14"/>
        <v>100</v>
      </c>
      <c r="X33" s="1539"/>
      <c r="Y33" s="3273" t="s">
        <v>2385</v>
      </c>
      <c r="Z33" s="1540" t="str">
        <f t="shared" si="15"/>
        <v>建筑类型</v>
      </c>
      <c r="AA33" s="1537">
        <f t="shared" si="3"/>
        <v>1</v>
      </c>
      <c r="AB33" s="1537">
        <f t="shared" si="4"/>
        <v>1</v>
      </c>
      <c r="AC33" s="2145">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271"/>
      <c r="Q34" s="715" t="str">
        <f t="shared" si="11"/>
        <v>项目建筑规模</v>
      </c>
      <c r="R34" s="716" t="s">
        <v>17</v>
      </c>
      <c r="S34" s="717" t="e">
        <f t="shared" si="12"/>
        <v>#N/A</v>
      </c>
      <c r="T34" s="716" t="s">
        <v>17</v>
      </c>
      <c r="U34" s="717" t="e">
        <f t="shared" si="13"/>
        <v>#N/A</v>
      </c>
      <c r="V34" s="716" t="s">
        <v>17</v>
      </c>
      <c r="W34" s="717" t="e">
        <f t="shared" si="14"/>
        <v>#N/A</v>
      </c>
      <c r="X34" s="718"/>
      <c r="Y34" s="3273"/>
      <c r="Z34" s="719" t="str">
        <f t="shared" si="15"/>
        <v>项目建筑规模</v>
      </c>
      <c r="AA34" s="1537" t="e">
        <f t="shared" si="3"/>
        <v>#N/A</v>
      </c>
      <c r="AB34" s="1537" t="e">
        <f t="shared" si="4"/>
        <v>#N/A</v>
      </c>
      <c r="AC34" s="2145"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271"/>
      <c r="Q35" s="1536" t="str">
        <f t="shared" si="11"/>
        <v>建筑结构</v>
      </c>
      <c r="R35" s="713" t="s">
        <v>17</v>
      </c>
      <c r="S35" s="714">
        <f t="shared" si="12"/>
        <v>100</v>
      </c>
      <c r="T35" s="713" t="s">
        <v>17</v>
      </c>
      <c r="U35" s="714">
        <f t="shared" si="13"/>
        <v>100</v>
      </c>
      <c r="V35" s="713" t="s">
        <v>17</v>
      </c>
      <c r="W35" s="714">
        <f t="shared" si="14"/>
        <v>100</v>
      </c>
      <c r="X35" s="1539"/>
      <c r="Y35" s="3273"/>
      <c r="Z35" s="1540" t="str">
        <f t="shared" si="15"/>
        <v>建筑结构</v>
      </c>
      <c r="AA35" s="1537">
        <f t="shared" si="3"/>
        <v>1</v>
      </c>
      <c r="AB35" s="1537">
        <f t="shared" si="4"/>
        <v>1</v>
      </c>
      <c r="AC35" s="2145">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271"/>
      <c r="Q36" s="1536" t="str">
        <f t="shared" si="11"/>
        <v>公共部分装修</v>
      </c>
      <c r="R36" s="713" t="s">
        <v>17</v>
      </c>
      <c r="S36" s="714">
        <f t="shared" si="12"/>
        <v>100</v>
      </c>
      <c r="T36" s="713" t="s">
        <v>17</v>
      </c>
      <c r="U36" s="714">
        <f t="shared" si="13"/>
        <v>100</v>
      </c>
      <c r="V36" s="713" t="s">
        <v>17</v>
      </c>
      <c r="W36" s="714">
        <f t="shared" si="14"/>
        <v>100</v>
      </c>
      <c r="X36" s="1539"/>
      <c r="Y36" s="3273"/>
      <c r="Z36" s="1540" t="str">
        <f t="shared" si="15"/>
        <v>公共部分装修</v>
      </c>
      <c r="AA36" s="1537">
        <f t="shared" si="3"/>
        <v>1</v>
      </c>
      <c r="AB36" s="1537">
        <f t="shared" si="4"/>
        <v>1</v>
      </c>
      <c r="AC36" s="2145">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271"/>
      <c r="Q37" s="1536" t="str">
        <f t="shared" si="11"/>
        <v>成新度</v>
      </c>
      <c r="R37" s="713" t="s">
        <v>17</v>
      </c>
      <c r="S37" s="714" t="e">
        <f t="shared" si="12"/>
        <v>#N/A</v>
      </c>
      <c r="T37" s="713" t="s">
        <v>17</v>
      </c>
      <c r="U37" s="714" t="e">
        <f t="shared" si="13"/>
        <v>#N/A</v>
      </c>
      <c r="V37" s="713" t="s">
        <v>17</v>
      </c>
      <c r="W37" s="714" t="e">
        <f t="shared" si="14"/>
        <v>#N/A</v>
      </c>
      <c r="X37" s="1539"/>
      <c r="Y37" s="3273"/>
      <c r="Z37" s="1540" t="str">
        <f t="shared" si="15"/>
        <v>成新度</v>
      </c>
      <c r="AA37" s="1537" t="e">
        <f t="shared" si="3"/>
        <v>#N/A</v>
      </c>
      <c r="AB37" s="1537" t="e">
        <f t="shared" si="4"/>
        <v>#N/A</v>
      </c>
      <c r="AC37" s="2145"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271"/>
      <c r="Q38" s="1527" t="str">
        <f t="shared" si="11"/>
        <v>写字楼等级</v>
      </c>
      <c r="R38" s="709" t="s">
        <v>17</v>
      </c>
      <c r="S38" s="710">
        <f t="shared" si="12"/>
        <v>100</v>
      </c>
      <c r="T38" s="709" t="s">
        <v>17</v>
      </c>
      <c r="U38" s="710">
        <f t="shared" si="13"/>
        <v>100</v>
      </c>
      <c r="V38" s="709" t="s">
        <v>17</v>
      </c>
      <c r="W38" s="710">
        <f t="shared" si="14"/>
        <v>100</v>
      </c>
      <c r="X38" s="711"/>
      <c r="Y38" s="3273"/>
      <c r="Z38" s="55" t="str">
        <f t="shared" si="15"/>
        <v>写字楼等级</v>
      </c>
      <c r="AA38" s="712">
        <f t="shared" si="3"/>
        <v>1</v>
      </c>
      <c r="AB38" s="712">
        <f t="shared" si="4"/>
        <v>1</v>
      </c>
      <c r="AC38" s="2142">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271" t="s">
        <v>2385</v>
      </c>
      <c r="Q39" s="1536" t="str">
        <f t="shared" si="11"/>
        <v>物业管理</v>
      </c>
      <c r="R39" s="713" t="s">
        <v>17</v>
      </c>
      <c r="S39" s="714">
        <f t="shared" si="12"/>
        <v>100</v>
      </c>
      <c r="T39" s="713" t="s">
        <v>17</v>
      </c>
      <c r="U39" s="714">
        <f t="shared" si="13"/>
        <v>100</v>
      </c>
      <c r="V39" s="713" t="s">
        <v>17</v>
      </c>
      <c r="W39" s="714">
        <f t="shared" si="14"/>
        <v>100</v>
      </c>
      <c r="X39" s="1539"/>
      <c r="Y39" s="3273" t="s">
        <v>2385</v>
      </c>
      <c r="Z39" s="1540" t="str">
        <f t="shared" si="15"/>
        <v>物业管理</v>
      </c>
      <c r="AA39" s="1537">
        <f t="shared" si="3"/>
        <v>1</v>
      </c>
      <c r="AB39" s="1537">
        <f t="shared" si="4"/>
        <v>1</v>
      </c>
      <c r="AC39" s="2145">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271"/>
      <c r="Q40" s="1536" t="str">
        <f t="shared" si="11"/>
        <v>市政基础设施</v>
      </c>
      <c r="R40" s="713" t="s">
        <v>17</v>
      </c>
      <c r="S40" s="714">
        <f t="shared" si="12"/>
        <v>100</v>
      </c>
      <c r="T40" s="713" t="s">
        <v>17</v>
      </c>
      <c r="U40" s="714">
        <f t="shared" si="13"/>
        <v>100</v>
      </c>
      <c r="V40" s="713" t="s">
        <v>17</v>
      </c>
      <c r="W40" s="714">
        <f t="shared" si="14"/>
        <v>100</v>
      </c>
      <c r="X40" s="1539"/>
      <c r="Y40" s="3273"/>
      <c r="Z40" s="1540" t="str">
        <f t="shared" si="15"/>
        <v>市政基础设施</v>
      </c>
      <c r="AA40" s="1537">
        <f t="shared" si="3"/>
        <v>1</v>
      </c>
      <c r="AB40" s="1537">
        <f t="shared" si="4"/>
        <v>1</v>
      </c>
      <c r="AC40" s="2145">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271"/>
      <c r="Q41" s="1536" t="str">
        <f t="shared" si="11"/>
        <v>层高</v>
      </c>
      <c r="R41" s="713" t="s">
        <v>17</v>
      </c>
      <c r="S41" s="714">
        <f t="shared" si="12"/>
        <v>100</v>
      </c>
      <c r="T41" s="713" t="s">
        <v>17</v>
      </c>
      <c r="U41" s="714">
        <f t="shared" si="13"/>
        <v>100</v>
      </c>
      <c r="V41" s="713" t="s">
        <v>17</v>
      </c>
      <c r="W41" s="714">
        <f t="shared" si="14"/>
        <v>100</v>
      </c>
      <c r="X41" s="1539"/>
      <c r="Y41" s="3273"/>
      <c r="Z41" s="1540" t="str">
        <f t="shared" si="15"/>
        <v>层高</v>
      </c>
      <c r="AA41" s="1537">
        <f t="shared" si="3"/>
        <v>1</v>
      </c>
      <c r="AB41" s="1537">
        <f t="shared" si="4"/>
        <v>1</v>
      </c>
      <c r="AC41" s="2145">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271"/>
      <c r="Q42" s="715" t="str">
        <f t="shared" si="11"/>
        <v>单套建筑面积</v>
      </c>
      <c r="R42" s="716" t="s">
        <v>17</v>
      </c>
      <c r="S42" s="717">
        <f t="shared" si="12"/>
        <v>100</v>
      </c>
      <c r="T42" s="716" t="s">
        <v>17</v>
      </c>
      <c r="U42" s="717">
        <f t="shared" si="13"/>
        <v>100</v>
      </c>
      <c r="V42" s="716" t="s">
        <v>17</v>
      </c>
      <c r="W42" s="717">
        <f t="shared" si="14"/>
        <v>100</v>
      </c>
      <c r="X42" s="718"/>
      <c r="Y42" s="3273"/>
      <c r="Z42" s="719" t="str">
        <f t="shared" si="15"/>
        <v>单套建筑面积</v>
      </c>
      <c r="AA42" s="1537">
        <f t="shared" si="3"/>
        <v>1</v>
      </c>
      <c r="AB42" s="1537">
        <f t="shared" si="4"/>
        <v>1</v>
      </c>
      <c r="AC42" s="2145">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271"/>
      <c r="Q43" s="1536" t="str">
        <f t="shared" si="11"/>
        <v>内部装修</v>
      </c>
      <c r="R43" s="713" t="s">
        <v>17</v>
      </c>
      <c r="S43" s="714">
        <f t="shared" si="12"/>
        <v>100</v>
      </c>
      <c r="T43" s="713" t="s">
        <v>17</v>
      </c>
      <c r="U43" s="714">
        <f t="shared" si="13"/>
        <v>100</v>
      </c>
      <c r="V43" s="713" t="s">
        <v>17</v>
      </c>
      <c r="W43" s="714">
        <f t="shared" si="14"/>
        <v>100</v>
      </c>
      <c r="X43" s="1539"/>
      <c r="Y43" s="3273"/>
      <c r="Z43" s="1540" t="str">
        <f t="shared" si="15"/>
        <v>内部装修</v>
      </c>
      <c r="AA43" s="1537">
        <f t="shared" si="3"/>
        <v>1</v>
      </c>
      <c r="AB43" s="1537">
        <f t="shared" si="4"/>
        <v>1</v>
      </c>
      <c r="AC43" s="2145">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271"/>
      <c r="Q44" s="1536" t="str">
        <f t="shared" si="11"/>
        <v>内部装修维护情况</v>
      </c>
      <c r="R44" s="713" t="s">
        <v>17</v>
      </c>
      <c r="S44" s="714">
        <f t="shared" si="12"/>
        <v>100</v>
      </c>
      <c r="T44" s="713" t="s">
        <v>17</v>
      </c>
      <c r="U44" s="714">
        <f t="shared" si="13"/>
        <v>100</v>
      </c>
      <c r="V44" s="713" t="s">
        <v>17</v>
      </c>
      <c r="W44" s="714">
        <f t="shared" si="14"/>
        <v>100</v>
      </c>
      <c r="X44" s="1539"/>
      <c r="Y44" s="3273"/>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271"/>
      <c r="Q45" s="1527">
        <f t="shared" si="11"/>
        <v>111</v>
      </c>
      <c r="R45" s="709" t="s">
        <v>17</v>
      </c>
      <c r="S45" s="710">
        <f t="shared" si="12"/>
        <v>100</v>
      </c>
      <c r="T45" s="709" t="s">
        <v>17</v>
      </c>
      <c r="U45" s="710">
        <f t="shared" si="13"/>
        <v>100</v>
      </c>
      <c r="V45" s="709" t="s">
        <v>17</v>
      </c>
      <c r="W45" s="710">
        <f t="shared" si="14"/>
        <v>100</v>
      </c>
      <c r="X45" s="711"/>
      <c r="Y45" s="3273"/>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271"/>
      <c r="Q46" s="1536">
        <f t="shared" si="11"/>
        <v>111</v>
      </c>
      <c r="R46" s="713" t="s">
        <v>17</v>
      </c>
      <c r="S46" s="714">
        <f t="shared" si="12"/>
        <v>100</v>
      </c>
      <c r="T46" s="713" t="s">
        <v>17</v>
      </c>
      <c r="U46" s="714">
        <f t="shared" si="13"/>
        <v>100</v>
      </c>
      <c r="V46" s="713" t="s">
        <v>17</v>
      </c>
      <c r="W46" s="714">
        <f t="shared" si="14"/>
        <v>100</v>
      </c>
      <c r="X46" s="1539"/>
      <c r="Y46" s="3273"/>
      <c r="Z46" s="1540">
        <f t="shared" si="15"/>
        <v>111</v>
      </c>
      <c r="AA46" s="1537">
        <f t="shared" si="3"/>
        <v>1</v>
      </c>
      <c r="AB46" s="1537">
        <f t="shared" si="4"/>
        <v>1</v>
      </c>
      <c r="AC46" s="2145">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272"/>
      <c r="Q47" s="1536">
        <f t="shared" si="11"/>
        <v>111</v>
      </c>
      <c r="R47" s="713" t="s">
        <v>17</v>
      </c>
      <c r="S47" s="714">
        <f t="shared" si="12"/>
        <v>100</v>
      </c>
      <c r="T47" s="713" t="s">
        <v>17</v>
      </c>
      <c r="U47" s="714">
        <f t="shared" si="13"/>
        <v>100</v>
      </c>
      <c r="V47" s="713" t="s">
        <v>17</v>
      </c>
      <c r="W47" s="714">
        <f t="shared" si="14"/>
        <v>100</v>
      </c>
      <c r="X47" s="1539"/>
      <c r="Y47" s="3274"/>
      <c r="Z47" s="1540">
        <f t="shared" si="15"/>
        <v>111</v>
      </c>
      <c r="AA47" s="1537">
        <f t="shared" si="3"/>
        <v>1</v>
      </c>
      <c r="AB47" s="1537">
        <f t="shared" si="4"/>
        <v>1</v>
      </c>
      <c r="AC47" s="2145">
        <f t="shared" si="5"/>
        <v>1</v>
      </c>
    </row>
    <row r="48" spans="1:29" ht="15">
      <c r="A48" s="438" t="s">
        <v>2397</v>
      </c>
      <c r="B48" s="439"/>
      <c r="C48" s="1315" t="s">
        <v>1</v>
      </c>
      <c r="D48" s="1316"/>
      <c r="E48" s="1317"/>
      <c r="F48" s="1318"/>
      <c r="G48" s="1319"/>
      <c r="H48" s="1320"/>
      <c r="I48" s="1317"/>
      <c r="J48" s="444"/>
      <c r="K48" s="722"/>
      <c r="L48" s="2936"/>
      <c r="M48" s="2928"/>
      <c r="N48" s="2928"/>
      <c r="O48" s="2928"/>
      <c r="P48" s="3277" t="str">
        <f>A48</f>
        <v>成交单价（元/平方米）</v>
      </c>
      <c r="Q48" s="3266"/>
      <c r="R48" s="3267">
        <f>E48</f>
        <v>0</v>
      </c>
      <c r="S48" s="3267"/>
      <c r="T48" s="3267">
        <f>G48</f>
        <v>0</v>
      </c>
      <c r="U48" s="3267"/>
      <c r="V48" s="3267">
        <f>I48</f>
        <v>0</v>
      </c>
      <c r="W48" s="3267"/>
      <c r="X48" s="405"/>
      <c r="Y48" s="720"/>
      <c r="Z48" s="405"/>
      <c r="AA48" s="405"/>
      <c r="AB48" s="405"/>
      <c r="AC48" s="586"/>
    </row>
    <row r="49" spans="1:29" ht="15.75" thickBot="1">
      <c r="A49" s="445" t="s">
        <v>2489</v>
      </c>
      <c r="B49" s="446"/>
      <c r="C49" s="1321" t="e">
        <f>R50</f>
        <v>#DIV/0!</v>
      </c>
      <c r="D49" s="2535" t="s">
        <v>2876</v>
      </c>
      <c r="E49" s="1322" t="e">
        <f>R49</f>
        <v>#DIV/0!</v>
      </c>
      <c r="F49" s="2536"/>
      <c r="G49" s="1321" t="e">
        <f>T49</f>
        <v>#DIV/0!</v>
      </c>
      <c r="H49" s="2536"/>
      <c r="I49" s="1322" t="e">
        <f>V49</f>
        <v>#DIV/0!</v>
      </c>
      <c r="J49" s="2536"/>
      <c r="K49" s="2538">
        <f>F49+H49+J49</f>
        <v>0</v>
      </c>
      <c r="L49" s="2936"/>
      <c r="M49" s="2928"/>
      <c r="N49" s="2928"/>
      <c r="O49" s="2928"/>
      <c r="P49" s="3277"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36"/>
      <c r="M50" s="2928"/>
      <c r="N50" s="2928"/>
      <c r="O50" s="2928"/>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2" t="s">
        <v>2494</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5">
      <c r="A59" s="462" t="s">
        <v>2368</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ht="15">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75" thickBot="1">
      <c r="A61" s="472" t="s">
        <v>2405</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5">
      <c r="A62" s="478" t="s">
        <v>2370</v>
      </c>
      <c r="B62" s="467"/>
      <c r="C62" s="479" t="s">
        <v>2472</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5.75"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c r="A64" s="484" t="s">
        <v>2408</v>
      </c>
      <c r="B64" s="485" t="s">
        <v>2374</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5.75"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5.75"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5.75"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5.75"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5.75"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5.75"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5.75"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c r="A77" s="484" t="s">
        <v>2379</v>
      </c>
      <c r="B77" s="485" t="s">
        <v>2517</v>
      </c>
      <c r="C77" s="530" t="s">
        <v>2417</v>
      </c>
      <c r="D77" s="530" t="s">
        <v>2418</v>
      </c>
      <c r="E77" s="530" t="s">
        <v>2419</v>
      </c>
      <c r="F77" s="530" t="s">
        <v>2420</v>
      </c>
      <c r="G77" s="530" t="s">
        <v>2421</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75" thickTop="1">
      <c r="A79" s="491"/>
      <c r="B79" s="495" t="s">
        <v>2422</v>
      </c>
      <c r="C79" s="535" t="s">
        <v>2417</v>
      </c>
      <c r="D79" s="535" t="s">
        <v>2418</v>
      </c>
      <c r="E79" s="535" t="s">
        <v>2419</v>
      </c>
      <c r="F79" s="535" t="s">
        <v>2420</v>
      </c>
      <c r="G79" s="535" t="s">
        <v>2421</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75" thickTop="1">
      <c r="A81" s="491"/>
      <c r="B81" s="495" t="s">
        <v>2423</v>
      </c>
      <c r="C81" s="535" t="s">
        <v>2417</v>
      </c>
      <c r="D81" s="535" t="s">
        <v>2418</v>
      </c>
      <c r="E81" s="535" t="s">
        <v>2419</v>
      </c>
      <c r="F81" s="535" t="s">
        <v>2420</v>
      </c>
      <c r="G81" s="535" t="s">
        <v>2421</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75" thickTop="1">
      <c r="A83" s="491"/>
      <c r="B83" s="503" t="s">
        <v>2509</v>
      </c>
      <c r="C83" s="616" t="s">
        <v>2495</v>
      </c>
      <c r="D83" s="616" t="s">
        <v>2496</v>
      </c>
      <c r="E83" s="616" t="s">
        <v>2497</v>
      </c>
      <c r="F83" s="616" t="s">
        <v>2498</v>
      </c>
      <c r="G83" s="616" t="s">
        <v>2499</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75" thickTop="1">
      <c r="A85" s="491"/>
      <c r="B85" s="495" t="s">
        <v>2518</v>
      </c>
      <c r="C85" s="535" t="s">
        <v>2417</v>
      </c>
      <c r="D85" s="535" t="s">
        <v>2418</v>
      </c>
      <c r="E85" s="535" t="s">
        <v>2419</v>
      </c>
      <c r="F85" s="535" t="s">
        <v>2420</v>
      </c>
      <c r="G85" s="535" t="s">
        <v>2421</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7.75" thickTop="1">
      <c r="A87" s="536"/>
      <c r="B87" s="495" t="s">
        <v>2519</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5.75"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5.75"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5.75"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5.75"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5.75"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5.75"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c r="A101" s="484" t="s">
        <v>2383</v>
      </c>
      <c r="B101" s="485" t="s">
        <v>2432</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5.75"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2434</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2436</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2520</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2437</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2438</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2521</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2504</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5.75"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2440</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5"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5.75"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5"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5.75"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5"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5.75"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1043"/>
      <c r="M4" s="1044"/>
      <c r="N4" s="1044"/>
      <c r="O4" s="1044"/>
      <c r="P4" s="3285" t="s">
        <v>2471</v>
      </c>
      <c r="Q4" s="3286"/>
      <c r="R4" s="3291" t="s">
        <v>2467</v>
      </c>
      <c r="S4" s="3292"/>
      <c r="T4" s="3291" t="s">
        <v>2468</v>
      </c>
      <c r="U4" s="3292"/>
      <c r="V4" s="3297" t="s">
        <v>2469</v>
      </c>
      <c r="W4" s="3297"/>
      <c r="X4" s="1539"/>
      <c r="Y4" s="3291" t="s">
        <v>2471</v>
      </c>
      <c r="Z4" s="3292"/>
      <c r="AA4" s="3278" t="s">
        <v>2467</v>
      </c>
      <c r="AB4" s="3279" t="s">
        <v>2468</v>
      </c>
      <c r="AC4" s="3278" t="s">
        <v>2469</v>
      </c>
    </row>
    <row r="5" spans="1:29" ht="15">
      <c r="A5" s="364"/>
      <c r="B5" s="365"/>
      <c r="C5" s="3300" t="s">
        <v>2362</v>
      </c>
      <c r="D5" s="3301"/>
      <c r="E5" s="3308" t="s">
        <v>2363</v>
      </c>
      <c r="F5" s="3309"/>
      <c r="G5" s="3300" t="s">
        <v>2364</v>
      </c>
      <c r="H5" s="3301"/>
      <c r="I5" s="3300" t="s">
        <v>2365</v>
      </c>
      <c r="J5" s="3301"/>
      <c r="K5" s="567"/>
      <c r="L5" s="1043"/>
      <c r="M5" s="1044"/>
      <c r="N5" s="1044"/>
      <c r="O5" s="1044"/>
      <c r="P5" s="3287"/>
      <c r="Q5" s="3288"/>
      <c r="R5" s="3293"/>
      <c r="S5" s="3294"/>
      <c r="T5" s="3293"/>
      <c r="U5" s="3294"/>
      <c r="V5" s="3297"/>
      <c r="W5" s="3297"/>
      <c r="X5" s="1539"/>
      <c r="Y5" s="3293"/>
      <c r="Z5" s="3294"/>
      <c r="AA5" s="3279"/>
      <c r="AB5" s="3279"/>
      <c r="AC5" s="3279"/>
    </row>
    <row r="6" spans="1:29" ht="15.75" thickBot="1">
      <c r="A6" s="366"/>
      <c r="B6" s="367"/>
      <c r="C6" s="3298" t="s">
        <v>2366</v>
      </c>
      <c r="D6" s="3299"/>
      <c r="E6" s="3306" t="s">
        <v>2366</v>
      </c>
      <c r="F6" s="3307"/>
      <c r="G6" s="3298" t="s">
        <v>2366</v>
      </c>
      <c r="H6" s="3299"/>
      <c r="I6" s="3298" t="s">
        <v>2366</v>
      </c>
      <c r="J6" s="3299"/>
      <c r="K6" s="567" t="s">
        <v>2367</v>
      </c>
      <c r="L6" s="1043"/>
      <c r="M6" s="1044"/>
      <c r="N6" s="1044"/>
      <c r="O6" s="1044"/>
      <c r="P6" s="3289"/>
      <c r="Q6" s="3290"/>
      <c r="R6" s="3293"/>
      <c r="S6" s="3294"/>
      <c r="T6" s="3295"/>
      <c r="U6" s="3296"/>
      <c r="V6" s="3297"/>
      <c r="W6" s="3297"/>
      <c r="X6" s="1539"/>
      <c r="Y6" s="3295"/>
      <c r="Z6" s="3296"/>
      <c r="AA6" s="3280"/>
      <c r="AB6" s="3280"/>
      <c r="AC6" s="3280"/>
    </row>
    <row r="7" spans="1:29" s="113" customFormat="1" ht="15.75" thickBot="1">
      <c r="A7" s="368" t="s">
        <v>2368</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02" t="s">
        <v>2369</v>
      </c>
      <c r="Q7" s="3304"/>
      <c r="R7" s="709" t="s">
        <v>17</v>
      </c>
      <c r="S7" s="710">
        <f t="shared" ref="S7:S15" si="0">F7</f>
        <v>0</v>
      </c>
      <c r="T7" s="709" t="s">
        <v>17</v>
      </c>
      <c r="U7" s="710">
        <f t="shared" ref="U7:U15" si="1">H7</f>
        <v>0</v>
      </c>
      <c r="V7" s="709" t="s">
        <v>17</v>
      </c>
      <c r="W7" s="710">
        <f t="shared" ref="W7:W15" si="2">J7</f>
        <v>0</v>
      </c>
      <c r="X7" s="711"/>
      <c r="Y7" s="3302" t="s">
        <v>2369</v>
      </c>
      <c r="Z7" s="3303"/>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02" t="s">
        <v>2372</v>
      </c>
      <c r="Q8" s="3303"/>
      <c r="R8" s="709" t="s">
        <v>17</v>
      </c>
      <c r="S8" s="710">
        <f t="shared" si="0"/>
        <v>0</v>
      </c>
      <c r="T8" s="709" t="s">
        <v>17</v>
      </c>
      <c r="U8" s="710">
        <f t="shared" si="1"/>
        <v>0</v>
      </c>
      <c r="V8" s="709" t="s">
        <v>17</v>
      </c>
      <c r="W8" s="710">
        <f t="shared" si="2"/>
        <v>0</v>
      </c>
      <c r="X8" s="711"/>
      <c r="Y8" s="3302" t="s">
        <v>2372</v>
      </c>
      <c r="Z8" s="3303"/>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66" t="s">
        <v>2375</v>
      </c>
      <c r="Q9" s="1527" t="str">
        <f t="shared" ref="Q9:Q15" si="6">B9</f>
        <v>用途</v>
      </c>
      <c r="R9" s="709" t="s">
        <v>17</v>
      </c>
      <c r="S9" s="710">
        <f t="shared" si="0"/>
        <v>100</v>
      </c>
      <c r="T9" s="709" t="s">
        <v>17</v>
      </c>
      <c r="U9" s="710">
        <f t="shared" si="1"/>
        <v>100</v>
      </c>
      <c r="V9" s="709" t="s">
        <v>17</v>
      </c>
      <c r="W9" s="710">
        <f t="shared" si="2"/>
        <v>100</v>
      </c>
      <c r="X9" s="711"/>
      <c r="Y9" s="3159"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66"/>
      <c r="Q10" s="1527" t="str">
        <f t="shared" si="6"/>
        <v>土地使用年限（年）</v>
      </c>
      <c r="R10" s="709" t="s">
        <v>17</v>
      </c>
      <c r="S10" s="710">
        <f t="shared" si="0"/>
        <v>100</v>
      </c>
      <c r="T10" s="709" t="s">
        <v>17</v>
      </c>
      <c r="U10" s="710">
        <f t="shared" si="1"/>
        <v>100</v>
      </c>
      <c r="V10" s="709" t="s">
        <v>17</v>
      </c>
      <c r="W10" s="710">
        <f t="shared" si="2"/>
        <v>100</v>
      </c>
      <c r="X10" s="711"/>
      <c r="Y10" s="3159"/>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66"/>
      <c r="Q11" s="1527" t="str">
        <f t="shared" si="6"/>
        <v>容积率</v>
      </c>
      <c r="R11" s="709" t="s">
        <v>17</v>
      </c>
      <c r="S11" s="710" t="e">
        <f t="shared" si="0"/>
        <v>#N/A</v>
      </c>
      <c r="T11" s="709" t="s">
        <v>17</v>
      </c>
      <c r="U11" s="710" t="e">
        <f t="shared" si="1"/>
        <v>#N/A</v>
      </c>
      <c r="V11" s="709" t="s">
        <v>17</v>
      </c>
      <c r="W11" s="710" t="e">
        <f t="shared" si="2"/>
        <v>#N/A</v>
      </c>
      <c r="X11" s="711"/>
      <c r="Y11" s="3159"/>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66"/>
      <c r="Q12" s="1527">
        <f t="shared" si="6"/>
        <v>111</v>
      </c>
      <c r="R12" s="709" t="s">
        <v>17</v>
      </c>
      <c r="S12" s="710">
        <f t="shared" si="0"/>
        <v>100</v>
      </c>
      <c r="T12" s="709" t="s">
        <v>17</v>
      </c>
      <c r="U12" s="710">
        <f t="shared" si="1"/>
        <v>100</v>
      </c>
      <c r="V12" s="709" t="s">
        <v>17</v>
      </c>
      <c r="W12" s="710">
        <f t="shared" si="2"/>
        <v>100</v>
      </c>
      <c r="X12" s="711"/>
      <c r="Y12" s="3159"/>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66"/>
      <c r="Q13" s="1527">
        <f t="shared" si="6"/>
        <v>111</v>
      </c>
      <c r="R13" s="709" t="s">
        <v>17</v>
      </c>
      <c r="S13" s="710">
        <f t="shared" si="0"/>
        <v>100</v>
      </c>
      <c r="T13" s="709" t="s">
        <v>17</v>
      </c>
      <c r="U13" s="710">
        <f t="shared" si="1"/>
        <v>100</v>
      </c>
      <c r="V13" s="709" t="s">
        <v>17</v>
      </c>
      <c r="W13" s="710">
        <f t="shared" si="2"/>
        <v>100</v>
      </c>
      <c r="X13" s="711"/>
      <c r="Y13" s="3159"/>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66"/>
      <c r="Q14" s="1527">
        <f t="shared" si="6"/>
        <v>111</v>
      </c>
      <c r="R14" s="709" t="s">
        <v>17</v>
      </c>
      <c r="S14" s="710">
        <f t="shared" si="0"/>
        <v>100</v>
      </c>
      <c r="T14" s="709" t="s">
        <v>17</v>
      </c>
      <c r="U14" s="710">
        <f t="shared" si="1"/>
        <v>100</v>
      </c>
      <c r="V14" s="709" t="s">
        <v>17</v>
      </c>
      <c r="W14" s="710">
        <f t="shared" si="2"/>
        <v>100</v>
      </c>
      <c r="X14" s="711"/>
      <c r="Y14" s="3159"/>
      <c r="Z14" s="55">
        <f t="shared" si="7"/>
        <v>111</v>
      </c>
      <c r="AA14" s="712">
        <f t="shared" si="3"/>
        <v>1</v>
      </c>
      <c r="AB14" s="712">
        <f t="shared" si="4"/>
        <v>1</v>
      </c>
      <c r="AC14" s="712">
        <f t="shared" si="5"/>
        <v>1</v>
      </c>
    </row>
    <row r="15" spans="1:29" ht="57">
      <c r="A15" s="399" t="s">
        <v>2379</v>
      </c>
      <c r="B15" s="65" t="s">
        <v>2523</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68" t="s">
        <v>2380</v>
      </c>
      <c r="Q15" s="1536" t="str">
        <f t="shared" si="6"/>
        <v>产业集聚程度</v>
      </c>
      <c r="R15" s="713" t="s">
        <v>17</v>
      </c>
      <c r="S15" s="714">
        <f t="shared" si="0"/>
        <v>100</v>
      </c>
      <c r="T15" s="713" t="s">
        <v>17</v>
      </c>
      <c r="U15" s="714">
        <f t="shared" si="1"/>
        <v>100</v>
      </c>
      <c r="V15" s="713" t="s">
        <v>17</v>
      </c>
      <c r="W15" s="714">
        <f t="shared" si="2"/>
        <v>100</v>
      </c>
      <c r="X15" s="1539"/>
      <c r="Y15" s="326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269"/>
      <c r="Q16" s="1536"/>
      <c r="R16" s="713"/>
      <c r="S16" s="714"/>
      <c r="T16" s="713"/>
      <c r="U16" s="714"/>
      <c r="V16" s="713"/>
      <c r="W16" s="714"/>
      <c r="X16" s="1539"/>
      <c r="Y16" s="3269"/>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69"/>
      <c r="Q17" s="1536" t="str">
        <f>B17</f>
        <v>交通便捷度</v>
      </c>
      <c r="R17" s="713" t="s">
        <v>17</v>
      </c>
      <c r="S17" s="714">
        <f>F17</f>
        <v>100</v>
      </c>
      <c r="T17" s="713" t="s">
        <v>17</v>
      </c>
      <c r="U17" s="714">
        <f>H17</f>
        <v>100</v>
      </c>
      <c r="V17" s="713" t="s">
        <v>17</v>
      </c>
      <c r="W17" s="714">
        <f>J17</f>
        <v>100</v>
      </c>
      <c r="X17" s="1539"/>
      <c r="Y17" s="326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269"/>
      <c r="Q18" s="1536"/>
      <c r="R18" s="713"/>
      <c r="S18" s="714"/>
      <c r="T18" s="713"/>
      <c r="U18" s="714"/>
      <c r="V18" s="713"/>
      <c r="W18" s="714"/>
      <c r="X18" s="1539"/>
      <c r="Y18" s="3269"/>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69"/>
      <c r="Q19" s="1536" t="str">
        <f>B19</f>
        <v>公共配套设施</v>
      </c>
      <c r="R19" s="713" t="s">
        <v>17</v>
      </c>
      <c r="S19" s="714">
        <f>F19</f>
        <v>100</v>
      </c>
      <c r="T19" s="713" t="s">
        <v>17</v>
      </c>
      <c r="U19" s="714">
        <f>H19</f>
        <v>100</v>
      </c>
      <c r="V19" s="713" t="s">
        <v>17</v>
      </c>
      <c r="W19" s="714">
        <f>J19</f>
        <v>100</v>
      </c>
      <c r="X19" s="1539"/>
      <c r="Y19" s="326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269"/>
      <c r="Q20" s="1536"/>
      <c r="R20" s="713"/>
      <c r="S20" s="714"/>
      <c r="T20" s="713"/>
      <c r="U20" s="714"/>
      <c r="V20" s="713"/>
      <c r="W20" s="714"/>
      <c r="X20" s="1539"/>
      <c r="Y20" s="3269"/>
      <c r="Z20" s="1540"/>
      <c r="AA20" s="1537">
        <v>1</v>
      </c>
      <c r="AB20" s="1537">
        <v>1</v>
      </c>
      <c r="AC20" s="1537">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69"/>
      <c r="Q21" s="1536" t="str">
        <f>B21</f>
        <v>基础设施水平</v>
      </c>
      <c r="R21" s="713" t="s">
        <v>17</v>
      </c>
      <c r="S21" s="714">
        <f>F21</f>
        <v>100</v>
      </c>
      <c r="T21" s="713" t="s">
        <v>17</v>
      </c>
      <c r="U21" s="714">
        <f>H21</f>
        <v>100</v>
      </c>
      <c r="V21" s="713" t="s">
        <v>17</v>
      </c>
      <c r="W21" s="714">
        <f>J21</f>
        <v>100</v>
      </c>
      <c r="X21" s="1539"/>
      <c r="Y21" s="3269"/>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269"/>
      <c r="Q22" s="1536"/>
      <c r="R22" s="713"/>
      <c r="S22" s="714"/>
      <c r="T22" s="713"/>
      <c r="U22" s="714"/>
      <c r="V22" s="713"/>
      <c r="W22" s="714"/>
      <c r="X22" s="1539"/>
      <c r="Y22" s="3269"/>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69"/>
      <c r="Q23" s="1536" t="str">
        <f>B23</f>
        <v>环境质量</v>
      </c>
      <c r="R23" s="713" t="s">
        <v>17</v>
      </c>
      <c r="S23" s="714">
        <f>F23</f>
        <v>100</v>
      </c>
      <c r="T23" s="713" t="s">
        <v>17</v>
      </c>
      <c r="U23" s="714">
        <f>H23</f>
        <v>100</v>
      </c>
      <c r="V23" s="713" t="s">
        <v>17</v>
      </c>
      <c r="W23" s="714">
        <f>J23</f>
        <v>100</v>
      </c>
      <c r="X23" s="1539"/>
      <c r="Y23" s="3269"/>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269"/>
      <c r="Q24" s="1536"/>
      <c r="R24" s="713"/>
      <c r="S24" s="714"/>
      <c r="T24" s="713"/>
      <c r="U24" s="714"/>
      <c r="V24" s="713"/>
      <c r="W24" s="714"/>
      <c r="X24" s="1539"/>
      <c r="Y24" s="3269"/>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69"/>
      <c r="Q25" s="1536">
        <f>B25</f>
        <v>111</v>
      </c>
      <c r="R25" s="713" t="s">
        <v>17</v>
      </c>
      <c r="S25" s="714">
        <f>F25</f>
        <v>100</v>
      </c>
      <c r="T25" s="713" t="s">
        <v>17</v>
      </c>
      <c r="U25" s="714">
        <f>H25</f>
        <v>100</v>
      </c>
      <c r="V25" s="713" t="s">
        <v>17</v>
      </c>
      <c r="W25" s="714">
        <f>J25</f>
        <v>100</v>
      </c>
      <c r="X25" s="1539"/>
      <c r="Y25" s="3269"/>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69"/>
      <c r="Q26" s="1536">
        <f t="shared" ref="Q26:Q40" si="11">B26</f>
        <v>111</v>
      </c>
      <c r="R26" s="713" t="s">
        <v>17</v>
      </c>
      <c r="S26" s="714">
        <f>F26</f>
        <v>100</v>
      </c>
      <c r="T26" s="713" t="s">
        <v>17</v>
      </c>
      <c r="U26" s="714">
        <f>H26</f>
        <v>100</v>
      </c>
      <c r="V26" s="713" t="s">
        <v>17</v>
      </c>
      <c r="W26" s="714">
        <f>J26</f>
        <v>100</v>
      </c>
      <c r="X26" s="1539"/>
      <c r="Y26" s="3269"/>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69"/>
      <c r="Q27" s="1527">
        <f t="shared" si="11"/>
        <v>111</v>
      </c>
      <c r="R27" s="709" t="s">
        <v>17</v>
      </c>
      <c r="S27" s="710">
        <f>F27</f>
        <v>100</v>
      </c>
      <c r="T27" s="709" t="s">
        <v>17</v>
      </c>
      <c r="U27" s="710">
        <f>H27</f>
        <v>100</v>
      </c>
      <c r="V27" s="709" t="s">
        <v>17</v>
      </c>
      <c r="W27" s="710">
        <f>J27</f>
        <v>100</v>
      </c>
      <c r="X27" s="711"/>
      <c r="Y27" s="3269"/>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69"/>
      <c r="Q28" s="1536">
        <f t="shared" si="11"/>
        <v>111</v>
      </c>
      <c r="R28" s="713" t="s">
        <v>17</v>
      </c>
      <c r="S28" s="714">
        <f t="shared" ref="S28:S40" si="12">F28</f>
        <v>100</v>
      </c>
      <c r="T28" s="713" t="s">
        <v>17</v>
      </c>
      <c r="U28" s="714">
        <f t="shared" ref="U28:U40" si="13">H28</f>
        <v>100</v>
      </c>
      <c r="V28" s="713" t="s">
        <v>17</v>
      </c>
      <c r="W28" s="714">
        <f t="shared" ref="W28:W40" si="14">J28</f>
        <v>100</v>
      </c>
      <c r="X28" s="1539"/>
      <c r="Y28" s="3269"/>
      <c r="Z28" s="1540">
        <f t="shared" ref="Z28:Z40" si="15">Q28</f>
        <v>111</v>
      </c>
      <c r="AA28" s="1537">
        <f t="shared" si="3"/>
        <v>1</v>
      </c>
      <c r="AB28" s="1537">
        <f t="shared" si="4"/>
        <v>1</v>
      </c>
      <c r="AC28" s="1537">
        <f t="shared" si="5"/>
        <v>1</v>
      </c>
    </row>
    <row r="29" spans="1:29" ht="28.5">
      <c r="A29" s="425" t="s">
        <v>2383</v>
      </c>
      <c r="B29" s="67" t="s">
        <v>2513</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48" t="s">
        <v>2385</v>
      </c>
      <c r="Q29" s="1536" t="str">
        <f t="shared" si="11"/>
        <v>建筑类型</v>
      </c>
      <c r="R29" s="713" t="s">
        <v>17</v>
      </c>
      <c r="S29" s="714">
        <f t="shared" si="12"/>
        <v>100</v>
      </c>
      <c r="T29" s="713" t="s">
        <v>17</v>
      </c>
      <c r="U29" s="714">
        <f t="shared" si="13"/>
        <v>100</v>
      </c>
      <c r="V29" s="713" t="s">
        <v>17</v>
      </c>
      <c r="W29" s="714">
        <f t="shared" si="14"/>
        <v>100</v>
      </c>
      <c r="X29" s="1539"/>
      <c r="Y29" s="327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73"/>
      <c r="Q30" s="715" t="str">
        <f t="shared" si="11"/>
        <v>项目建筑规模</v>
      </c>
      <c r="R30" s="716" t="s">
        <v>17</v>
      </c>
      <c r="S30" s="717" t="e">
        <f t="shared" si="12"/>
        <v>#N/A</v>
      </c>
      <c r="T30" s="716" t="s">
        <v>17</v>
      </c>
      <c r="U30" s="717" t="e">
        <f t="shared" si="13"/>
        <v>#N/A</v>
      </c>
      <c r="V30" s="716" t="s">
        <v>17</v>
      </c>
      <c r="W30" s="717" t="e">
        <f t="shared" si="14"/>
        <v>#N/A</v>
      </c>
      <c r="X30" s="718"/>
      <c r="Y30" s="3273"/>
      <c r="Z30" s="719"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73"/>
      <c r="Q31" s="1536" t="str">
        <f t="shared" si="11"/>
        <v>建筑结构</v>
      </c>
      <c r="R31" s="713" t="s">
        <v>17</v>
      </c>
      <c r="S31" s="714">
        <f t="shared" si="12"/>
        <v>100</v>
      </c>
      <c r="T31" s="713" t="s">
        <v>17</v>
      </c>
      <c r="U31" s="714">
        <f t="shared" si="13"/>
        <v>100</v>
      </c>
      <c r="V31" s="713" t="s">
        <v>17</v>
      </c>
      <c r="W31" s="714">
        <f t="shared" si="14"/>
        <v>100</v>
      </c>
      <c r="X31" s="1539"/>
      <c r="Y31" s="327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73"/>
      <c r="Q32" s="1536" t="str">
        <f t="shared" si="11"/>
        <v>公共部分装修</v>
      </c>
      <c r="R32" s="713" t="s">
        <v>17</v>
      </c>
      <c r="S32" s="714">
        <f t="shared" si="12"/>
        <v>100</v>
      </c>
      <c r="T32" s="713" t="s">
        <v>17</v>
      </c>
      <c r="U32" s="714">
        <f t="shared" si="13"/>
        <v>100</v>
      </c>
      <c r="V32" s="713" t="s">
        <v>17</v>
      </c>
      <c r="W32" s="714">
        <f t="shared" si="14"/>
        <v>100</v>
      </c>
      <c r="X32" s="1539"/>
      <c r="Y32" s="327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73"/>
      <c r="Q33" s="1536" t="str">
        <f t="shared" si="11"/>
        <v>成新度</v>
      </c>
      <c r="R33" s="713" t="s">
        <v>17</v>
      </c>
      <c r="S33" s="714" t="e">
        <f t="shared" si="12"/>
        <v>#N/A</v>
      </c>
      <c r="T33" s="713" t="s">
        <v>17</v>
      </c>
      <c r="U33" s="714" t="e">
        <f t="shared" si="13"/>
        <v>#N/A</v>
      </c>
      <c r="V33" s="713" t="s">
        <v>17</v>
      </c>
      <c r="W33" s="714" t="e">
        <f t="shared" si="14"/>
        <v>#N/A</v>
      </c>
      <c r="X33" s="1539"/>
      <c r="Y33" s="327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73"/>
      <c r="Q34" s="1527" t="str">
        <f t="shared" si="11"/>
        <v>物业管理</v>
      </c>
      <c r="R34" s="709" t="s">
        <v>17</v>
      </c>
      <c r="S34" s="710">
        <f t="shared" si="12"/>
        <v>100</v>
      </c>
      <c r="T34" s="709" t="s">
        <v>17</v>
      </c>
      <c r="U34" s="710">
        <f t="shared" si="13"/>
        <v>100</v>
      </c>
      <c r="V34" s="709" t="s">
        <v>17</v>
      </c>
      <c r="W34" s="710">
        <f t="shared" si="14"/>
        <v>100</v>
      </c>
      <c r="X34" s="711"/>
      <c r="Y34" s="3273"/>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73" t="s">
        <v>2385</v>
      </c>
      <c r="Q35" s="1536" t="str">
        <f t="shared" si="11"/>
        <v>市政基础设施</v>
      </c>
      <c r="R35" s="713" t="s">
        <v>17</v>
      </c>
      <c r="S35" s="714">
        <f t="shared" si="12"/>
        <v>100</v>
      </c>
      <c r="T35" s="713" t="s">
        <v>17</v>
      </c>
      <c r="U35" s="714">
        <f t="shared" si="13"/>
        <v>100</v>
      </c>
      <c r="V35" s="713" t="s">
        <v>17</v>
      </c>
      <c r="W35" s="714">
        <f t="shared" si="14"/>
        <v>100</v>
      </c>
      <c r="X35" s="1539"/>
      <c r="Y35" s="327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73"/>
      <c r="Q36" s="1536" t="str">
        <f t="shared" si="11"/>
        <v>内部装修</v>
      </c>
      <c r="R36" s="713" t="s">
        <v>17</v>
      </c>
      <c r="S36" s="714">
        <f t="shared" si="12"/>
        <v>100</v>
      </c>
      <c r="T36" s="713" t="s">
        <v>17</v>
      </c>
      <c r="U36" s="714">
        <f t="shared" si="13"/>
        <v>100</v>
      </c>
      <c r="V36" s="713" t="s">
        <v>17</v>
      </c>
      <c r="W36" s="714">
        <f t="shared" si="14"/>
        <v>100</v>
      </c>
      <c r="X36" s="1539"/>
      <c r="Y36" s="327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73"/>
      <c r="Q37" s="1536" t="str">
        <f t="shared" si="11"/>
        <v>内部装修状况</v>
      </c>
      <c r="R37" s="713" t="s">
        <v>17</v>
      </c>
      <c r="S37" s="714">
        <f t="shared" si="12"/>
        <v>100</v>
      </c>
      <c r="T37" s="713" t="s">
        <v>17</v>
      </c>
      <c r="U37" s="714">
        <f t="shared" si="13"/>
        <v>100</v>
      </c>
      <c r="V37" s="713" t="s">
        <v>17</v>
      </c>
      <c r="W37" s="714">
        <f t="shared" si="14"/>
        <v>100</v>
      </c>
      <c r="X37" s="1539"/>
      <c r="Y37" s="3273"/>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73"/>
      <c r="Q38" s="715">
        <f t="shared" si="11"/>
        <v>111</v>
      </c>
      <c r="R38" s="716" t="s">
        <v>17</v>
      </c>
      <c r="S38" s="717">
        <f t="shared" si="12"/>
        <v>100</v>
      </c>
      <c r="T38" s="716" t="s">
        <v>17</v>
      </c>
      <c r="U38" s="717">
        <f t="shared" si="13"/>
        <v>100</v>
      </c>
      <c r="V38" s="716" t="s">
        <v>17</v>
      </c>
      <c r="W38" s="717">
        <f t="shared" si="14"/>
        <v>100</v>
      </c>
      <c r="X38" s="718"/>
      <c r="Y38" s="3273"/>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73"/>
      <c r="Q39" s="1536">
        <f t="shared" si="11"/>
        <v>111</v>
      </c>
      <c r="R39" s="713" t="s">
        <v>17</v>
      </c>
      <c r="S39" s="714">
        <f t="shared" si="12"/>
        <v>100</v>
      </c>
      <c r="T39" s="713" t="s">
        <v>17</v>
      </c>
      <c r="U39" s="714">
        <f t="shared" si="13"/>
        <v>100</v>
      </c>
      <c r="V39" s="713" t="s">
        <v>17</v>
      </c>
      <c r="W39" s="714">
        <f t="shared" si="14"/>
        <v>100</v>
      </c>
      <c r="X39" s="1539"/>
      <c r="Y39" s="3273"/>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74"/>
      <c r="Q40" s="1536">
        <f t="shared" si="11"/>
        <v>111</v>
      </c>
      <c r="R40" s="713" t="s">
        <v>17</v>
      </c>
      <c r="S40" s="714">
        <f t="shared" si="12"/>
        <v>100</v>
      </c>
      <c r="T40" s="713" t="s">
        <v>17</v>
      </c>
      <c r="U40" s="714">
        <f t="shared" si="13"/>
        <v>100</v>
      </c>
      <c r="V40" s="713" t="s">
        <v>17</v>
      </c>
      <c r="W40" s="714">
        <f t="shared" si="14"/>
        <v>100</v>
      </c>
      <c r="X40" s="1539"/>
      <c r="Y40" s="3274"/>
      <c r="Z40" s="1540">
        <f t="shared" si="15"/>
        <v>111</v>
      </c>
      <c r="AA40" s="1537">
        <f t="shared" si="3"/>
        <v>1</v>
      </c>
      <c r="AB40" s="1537">
        <f t="shared" si="4"/>
        <v>1</v>
      </c>
      <c r="AC40" s="1537">
        <f t="shared" si="5"/>
        <v>1</v>
      </c>
    </row>
    <row r="41" spans="1:29" ht="15">
      <c r="A41" s="438" t="s">
        <v>2397</v>
      </c>
      <c r="B41" s="439"/>
      <c r="C41" s="1315" t="s">
        <v>1</v>
      </c>
      <c r="D41" s="1316"/>
      <c r="E41" s="1317"/>
      <c r="F41" s="1318"/>
      <c r="G41" s="1319"/>
      <c r="H41" s="1320"/>
      <c r="I41" s="1317"/>
      <c r="J41" s="1320"/>
      <c r="K41" s="722"/>
      <c r="L41" s="1056"/>
      <c r="M41" s="1057"/>
      <c r="N41" s="1044"/>
      <c r="O41" s="1057"/>
      <c r="P41" s="3266" t="str">
        <f>A41</f>
        <v>成交单价（元/平方米）</v>
      </c>
      <c r="Q41" s="3266"/>
      <c r="R41" s="3267">
        <f>E41</f>
        <v>0</v>
      </c>
      <c r="S41" s="3267"/>
      <c r="T41" s="3267">
        <f>G41</f>
        <v>0</v>
      </c>
      <c r="U41" s="3267"/>
      <c r="V41" s="3267">
        <f>I41</f>
        <v>0</v>
      </c>
      <c r="W41" s="3267"/>
      <c r="X41" s="698"/>
      <c r="Y41" s="720"/>
      <c r="Z41" s="698"/>
      <c r="AA41" s="698"/>
      <c r="AB41" s="698"/>
      <c r="AC41" s="698"/>
    </row>
    <row r="42" spans="1:29" ht="15.75" thickBot="1">
      <c r="A42" s="445" t="s">
        <v>2489</v>
      </c>
      <c r="B42" s="446"/>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63" t="str">
        <f>A43</f>
        <v>估价对象XX用房的比较价值（楼面单价，元/平方米）</v>
      </c>
      <c r="Q43" s="3264"/>
      <c r="R43" s="3265" t="e">
        <f>IF(F1="售价",ROUND(IF(D42="简单平均",AVERAGE(R42:V42),R42*F42+T42*H42+V42*J42),0),ROUND(IF(D42="简单平均",AVERAGE(R42:V42),R42*F42+T42*H42+V42*J42),1))</f>
        <v>#DIV/0!</v>
      </c>
      <c r="S43" s="3265"/>
      <c r="T43" s="3265"/>
      <c r="U43" s="3265"/>
      <c r="V43" s="3265"/>
      <c r="W43" s="3265"/>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2"/>
      <c r="O54" s="2983"/>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深圳前海深粤供应链有限公司：</v>
      </c>
    </row>
    <row r="4" spans="1:1" ht="36">
      <c r="A4" s="1665" t="str">
        <f>"受贵公司委托，我公司对"&amp;项目基本情况!S1&amp;"进行了预评估。"</f>
        <v>受贵公司委托，我公司对广东省深圳市南山区太古城花园（北区）二期B-25A等6套住宅用房房地产房地产抵押价值进行了预评估。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2020年10月28日（评估专业人员实地查勘之日）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91" t="s">
        <v>2467</v>
      </c>
      <c r="S4" s="3292"/>
      <c r="T4" s="3291" t="s">
        <v>2468</v>
      </c>
      <c r="U4" s="3292"/>
      <c r="V4" s="3297" t="s">
        <v>2469</v>
      </c>
      <c r="W4" s="3297"/>
      <c r="X4" s="1539"/>
      <c r="Y4" s="3291" t="s">
        <v>2471</v>
      </c>
      <c r="Z4" s="3292"/>
      <c r="AA4" s="3278" t="s">
        <v>2467</v>
      </c>
      <c r="AB4" s="3279" t="s">
        <v>2468</v>
      </c>
      <c r="AC4" s="3278" t="s">
        <v>2469</v>
      </c>
    </row>
    <row r="5" spans="1:29" ht="15">
      <c r="A5" s="364"/>
      <c r="B5" s="365"/>
      <c r="C5" s="3300" t="s">
        <v>2362</v>
      </c>
      <c r="D5" s="3301"/>
      <c r="E5" s="3308" t="s">
        <v>2363</v>
      </c>
      <c r="F5" s="3309"/>
      <c r="G5" s="3300" t="s">
        <v>2364</v>
      </c>
      <c r="H5" s="3301"/>
      <c r="I5" s="3300" t="s">
        <v>2365</v>
      </c>
      <c r="J5" s="3301"/>
      <c r="K5" s="567"/>
      <c r="L5" s="2927"/>
      <c r="M5" s="2928"/>
      <c r="N5" s="2928"/>
      <c r="O5" s="2928"/>
      <c r="P5" s="3287"/>
      <c r="Q5" s="3288"/>
      <c r="R5" s="3293"/>
      <c r="S5" s="3294"/>
      <c r="T5" s="3293"/>
      <c r="U5" s="3294"/>
      <c r="V5" s="3297"/>
      <c r="W5" s="3297"/>
      <c r="X5" s="1539"/>
      <c r="Y5" s="3293"/>
      <c r="Z5" s="3294"/>
      <c r="AA5" s="3279"/>
      <c r="AB5" s="3279"/>
      <c r="AC5" s="3279"/>
    </row>
    <row r="6" spans="1:29" ht="15.75" thickBot="1">
      <c r="A6" s="366"/>
      <c r="B6" s="367"/>
      <c r="C6" s="3298" t="s">
        <v>2366</v>
      </c>
      <c r="D6" s="3299"/>
      <c r="E6" s="3306" t="s">
        <v>2366</v>
      </c>
      <c r="F6" s="3307"/>
      <c r="G6" s="3298" t="s">
        <v>2366</v>
      </c>
      <c r="H6" s="3299"/>
      <c r="I6" s="3298" t="s">
        <v>2366</v>
      </c>
      <c r="J6" s="3299"/>
      <c r="K6" s="567" t="s">
        <v>2367</v>
      </c>
      <c r="L6" s="2927"/>
      <c r="M6" s="2928"/>
      <c r="N6" s="2928"/>
      <c r="O6" s="2928"/>
      <c r="P6" s="3289"/>
      <c r="Q6" s="3290"/>
      <c r="R6" s="3293"/>
      <c r="S6" s="3294"/>
      <c r="T6" s="3295"/>
      <c r="U6" s="3296"/>
      <c r="V6" s="3297"/>
      <c r="W6" s="3297"/>
      <c r="X6" s="1539"/>
      <c r="Y6" s="3295"/>
      <c r="Z6" s="3296"/>
      <c r="AA6" s="3280"/>
      <c r="AB6" s="3280"/>
      <c r="AC6" s="3280"/>
    </row>
    <row r="7" spans="1:29" s="113" customFormat="1" ht="15.75" thickBot="1">
      <c r="A7" s="368" t="s">
        <v>2368</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302" t="s">
        <v>2369</v>
      </c>
      <c r="Q7" s="3304"/>
      <c r="R7" s="709" t="s">
        <v>17</v>
      </c>
      <c r="S7" s="710">
        <f t="shared" ref="S7:S14" si="0">F7</f>
        <v>0</v>
      </c>
      <c r="T7" s="709" t="s">
        <v>17</v>
      </c>
      <c r="U7" s="710">
        <f t="shared" ref="U7:U14" si="1">H7</f>
        <v>0</v>
      </c>
      <c r="V7" s="709" t="s">
        <v>17</v>
      </c>
      <c r="W7" s="710">
        <f t="shared" ref="W7:W14" si="2">J7</f>
        <v>0</v>
      </c>
      <c r="X7" s="711"/>
      <c r="Y7" s="3302" t="s">
        <v>2369</v>
      </c>
      <c r="Z7" s="3303"/>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302" t="s">
        <v>2372</v>
      </c>
      <c r="Q8" s="3303"/>
      <c r="R8" s="709" t="s">
        <v>17</v>
      </c>
      <c r="S8" s="710">
        <f t="shared" si="0"/>
        <v>0</v>
      </c>
      <c r="T8" s="709" t="s">
        <v>17</v>
      </c>
      <c r="U8" s="710">
        <f t="shared" si="1"/>
        <v>0</v>
      </c>
      <c r="V8" s="709" t="s">
        <v>17</v>
      </c>
      <c r="W8" s="710">
        <f t="shared" si="2"/>
        <v>0</v>
      </c>
      <c r="X8" s="711"/>
      <c r="Y8" s="3302" t="s">
        <v>2372</v>
      </c>
      <c r="Z8" s="3303"/>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66" t="s">
        <v>2375</v>
      </c>
      <c r="Q9" s="1527" t="str">
        <f t="shared" ref="Q9:Q14" si="6">B9</f>
        <v>用途</v>
      </c>
      <c r="R9" s="709" t="s">
        <v>17</v>
      </c>
      <c r="S9" s="710">
        <f t="shared" si="0"/>
        <v>100</v>
      </c>
      <c r="T9" s="709" t="s">
        <v>17</v>
      </c>
      <c r="U9" s="710">
        <f t="shared" si="1"/>
        <v>100</v>
      </c>
      <c r="V9" s="709" t="s">
        <v>17</v>
      </c>
      <c r="W9" s="710">
        <f t="shared" si="2"/>
        <v>100</v>
      </c>
      <c r="X9" s="711"/>
      <c r="Y9" s="3159"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66"/>
      <c r="Q10" s="1527" t="str">
        <f t="shared" si="6"/>
        <v>土地使用年限（年）</v>
      </c>
      <c r="R10" s="709" t="s">
        <v>17</v>
      </c>
      <c r="S10" s="710">
        <f t="shared" si="0"/>
        <v>100</v>
      </c>
      <c r="T10" s="709" t="s">
        <v>17</v>
      </c>
      <c r="U10" s="710">
        <f t="shared" si="1"/>
        <v>100</v>
      </c>
      <c r="V10" s="709" t="s">
        <v>17</v>
      </c>
      <c r="W10" s="710">
        <f t="shared" si="2"/>
        <v>100</v>
      </c>
      <c r="X10" s="711"/>
      <c r="Y10" s="3159"/>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66"/>
      <c r="Q11" s="1527">
        <f t="shared" si="6"/>
        <v>111</v>
      </c>
      <c r="R11" s="709" t="s">
        <v>17</v>
      </c>
      <c r="S11" s="710">
        <f t="shared" si="0"/>
        <v>100</v>
      </c>
      <c r="T11" s="709" t="s">
        <v>17</v>
      </c>
      <c r="U11" s="710">
        <f t="shared" si="1"/>
        <v>100</v>
      </c>
      <c r="V11" s="709" t="s">
        <v>17</v>
      </c>
      <c r="W11" s="710">
        <f t="shared" si="2"/>
        <v>100</v>
      </c>
      <c r="X11" s="711"/>
      <c r="Y11" s="3159"/>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66"/>
      <c r="Q12" s="1527">
        <f t="shared" si="6"/>
        <v>111</v>
      </c>
      <c r="R12" s="709" t="s">
        <v>17</v>
      </c>
      <c r="S12" s="710">
        <f t="shared" si="0"/>
        <v>100</v>
      </c>
      <c r="T12" s="709" t="s">
        <v>17</v>
      </c>
      <c r="U12" s="710">
        <f t="shared" si="1"/>
        <v>100</v>
      </c>
      <c r="V12" s="709" t="s">
        <v>17</v>
      </c>
      <c r="W12" s="710">
        <f t="shared" si="2"/>
        <v>100</v>
      </c>
      <c r="X12" s="711"/>
      <c r="Y12" s="3159"/>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66"/>
      <c r="Q13" s="1527">
        <f t="shared" si="6"/>
        <v>111</v>
      </c>
      <c r="R13" s="709" t="s">
        <v>17</v>
      </c>
      <c r="S13" s="710">
        <f t="shared" si="0"/>
        <v>100</v>
      </c>
      <c r="T13" s="709" t="s">
        <v>17</v>
      </c>
      <c r="U13" s="710">
        <f t="shared" si="1"/>
        <v>100</v>
      </c>
      <c r="V13" s="709" t="s">
        <v>17</v>
      </c>
      <c r="W13" s="710">
        <f t="shared" si="2"/>
        <v>100</v>
      </c>
      <c r="X13" s="711"/>
      <c r="Y13" s="3159"/>
      <c r="Z13" s="55">
        <f t="shared" si="7"/>
        <v>111</v>
      </c>
      <c r="AA13" s="712">
        <f t="shared" si="3"/>
        <v>1</v>
      </c>
      <c r="AB13" s="712">
        <f t="shared" si="4"/>
        <v>1</v>
      </c>
      <c r="AC13" s="712">
        <f t="shared" si="5"/>
        <v>1</v>
      </c>
    </row>
    <row r="14" spans="1:29" ht="15">
      <c r="A14" s="361" t="s">
        <v>2379</v>
      </c>
      <c r="B14" s="585" t="s">
        <v>2529</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268" t="s">
        <v>2380</v>
      </c>
      <c r="Q14" s="1536" t="str">
        <f t="shared" si="6"/>
        <v>交通便捷度</v>
      </c>
      <c r="R14" s="713" t="s">
        <v>17</v>
      </c>
      <c r="S14" s="714">
        <f t="shared" si="0"/>
        <v>100</v>
      </c>
      <c r="T14" s="713" t="s">
        <v>17</v>
      </c>
      <c r="U14" s="714">
        <f t="shared" si="1"/>
        <v>100</v>
      </c>
      <c r="V14" s="713" t="s">
        <v>17</v>
      </c>
      <c r="W14" s="714">
        <f t="shared" si="2"/>
        <v>100</v>
      </c>
      <c r="X14" s="1539"/>
      <c r="Y14" s="326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269"/>
      <c r="Q15" s="1536"/>
      <c r="R15" s="713"/>
      <c r="S15" s="714"/>
      <c r="T15" s="713"/>
      <c r="U15" s="714"/>
      <c r="V15" s="713"/>
      <c r="W15" s="714"/>
      <c r="X15" s="1539"/>
      <c r="Y15" s="3269"/>
      <c r="Z15" s="1540"/>
      <c r="AA15" s="1537">
        <v>1</v>
      </c>
      <c r="AB15" s="1537">
        <v>1</v>
      </c>
      <c r="AC15" s="1537">
        <v>1</v>
      </c>
    </row>
    <row r="16" spans="1:29" ht="15">
      <c r="A16" s="364"/>
      <c r="B16" s="587" t="s">
        <v>2508</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269"/>
      <c r="Q16" s="1536" t="str">
        <f>B16</f>
        <v>公共配套设施</v>
      </c>
      <c r="R16" s="713" t="s">
        <v>17</v>
      </c>
      <c r="S16" s="714">
        <f>F16</f>
        <v>100</v>
      </c>
      <c r="T16" s="713" t="s">
        <v>17</v>
      </c>
      <c r="U16" s="714">
        <f>H16</f>
        <v>100</v>
      </c>
      <c r="V16" s="713" t="s">
        <v>17</v>
      </c>
      <c r="W16" s="714">
        <f>J16</f>
        <v>100</v>
      </c>
      <c r="X16" s="1539"/>
      <c r="Y16" s="3269"/>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269"/>
      <c r="Q17" s="1536"/>
      <c r="R17" s="713"/>
      <c r="S17" s="714"/>
      <c r="T17" s="713"/>
      <c r="U17" s="714"/>
      <c r="V17" s="713"/>
      <c r="W17" s="714"/>
      <c r="X17" s="1539"/>
      <c r="Y17" s="3269"/>
      <c r="Z17" s="1540"/>
      <c r="AA17" s="1537">
        <v>1</v>
      </c>
      <c r="AB17" s="1537">
        <v>1</v>
      </c>
      <c r="AC17" s="1537">
        <v>1</v>
      </c>
    </row>
    <row r="18" spans="1:29" ht="15">
      <c r="A18" s="364"/>
      <c r="B18" s="589" t="s">
        <v>2509</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269"/>
      <c r="Q18" s="1536" t="str">
        <f>B18</f>
        <v>基础设施水平</v>
      </c>
      <c r="R18" s="713" t="s">
        <v>17</v>
      </c>
      <c r="S18" s="714">
        <f>F18</f>
        <v>100</v>
      </c>
      <c r="T18" s="713" t="s">
        <v>17</v>
      </c>
      <c r="U18" s="714">
        <f>H18</f>
        <v>100</v>
      </c>
      <c r="V18" s="713" t="s">
        <v>17</v>
      </c>
      <c r="W18" s="714">
        <f>J18</f>
        <v>100</v>
      </c>
      <c r="X18" s="1539"/>
      <c r="Y18" s="3269"/>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269"/>
      <c r="Q19" s="1536"/>
      <c r="R19" s="713"/>
      <c r="S19" s="714"/>
      <c r="T19" s="713"/>
      <c r="U19" s="714"/>
      <c r="V19" s="713"/>
      <c r="W19" s="714"/>
      <c r="X19" s="1539"/>
      <c r="Y19" s="3269"/>
      <c r="Z19" s="1540"/>
      <c r="AA19" s="1537">
        <v>1</v>
      </c>
      <c r="AB19" s="1537">
        <v>1</v>
      </c>
      <c r="AC19" s="1537">
        <v>1</v>
      </c>
    </row>
    <row r="20" spans="1:29" ht="15">
      <c r="A20" s="364"/>
      <c r="B20" s="587" t="s">
        <v>2530</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269"/>
      <c r="Q20" s="1536" t="str">
        <f>B20</f>
        <v>自然及人文环境</v>
      </c>
      <c r="R20" s="713" t="s">
        <v>17</v>
      </c>
      <c r="S20" s="714">
        <f>F20</f>
        <v>100</v>
      </c>
      <c r="T20" s="713" t="s">
        <v>17</v>
      </c>
      <c r="U20" s="714">
        <f>H20</f>
        <v>100</v>
      </c>
      <c r="V20" s="713" t="s">
        <v>17</v>
      </c>
      <c r="W20" s="714">
        <f>J20</f>
        <v>100</v>
      </c>
      <c r="X20" s="1539"/>
      <c r="Y20" s="326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269"/>
      <c r="Q21" s="1536"/>
      <c r="R21" s="713"/>
      <c r="S21" s="714"/>
      <c r="T21" s="713"/>
      <c r="U21" s="714"/>
      <c r="V21" s="713"/>
      <c r="W21" s="714"/>
      <c r="X21" s="1539"/>
      <c r="Y21" s="326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269"/>
      <c r="Q22" s="1536" t="str">
        <f>B22</f>
        <v>楼层</v>
      </c>
      <c r="R22" s="713" t="s">
        <v>17</v>
      </c>
      <c r="S22" s="714">
        <f>F22</f>
        <v>100</v>
      </c>
      <c r="T22" s="713" t="s">
        <v>17</v>
      </c>
      <c r="U22" s="714">
        <f>H22</f>
        <v>100</v>
      </c>
      <c r="V22" s="713" t="s">
        <v>17</v>
      </c>
      <c r="W22" s="714">
        <f>J22</f>
        <v>100</v>
      </c>
      <c r="X22" s="1539"/>
      <c r="Y22" s="326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269"/>
      <c r="Q23" s="1536">
        <f>B23</f>
        <v>111</v>
      </c>
      <c r="R23" s="713" t="s">
        <v>17</v>
      </c>
      <c r="S23" s="714">
        <f>F23</f>
        <v>100</v>
      </c>
      <c r="T23" s="713" t="s">
        <v>17</v>
      </c>
      <c r="U23" s="714">
        <f>H23</f>
        <v>100</v>
      </c>
      <c r="V23" s="713" t="s">
        <v>17</v>
      </c>
      <c r="W23" s="714">
        <f>J23</f>
        <v>100</v>
      </c>
      <c r="X23" s="1539"/>
      <c r="Y23" s="326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269"/>
      <c r="Q24" s="1536">
        <f t="shared" ref="Q24:Q36" si="11">B24</f>
        <v>111</v>
      </c>
      <c r="R24" s="713" t="s">
        <v>17</v>
      </c>
      <c r="S24" s="714">
        <f>F24</f>
        <v>100</v>
      </c>
      <c r="T24" s="713" t="s">
        <v>17</v>
      </c>
      <c r="U24" s="714">
        <f>H24</f>
        <v>100</v>
      </c>
      <c r="V24" s="713" t="s">
        <v>17</v>
      </c>
      <c r="W24" s="714">
        <f>J24</f>
        <v>100</v>
      </c>
      <c r="X24" s="1539"/>
      <c r="Y24" s="326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269"/>
      <c r="Q25" s="1527">
        <f t="shared" si="11"/>
        <v>111</v>
      </c>
      <c r="R25" s="709" t="s">
        <v>17</v>
      </c>
      <c r="S25" s="710">
        <f>F25</f>
        <v>100</v>
      </c>
      <c r="T25" s="709" t="s">
        <v>17</v>
      </c>
      <c r="U25" s="710">
        <f>H25</f>
        <v>100</v>
      </c>
      <c r="V25" s="709" t="s">
        <v>17</v>
      </c>
      <c r="W25" s="710">
        <f>J25</f>
        <v>100</v>
      </c>
      <c r="X25" s="711"/>
      <c r="Y25" s="3269"/>
      <c r="Z25" s="55">
        <f>Q25</f>
        <v>111</v>
      </c>
      <c r="AA25" s="1537">
        <f>D25/F25</f>
        <v>1</v>
      </c>
      <c r="AB25" s="1537">
        <f>D25/H25</f>
        <v>1</v>
      </c>
      <c r="AC25" s="1537">
        <f>D25/J25</f>
        <v>1</v>
      </c>
    </row>
    <row r="26" spans="1:29" ht="28.5">
      <c r="A26" s="608" t="s">
        <v>2383</v>
      </c>
      <c r="B26" s="66" t="s">
        <v>2532</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48"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27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273"/>
      <c r="Q27" s="715" t="str">
        <f t="shared" si="11"/>
        <v>项目停车位配比</v>
      </c>
      <c r="R27" s="716" t="s">
        <v>17</v>
      </c>
      <c r="S27" s="717">
        <f t="shared" si="12"/>
        <v>100</v>
      </c>
      <c r="T27" s="716" t="s">
        <v>17</v>
      </c>
      <c r="U27" s="717">
        <f t="shared" si="13"/>
        <v>100</v>
      </c>
      <c r="V27" s="716" t="s">
        <v>17</v>
      </c>
      <c r="W27" s="717">
        <f t="shared" si="14"/>
        <v>100</v>
      </c>
      <c r="X27" s="718"/>
      <c r="Y27" s="3273"/>
      <c r="Z27" s="719"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273"/>
      <c r="Q28" s="1536" t="str">
        <f t="shared" si="11"/>
        <v>公共部分装修</v>
      </c>
      <c r="R28" s="713" t="s">
        <v>17</v>
      </c>
      <c r="S28" s="714">
        <f t="shared" si="12"/>
        <v>100</v>
      </c>
      <c r="T28" s="713" t="s">
        <v>17</v>
      </c>
      <c r="U28" s="714">
        <f t="shared" si="13"/>
        <v>100</v>
      </c>
      <c r="V28" s="713" t="s">
        <v>17</v>
      </c>
      <c r="W28" s="714">
        <f t="shared" si="14"/>
        <v>100</v>
      </c>
      <c r="X28" s="1539"/>
      <c r="Y28" s="327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273"/>
      <c r="Q29" s="1536" t="str">
        <f t="shared" si="11"/>
        <v>成新率</v>
      </c>
      <c r="R29" s="713" t="s">
        <v>17</v>
      </c>
      <c r="S29" s="714" t="e">
        <f t="shared" si="12"/>
        <v>#N/A</v>
      </c>
      <c r="T29" s="713" t="s">
        <v>17</v>
      </c>
      <c r="U29" s="714" t="e">
        <f t="shared" si="13"/>
        <v>#N/A</v>
      </c>
      <c r="V29" s="713" t="s">
        <v>17</v>
      </c>
      <c r="W29" s="714" t="e">
        <f t="shared" si="14"/>
        <v>#N/A</v>
      </c>
      <c r="X29" s="1539"/>
      <c r="Y29" s="327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273"/>
      <c r="Q30" s="1536" t="str">
        <f t="shared" si="11"/>
        <v>物业等级</v>
      </c>
      <c r="R30" s="713" t="s">
        <v>17</v>
      </c>
      <c r="S30" s="714">
        <f t="shared" si="12"/>
        <v>100</v>
      </c>
      <c r="T30" s="713" t="s">
        <v>17</v>
      </c>
      <c r="U30" s="714">
        <f t="shared" si="13"/>
        <v>100</v>
      </c>
      <c r="V30" s="713" t="s">
        <v>17</v>
      </c>
      <c r="W30" s="714">
        <f t="shared" si="14"/>
        <v>100</v>
      </c>
      <c r="X30" s="1539"/>
      <c r="Y30" s="327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273"/>
      <c r="Q31" s="1527" t="str">
        <f t="shared" si="11"/>
        <v>停车位面积</v>
      </c>
      <c r="R31" s="709" t="s">
        <v>17</v>
      </c>
      <c r="S31" s="710" t="e">
        <f t="shared" si="12"/>
        <v>#N/A</v>
      </c>
      <c r="T31" s="709" t="s">
        <v>17</v>
      </c>
      <c r="U31" s="710" t="e">
        <f t="shared" si="13"/>
        <v>#N/A</v>
      </c>
      <c r="V31" s="709" t="s">
        <v>17</v>
      </c>
      <c r="W31" s="710" t="e">
        <f t="shared" si="14"/>
        <v>#N/A</v>
      </c>
      <c r="X31" s="711"/>
      <c r="Y31" s="3273"/>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273" t="s">
        <v>2385</v>
      </c>
      <c r="Q32" s="1536" t="str">
        <f t="shared" si="11"/>
        <v>车位类型</v>
      </c>
      <c r="R32" s="713" t="s">
        <v>17</v>
      </c>
      <c r="S32" s="714">
        <f t="shared" si="12"/>
        <v>100</v>
      </c>
      <c r="T32" s="713" t="s">
        <v>17</v>
      </c>
      <c r="U32" s="714">
        <f t="shared" si="13"/>
        <v>100</v>
      </c>
      <c r="V32" s="713" t="s">
        <v>17</v>
      </c>
      <c r="W32" s="714">
        <f t="shared" si="14"/>
        <v>100</v>
      </c>
      <c r="X32" s="1539"/>
      <c r="Y32" s="327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273"/>
      <c r="Q33" s="1536" t="str">
        <f t="shared" si="11"/>
        <v>是否直接入户</v>
      </c>
      <c r="R33" s="713" t="s">
        <v>17</v>
      </c>
      <c r="S33" s="714">
        <f t="shared" si="12"/>
        <v>100</v>
      </c>
      <c r="T33" s="713" t="s">
        <v>17</v>
      </c>
      <c r="U33" s="714">
        <f t="shared" si="13"/>
        <v>100</v>
      </c>
      <c r="V33" s="713" t="s">
        <v>17</v>
      </c>
      <c r="W33" s="714">
        <f t="shared" si="14"/>
        <v>100</v>
      </c>
      <c r="X33" s="1539"/>
      <c r="Y33" s="327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273"/>
      <c r="Q34" s="1536">
        <f t="shared" si="11"/>
        <v>111</v>
      </c>
      <c r="R34" s="713" t="s">
        <v>17</v>
      </c>
      <c r="S34" s="714">
        <f t="shared" si="12"/>
        <v>100</v>
      </c>
      <c r="T34" s="713" t="s">
        <v>17</v>
      </c>
      <c r="U34" s="714">
        <f t="shared" si="13"/>
        <v>100</v>
      </c>
      <c r="V34" s="713" t="s">
        <v>17</v>
      </c>
      <c r="W34" s="714">
        <f t="shared" si="14"/>
        <v>100</v>
      </c>
      <c r="X34" s="1539"/>
      <c r="Y34" s="327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273"/>
      <c r="Q35" s="715">
        <f t="shared" si="11"/>
        <v>111</v>
      </c>
      <c r="R35" s="716" t="s">
        <v>17</v>
      </c>
      <c r="S35" s="717">
        <f t="shared" si="12"/>
        <v>100</v>
      </c>
      <c r="T35" s="716" t="s">
        <v>17</v>
      </c>
      <c r="U35" s="717">
        <f t="shared" si="13"/>
        <v>100</v>
      </c>
      <c r="V35" s="716" t="s">
        <v>17</v>
      </c>
      <c r="W35" s="717">
        <f t="shared" si="14"/>
        <v>100</v>
      </c>
      <c r="X35" s="718"/>
      <c r="Y35" s="3273"/>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273"/>
      <c r="Q36" s="1536">
        <f t="shared" si="11"/>
        <v>111</v>
      </c>
      <c r="R36" s="713" t="s">
        <v>17</v>
      </c>
      <c r="S36" s="714">
        <f t="shared" si="12"/>
        <v>100</v>
      </c>
      <c r="T36" s="713" t="s">
        <v>17</v>
      </c>
      <c r="U36" s="714">
        <f t="shared" si="13"/>
        <v>100</v>
      </c>
      <c r="V36" s="713" t="s">
        <v>17</v>
      </c>
      <c r="W36" s="714">
        <f t="shared" si="14"/>
        <v>100</v>
      </c>
      <c r="X36" s="1539"/>
      <c r="Y36" s="3273"/>
      <c r="Z36" s="1540">
        <f t="shared" si="15"/>
        <v>111</v>
      </c>
      <c r="AA36" s="1537">
        <f t="shared" si="3"/>
        <v>1</v>
      </c>
      <c r="AB36" s="1537">
        <f t="shared" si="4"/>
        <v>1</v>
      </c>
      <c r="AC36" s="1537">
        <f t="shared" si="5"/>
        <v>1</v>
      </c>
    </row>
    <row r="37" spans="1:29" ht="15">
      <c r="A37" s="438" t="s">
        <v>2540</v>
      </c>
      <c r="B37" s="2156" t="s">
        <v>2541</v>
      </c>
      <c r="C37" s="1315" t="s">
        <v>1</v>
      </c>
      <c r="D37" s="1316"/>
      <c r="E37" s="1317"/>
      <c r="F37" s="1318"/>
      <c r="G37" s="1319"/>
      <c r="H37" s="1320"/>
      <c r="I37" s="1317"/>
      <c r="J37" s="1320"/>
      <c r="K37" s="576"/>
      <c r="L37" s="2936"/>
      <c r="M37" s="2937"/>
      <c r="N37" s="2928"/>
      <c r="O37" s="2937"/>
      <c r="P37" s="3266" t="str">
        <f>A37</f>
        <v>成交单价</v>
      </c>
      <c r="Q37" s="3266"/>
      <c r="R37" s="3267">
        <f>E37</f>
        <v>0</v>
      </c>
      <c r="S37" s="3267"/>
      <c r="T37" s="3267">
        <f>G37</f>
        <v>0</v>
      </c>
      <c r="U37" s="3267"/>
      <c r="V37" s="3267">
        <f>I37</f>
        <v>0</v>
      </c>
      <c r="W37" s="3267"/>
      <c r="X37" s="698"/>
      <c r="Y37" s="720"/>
      <c r="Z37" s="698"/>
      <c r="AA37" s="698"/>
      <c r="AB37" s="698"/>
      <c r="AC37" s="698"/>
    </row>
    <row r="38" spans="1:29" ht="15.75" thickBot="1">
      <c r="A38" s="445" t="s">
        <v>2542</v>
      </c>
      <c r="B38" s="446" t="str">
        <f>B37</f>
        <v>元/车位</v>
      </c>
      <c r="C38" s="1321" t="e">
        <f>R39</f>
        <v>#DIV/0!</v>
      </c>
      <c r="D38" s="2535" t="s">
        <v>2876</v>
      </c>
      <c r="E38" s="1322" t="e">
        <f>R38</f>
        <v>#DIV/0!</v>
      </c>
      <c r="F38" s="2536"/>
      <c r="G38" s="1321" t="e">
        <f>T38</f>
        <v>#DIV/0!</v>
      </c>
      <c r="H38" s="2536"/>
      <c r="I38" s="1322" t="e">
        <f>V38</f>
        <v>#DIV/0!</v>
      </c>
      <c r="J38" s="2536"/>
      <c r="K38" s="2538">
        <f>F38+H38+J38</f>
        <v>0</v>
      </c>
      <c r="L38" s="2936"/>
      <c r="M38" s="2937"/>
      <c r="N38" s="2937"/>
      <c r="O38" s="293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36"/>
      <c r="M39" s="2937"/>
      <c r="N39" s="2937"/>
      <c r="O39" s="2937"/>
      <c r="P39" s="3263" t="str">
        <f>A39</f>
        <v>估价对象XX用房的比较价值（楼面单价，元/平方米）</v>
      </c>
      <c r="Q39" s="3264"/>
      <c r="R39" s="3349" t="e">
        <f>IF(F1="售价",ROUND(IF(D38="简单平均",AVERAGE(R38:W38),R38*F38+T38*H38+V38*J38),0),ROUND(IF(D38="简单平均",AVERAGE(R38:V38),R38*F38+T38*H38+V38*J38),1))</f>
        <v>#DIV/0!</v>
      </c>
      <c r="S39" s="3349"/>
      <c r="T39" s="3349"/>
      <c r="U39" s="3349"/>
      <c r="V39" s="3349"/>
      <c r="W39" s="3349"/>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27" t="s">
        <v>2547</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5">
      <c r="A48" s="462" t="s">
        <v>2548</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ht="15">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75" thickBot="1">
      <c r="A50" s="472" t="s">
        <v>2405</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5">
      <c r="A51" s="478" t="s">
        <v>2370</v>
      </c>
      <c r="B51" s="467"/>
      <c r="C51" s="479" t="s">
        <v>2472</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5.75"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c r="A53" s="484" t="s">
        <v>2408</v>
      </c>
      <c r="B53" s="485" t="s">
        <v>2374</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5.75"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5.75"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5.75"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5.75"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5.75"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5.75"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5.75"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75" thickTop="1">
      <c r="A65" s="491"/>
      <c r="B65" s="495" t="s">
        <v>2423</v>
      </c>
      <c r="C65" s="535" t="s">
        <v>2417</v>
      </c>
      <c r="D65" s="535" t="s">
        <v>2418</v>
      </c>
      <c r="E65" s="535" t="s">
        <v>2419</v>
      </c>
      <c r="F65" s="535" t="s">
        <v>2420</v>
      </c>
      <c r="G65" s="535" t="s">
        <v>2421</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75" thickTop="1">
      <c r="A67" s="491"/>
      <c r="B67" s="503" t="s">
        <v>2509</v>
      </c>
      <c r="C67" s="616" t="s">
        <v>2495</v>
      </c>
      <c r="D67" s="616" t="s">
        <v>2496</v>
      </c>
      <c r="E67" s="616" t="s">
        <v>2497</v>
      </c>
      <c r="F67" s="616" t="s">
        <v>2498</v>
      </c>
      <c r="G67" s="616" t="s">
        <v>2499</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75" thickTop="1">
      <c r="A69" s="491"/>
      <c r="B69" s="495" t="s">
        <v>2429</v>
      </c>
      <c r="C69" s="535" t="s">
        <v>2417</v>
      </c>
      <c r="D69" s="535" t="s">
        <v>2418</v>
      </c>
      <c r="E69" s="535" t="s">
        <v>2419</v>
      </c>
      <c r="F69" s="535" t="s">
        <v>2420</v>
      </c>
      <c r="G69" s="535" t="s">
        <v>2421</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75" thickTop="1">
      <c r="A71" s="491"/>
      <c r="B71" s="495" t="s">
        <v>2549</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5.75"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5.75"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5.75"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5.75"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5.75"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5.75"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7.75" thickTop="1">
      <c r="A79" s="484" t="s">
        <v>2383</v>
      </c>
      <c r="B79" s="485" t="s">
        <v>2550</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1"/>
      <c r="B81" s="495" t="s">
        <v>2551</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5.75"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2436</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2553</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2555</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2556</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5"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5.75"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5"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5.75"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5"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91" t="s">
        <v>2467</v>
      </c>
      <c r="S4" s="3292"/>
      <c r="T4" s="3291" t="s">
        <v>2468</v>
      </c>
      <c r="U4" s="3292"/>
      <c r="V4" s="3297" t="s">
        <v>2469</v>
      </c>
      <c r="W4" s="3297"/>
      <c r="X4" s="1539"/>
      <c r="Y4" s="3291" t="s">
        <v>2471</v>
      </c>
      <c r="Z4" s="3292"/>
      <c r="AA4" s="3278" t="s">
        <v>2467</v>
      </c>
      <c r="AB4" s="3279" t="s">
        <v>2468</v>
      </c>
      <c r="AC4" s="3278" t="s">
        <v>2469</v>
      </c>
    </row>
    <row r="5" spans="1:29" ht="15">
      <c r="A5" s="364"/>
      <c r="B5" s="365"/>
      <c r="C5" s="3300" t="s">
        <v>2362</v>
      </c>
      <c r="D5" s="3301"/>
      <c r="E5" s="3308" t="s">
        <v>2363</v>
      </c>
      <c r="F5" s="3309"/>
      <c r="G5" s="3300" t="s">
        <v>2364</v>
      </c>
      <c r="H5" s="3301"/>
      <c r="I5" s="3300" t="s">
        <v>2365</v>
      </c>
      <c r="J5" s="3301"/>
      <c r="K5" s="567"/>
      <c r="L5" s="2927"/>
      <c r="M5" s="2928"/>
      <c r="N5" s="2928"/>
      <c r="O5" s="2928"/>
      <c r="P5" s="3287"/>
      <c r="Q5" s="3288"/>
      <c r="R5" s="3293"/>
      <c r="S5" s="3294"/>
      <c r="T5" s="3293"/>
      <c r="U5" s="3294"/>
      <c r="V5" s="3297"/>
      <c r="W5" s="3297"/>
      <c r="X5" s="1539"/>
      <c r="Y5" s="3293"/>
      <c r="Z5" s="3294"/>
      <c r="AA5" s="3279"/>
      <c r="AB5" s="3279"/>
      <c r="AC5" s="3279"/>
    </row>
    <row r="6" spans="1:29" ht="15.75" thickBot="1">
      <c r="A6" s="366"/>
      <c r="B6" s="367"/>
      <c r="C6" s="3298" t="s">
        <v>2366</v>
      </c>
      <c r="D6" s="3299"/>
      <c r="E6" s="3306" t="s">
        <v>2366</v>
      </c>
      <c r="F6" s="3307"/>
      <c r="G6" s="3298" t="s">
        <v>2366</v>
      </c>
      <c r="H6" s="3299"/>
      <c r="I6" s="3298" t="s">
        <v>2366</v>
      </c>
      <c r="J6" s="3299"/>
      <c r="K6" s="567" t="s">
        <v>2367</v>
      </c>
      <c r="L6" s="2927"/>
      <c r="M6" s="2928"/>
      <c r="N6" s="2928"/>
      <c r="O6" s="2928"/>
      <c r="P6" s="3289"/>
      <c r="Q6" s="3290"/>
      <c r="R6" s="3293"/>
      <c r="S6" s="3294"/>
      <c r="T6" s="3295"/>
      <c r="U6" s="3296"/>
      <c r="V6" s="3297"/>
      <c r="W6" s="3297"/>
      <c r="X6" s="1539"/>
      <c r="Y6" s="3295"/>
      <c r="Z6" s="3296"/>
      <c r="AA6" s="3280"/>
      <c r="AB6" s="3280"/>
      <c r="AC6" s="3280"/>
    </row>
    <row r="7" spans="1:29" s="113" customFormat="1" ht="15.75" thickBot="1">
      <c r="A7" s="368" t="s">
        <v>2368</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302" t="s">
        <v>2369</v>
      </c>
      <c r="Q7" s="3304"/>
      <c r="R7" s="709" t="s">
        <v>17</v>
      </c>
      <c r="S7" s="710">
        <f t="shared" ref="S7:S14" si="0">F7</f>
        <v>0</v>
      </c>
      <c r="T7" s="709" t="s">
        <v>17</v>
      </c>
      <c r="U7" s="710">
        <f t="shared" ref="U7:U14" si="1">H7</f>
        <v>0</v>
      </c>
      <c r="V7" s="709" t="s">
        <v>17</v>
      </c>
      <c r="W7" s="710">
        <f t="shared" ref="W7:W14" si="2">J7</f>
        <v>0</v>
      </c>
      <c r="X7" s="711"/>
      <c r="Y7" s="3302" t="s">
        <v>2369</v>
      </c>
      <c r="Z7" s="3303"/>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302" t="s">
        <v>2372</v>
      </c>
      <c r="Q8" s="3303"/>
      <c r="R8" s="709" t="s">
        <v>17</v>
      </c>
      <c r="S8" s="710">
        <f t="shared" si="0"/>
        <v>0</v>
      </c>
      <c r="T8" s="709" t="s">
        <v>17</v>
      </c>
      <c r="U8" s="710">
        <f t="shared" si="1"/>
        <v>0</v>
      </c>
      <c r="V8" s="709" t="s">
        <v>17</v>
      </c>
      <c r="W8" s="710">
        <f t="shared" si="2"/>
        <v>0</v>
      </c>
      <c r="X8" s="711"/>
      <c r="Y8" s="3302" t="s">
        <v>2372</v>
      </c>
      <c r="Z8" s="3303"/>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66" t="s">
        <v>2375</v>
      </c>
      <c r="Q9" s="1527" t="str">
        <f t="shared" ref="Q9:Q14" si="6">B9</f>
        <v>用途</v>
      </c>
      <c r="R9" s="709" t="s">
        <v>17</v>
      </c>
      <c r="S9" s="710">
        <f t="shared" si="0"/>
        <v>100</v>
      </c>
      <c r="T9" s="709" t="s">
        <v>17</v>
      </c>
      <c r="U9" s="710">
        <f t="shared" si="1"/>
        <v>100</v>
      </c>
      <c r="V9" s="709" t="s">
        <v>17</v>
      </c>
      <c r="W9" s="710">
        <f t="shared" si="2"/>
        <v>100</v>
      </c>
      <c r="X9" s="711"/>
      <c r="Y9" s="3159"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66"/>
      <c r="Q10" s="1527" t="str">
        <f t="shared" si="6"/>
        <v>土地使用年限（年）</v>
      </c>
      <c r="R10" s="709" t="s">
        <v>17</v>
      </c>
      <c r="S10" s="710">
        <f t="shared" si="0"/>
        <v>100</v>
      </c>
      <c r="T10" s="709" t="s">
        <v>17</v>
      </c>
      <c r="U10" s="710">
        <f t="shared" si="1"/>
        <v>100</v>
      </c>
      <c r="V10" s="709" t="s">
        <v>17</v>
      </c>
      <c r="W10" s="710">
        <f t="shared" si="2"/>
        <v>100</v>
      </c>
      <c r="X10" s="711"/>
      <c r="Y10" s="3159"/>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66"/>
      <c r="Q11" s="1527">
        <f t="shared" si="6"/>
        <v>111</v>
      </c>
      <c r="R11" s="709" t="s">
        <v>17</v>
      </c>
      <c r="S11" s="710">
        <f t="shared" si="0"/>
        <v>100</v>
      </c>
      <c r="T11" s="709" t="s">
        <v>17</v>
      </c>
      <c r="U11" s="710">
        <f t="shared" si="1"/>
        <v>100</v>
      </c>
      <c r="V11" s="709" t="s">
        <v>17</v>
      </c>
      <c r="W11" s="710">
        <f t="shared" si="2"/>
        <v>100</v>
      </c>
      <c r="X11" s="711"/>
      <c r="Y11" s="3159"/>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66"/>
      <c r="Q12" s="1527">
        <f t="shared" si="6"/>
        <v>111</v>
      </c>
      <c r="R12" s="709" t="s">
        <v>17</v>
      </c>
      <c r="S12" s="710">
        <f t="shared" si="0"/>
        <v>100</v>
      </c>
      <c r="T12" s="709" t="s">
        <v>17</v>
      </c>
      <c r="U12" s="710">
        <f t="shared" si="1"/>
        <v>100</v>
      </c>
      <c r="V12" s="709" t="s">
        <v>17</v>
      </c>
      <c r="W12" s="710">
        <f t="shared" si="2"/>
        <v>100</v>
      </c>
      <c r="X12" s="711"/>
      <c r="Y12" s="3159"/>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66"/>
      <c r="Q13" s="1527">
        <f t="shared" si="6"/>
        <v>111</v>
      </c>
      <c r="R13" s="709" t="s">
        <v>17</v>
      </c>
      <c r="S13" s="710">
        <f t="shared" si="0"/>
        <v>100</v>
      </c>
      <c r="T13" s="709" t="s">
        <v>17</v>
      </c>
      <c r="U13" s="710">
        <f t="shared" si="1"/>
        <v>100</v>
      </c>
      <c r="V13" s="709" t="s">
        <v>17</v>
      </c>
      <c r="W13" s="710">
        <f t="shared" si="2"/>
        <v>100</v>
      </c>
      <c r="X13" s="711"/>
      <c r="Y13" s="3159"/>
      <c r="Z13" s="55">
        <f t="shared" si="7"/>
        <v>111</v>
      </c>
      <c r="AA13" s="712">
        <f t="shared" si="3"/>
        <v>1</v>
      </c>
      <c r="AB13" s="712">
        <f t="shared" si="4"/>
        <v>1</v>
      </c>
      <c r="AC13" s="712">
        <f t="shared" si="5"/>
        <v>1</v>
      </c>
    </row>
    <row r="14" spans="1:29" ht="15">
      <c r="A14" s="399" t="s">
        <v>2379</v>
      </c>
      <c r="B14" s="65" t="s">
        <v>2529</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268" t="s">
        <v>2380</v>
      </c>
      <c r="Q14" s="1536" t="str">
        <f t="shared" si="6"/>
        <v>交通便捷度</v>
      </c>
      <c r="R14" s="713" t="s">
        <v>17</v>
      </c>
      <c r="S14" s="714">
        <f t="shared" si="0"/>
        <v>100</v>
      </c>
      <c r="T14" s="713" t="s">
        <v>17</v>
      </c>
      <c r="U14" s="714">
        <f t="shared" si="1"/>
        <v>100</v>
      </c>
      <c r="V14" s="713" t="s">
        <v>17</v>
      </c>
      <c r="W14" s="714">
        <f t="shared" si="2"/>
        <v>100</v>
      </c>
      <c r="X14" s="1539"/>
      <c r="Y14" s="326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269"/>
      <c r="Q15" s="1536"/>
      <c r="R15" s="713"/>
      <c r="S15" s="714"/>
      <c r="T15" s="713"/>
      <c r="U15" s="714"/>
      <c r="V15" s="713"/>
      <c r="W15" s="714"/>
      <c r="X15" s="1539"/>
      <c r="Y15" s="3269"/>
      <c r="Z15" s="1540"/>
      <c r="AA15" s="1537">
        <v>1</v>
      </c>
      <c r="AB15" s="1537">
        <v>1</v>
      </c>
      <c r="AC15" s="1537">
        <v>1</v>
      </c>
    </row>
    <row r="16" spans="1:29" ht="15">
      <c r="A16" s="387"/>
      <c r="B16" s="410" t="s">
        <v>2508</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269"/>
      <c r="Q16" s="1536" t="str">
        <f>B16</f>
        <v>公共配套设施</v>
      </c>
      <c r="R16" s="713" t="s">
        <v>17</v>
      </c>
      <c r="S16" s="714">
        <f>F16</f>
        <v>100</v>
      </c>
      <c r="T16" s="713" t="s">
        <v>17</v>
      </c>
      <c r="U16" s="714">
        <f>H16</f>
        <v>100</v>
      </c>
      <c r="V16" s="713" t="s">
        <v>17</v>
      </c>
      <c r="W16" s="714">
        <f>J16</f>
        <v>100</v>
      </c>
      <c r="X16" s="1539"/>
      <c r="Y16" s="3269"/>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269"/>
      <c r="Q17" s="1536"/>
      <c r="R17" s="713"/>
      <c r="S17" s="714"/>
      <c r="T17" s="713"/>
      <c r="U17" s="714"/>
      <c r="V17" s="713"/>
      <c r="W17" s="714"/>
      <c r="X17" s="1539"/>
      <c r="Y17" s="3269"/>
      <c r="Z17" s="1540"/>
      <c r="AA17" s="1537">
        <v>1</v>
      </c>
      <c r="AB17" s="1537">
        <v>1</v>
      </c>
      <c r="AC17" s="1537">
        <v>1</v>
      </c>
    </row>
    <row r="18" spans="1:29" ht="15">
      <c r="A18" s="387"/>
      <c r="B18" s="1292" t="s">
        <v>2509</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269"/>
      <c r="Q18" s="1536" t="str">
        <f>B18</f>
        <v>基础设施水平</v>
      </c>
      <c r="R18" s="713" t="s">
        <v>17</v>
      </c>
      <c r="S18" s="714">
        <f>F18</f>
        <v>100</v>
      </c>
      <c r="T18" s="713" t="s">
        <v>17</v>
      </c>
      <c r="U18" s="714">
        <f>H18</f>
        <v>100</v>
      </c>
      <c r="V18" s="713" t="s">
        <v>17</v>
      </c>
      <c r="W18" s="714">
        <f>J18</f>
        <v>100</v>
      </c>
      <c r="X18" s="1539"/>
      <c r="Y18" s="3269"/>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269"/>
      <c r="Q19" s="1536"/>
      <c r="R19" s="713"/>
      <c r="S19" s="714"/>
      <c r="T19" s="713"/>
      <c r="U19" s="714"/>
      <c r="V19" s="713"/>
      <c r="W19" s="714"/>
      <c r="X19" s="1539"/>
      <c r="Y19" s="3269"/>
      <c r="Z19" s="1540"/>
      <c r="AA19" s="1537">
        <v>1</v>
      </c>
      <c r="AB19" s="1537">
        <v>1</v>
      </c>
      <c r="AC19" s="1537">
        <v>1</v>
      </c>
    </row>
    <row r="20" spans="1:29" ht="15">
      <c r="A20" s="387"/>
      <c r="B20" s="410" t="s">
        <v>2530</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269"/>
      <c r="Q20" s="1536" t="str">
        <f>B20</f>
        <v>自然及人文环境</v>
      </c>
      <c r="R20" s="713" t="s">
        <v>17</v>
      </c>
      <c r="S20" s="714">
        <f>F20</f>
        <v>100</v>
      </c>
      <c r="T20" s="713" t="s">
        <v>17</v>
      </c>
      <c r="U20" s="714">
        <f>H20</f>
        <v>100</v>
      </c>
      <c r="V20" s="713" t="s">
        <v>17</v>
      </c>
      <c r="W20" s="714">
        <f>J20</f>
        <v>100</v>
      </c>
      <c r="X20" s="1539"/>
      <c r="Y20" s="326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269"/>
      <c r="Q21" s="1536"/>
      <c r="R21" s="713"/>
      <c r="S21" s="714"/>
      <c r="T21" s="713"/>
      <c r="U21" s="714"/>
      <c r="V21" s="713"/>
      <c r="W21" s="714"/>
      <c r="X21" s="1539"/>
      <c r="Y21" s="326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269"/>
      <c r="Q22" s="1536" t="str">
        <f>B22</f>
        <v>楼层</v>
      </c>
      <c r="R22" s="713" t="s">
        <v>17</v>
      </c>
      <c r="S22" s="714">
        <f>F22</f>
        <v>100</v>
      </c>
      <c r="T22" s="713" t="s">
        <v>17</v>
      </c>
      <c r="U22" s="714">
        <f>H22</f>
        <v>100</v>
      </c>
      <c r="V22" s="713" t="s">
        <v>17</v>
      </c>
      <c r="W22" s="714">
        <f>J22</f>
        <v>100</v>
      </c>
      <c r="X22" s="1539"/>
      <c r="Y22" s="3269"/>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269"/>
      <c r="Q23" s="1536">
        <f>B23</f>
        <v>111</v>
      </c>
      <c r="R23" s="713" t="s">
        <v>17</v>
      </c>
      <c r="S23" s="714">
        <f>F23</f>
        <v>100</v>
      </c>
      <c r="T23" s="713" t="s">
        <v>17</v>
      </c>
      <c r="U23" s="714">
        <f>H23</f>
        <v>100</v>
      </c>
      <c r="V23" s="713" t="s">
        <v>17</v>
      </c>
      <c r="W23" s="714">
        <f>J23</f>
        <v>100</v>
      </c>
      <c r="X23" s="1539"/>
      <c r="Y23" s="3269"/>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269"/>
      <c r="Q24" s="1536">
        <f t="shared" ref="Q24:Q34" si="11">B24</f>
        <v>111</v>
      </c>
      <c r="R24" s="713" t="s">
        <v>17</v>
      </c>
      <c r="S24" s="714">
        <f>F24</f>
        <v>100</v>
      </c>
      <c r="T24" s="713" t="s">
        <v>17</v>
      </c>
      <c r="U24" s="714">
        <f>H24</f>
        <v>100</v>
      </c>
      <c r="V24" s="713" t="s">
        <v>17</v>
      </c>
      <c r="W24" s="714">
        <f>J24</f>
        <v>100</v>
      </c>
      <c r="X24" s="1539"/>
      <c r="Y24" s="3269"/>
      <c r="Z24" s="1540">
        <f>Q24</f>
        <v>111</v>
      </c>
      <c r="AA24" s="1537">
        <f t="shared" si="3"/>
        <v>1</v>
      </c>
      <c r="AB24" s="1537">
        <f t="shared" si="4"/>
        <v>1</v>
      </c>
      <c r="AC24" s="1537">
        <f t="shared" si="5"/>
        <v>1</v>
      </c>
    </row>
    <row r="25" spans="1:29" s="113" customFormat="1" ht="15.75"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269"/>
      <c r="Q25" s="1527">
        <f t="shared" si="11"/>
        <v>111</v>
      </c>
      <c r="R25" s="709" t="s">
        <v>17</v>
      </c>
      <c r="S25" s="710">
        <f>F25</f>
        <v>100</v>
      </c>
      <c r="T25" s="709" t="s">
        <v>17</v>
      </c>
      <c r="U25" s="710">
        <f>H25</f>
        <v>100</v>
      </c>
      <c r="V25" s="709" t="s">
        <v>17</v>
      </c>
      <c r="W25" s="710">
        <f>J25</f>
        <v>100</v>
      </c>
      <c r="X25" s="711"/>
      <c r="Y25" s="3269"/>
      <c r="Z25" s="55">
        <f>Q25</f>
        <v>111</v>
      </c>
      <c r="AA25" s="1537">
        <f>D25/F25</f>
        <v>1</v>
      </c>
      <c r="AB25" s="1537">
        <f>D25/H25</f>
        <v>1</v>
      </c>
      <c r="AC25" s="1537">
        <f>D25/J25</f>
        <v>1</v>
      </c>
    </row>
    <row r="26" spans="1:29" ht="28.5">
      <c r="A26" s="425" t="s">
        <v>2383</v>
      </c>
      <c r="B26" s="67" t="s">
        <v>2534</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48"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27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273"/>
      <c r="Q27" s="715" t="str">
        <f t="shared" si="11"/>
        <v>成新率</v>
      </c>
      <c r="R27" s="716" t="s">
        <v>17</v>
      </c>
      <c r="S27" s="717" t="e">
        <f t="shared" si="12"/>
        <v>#N/A</v>
      </c>
      <c r="T27" s="716" t="s">
        <v>17</v>
      </c>
      <c r="U27" s="717" t="e">
        <f t="shared" si="13"/>
        <v>#N/A</v>
      </c>
      <c r="V27" s="716" t="s">
        <v>17</v>
      </c>
      <c r="W27" s="717" t="e">
        <f t="shared" si="14"/>
        <v>#N/A</v>
      </c>
      <c r="X27" s="718"/>
      <c r="Y27" s="3273"/>
      <c r="Z27" s="719"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273"/>
      <c r="Q28" s="1536" t="str">
        <f t="shared" si="11"/>
        <v>物业等级</v>
      </c>
      <c r="R28" s="713" t="s">
        <v>17</v>
      </c>
      <c r="S28" s="714">
        <f t="shared" si="12"/>
        <v>100</v>
      </c>
      <c r="T28" s="713" t="s">
        <v>17</v>
      </c>
      <c r="U28" s="714">
        <f t="shared" si="13"/>
        <v>100</v>
      </c>
      <c r="V28" s="713" t="s">
        <v>17</v>
      </c>
      <c r="W28" s="714">
        <f t="shared" si="14"/>
        <v>100</v>
      </c>
      <c r="X28" s="1539"/>
      <c r="Y28" s="327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273"/>
      <c r="Q29" s="1536" t="str">
        <f t="shared" si="11"/>
        <v>有无电梯</v>
      </c>
      <c r="R29" s="713" t="s">
        <v>17</v>
      </c>
      <c r="S29" s="714">
        <f t="shared" si="12"/>
        <v>100</v>
      </c>
      <c r="T29" s="713" t="s">
        <v>17</v>
      </c>
      <c r="U29" s="714">
        <f t="shared" si="13"/>
        <v>100</v>
      </c>
      <c r="V29" s="713" t="s">
        <v>17</v>
      </c>
      <c r="W29" s="714">
        <f t="shared" si="14"/>
        <v>100</v>
      </c>
      <c r="X29" s="1539"/>
      <c r="Y29" s="327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273"/>
      <c r="Q30" s="1536" t="str">
        <f t="shared" si="11"/>
        <v>建筑面积</v>
      </c>
      <c r="R30" s="713" t="s">
        <v>17</v>
      </c>
      <c r="S30" s="714" t="e">
        <f t="shared" si="12"/>
        <v>#N/A</v>
      </c>
      <c r="T30" s="713" t="s">
        <v>17</v>
      </c>
      <c r="U30" s="714" t="e">
        <f t="shared" si="13"/>
        <v>#N/A</v>
      </c>
      <c r="V30" s="713" t="s">
        <v>17</v>
      </c>
      <c r="W30" s="714" t="e">
        <f t="shared" si="14"/>
        <v>#N/A</v>
      </c>
      <c r="X30" s="1539"/>
      <c r="Y30" s="327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273"/>
      <c r="Q31" s="1527" t="str">
        <f t="shared" si="11"/>
        <v>是否封闭</v>
      </c>
      <c r="R31" s="709" t="s">
        <v>17</v>
      </c>
      <c r="S31" s="710">
        <f t="shared" si="12"/>
        <v>100</v>
      </c>
      <c r="T31" s="709" t="s">
        <v>17</v>
      </c>
      <c r="U31" s="710">
        <f t="shared" si="13"/>
        <v>100</v>
      </c>
      <c r="V31" s="709" t="s">
        <v>17</v>
      </c>
      <c r="W31" s="710">
        <f t="shared" si="14"/>
        <v>100</v>
      </c>
      <c r="X31" s="711"/>
      <c r="Y31" s="3273"/>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273" t="s">
        <v>2385</v>
      </c>
      <c r="Q32" s="1536">
        <f t="shared" si="11"/>
        <v>111</v>
      </c>
      <c r="R32" s="713" t="s">
        <v>17</v>
      </c>
      <c r="S32" s="714">
        <f t="shared" si="12"/>
        <v>100</v>
      </c>
      <c r="T32" s="713" t="s">
        <v>17</v>
      </c>
      <c r="U32" s="714">
        <f t="shared" si="13"/>
        <v>100</v>
      </c>
      <c r="V32" s="713" t="s">
        <v>17</v>
      </c>
      <c r="W32" s="714">
        <f t="shared" si="14"/>
        <v>100</v>
      </c>
      <c r="X32" s="1539"/>
      <c r="Y32" s="3273"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273"/>
      <c r="Q33" s="1536">
        <f t="shared" si="11"/>
        <v>111</v>
      </c>
      <c r="R33" s="713" t="s">
        <v>17</v>
      </c>
      <c r="S33" s="714">
        <f t="shared" si="12"/>
        <v>100</v>
      </c>
      <c r="T33" s="713" t="s">
        <v>17</v>
      </c>
      <c r="U33" s="714">
        <f t="shared" si="13"/>
        <v>100</v>
      </c>
      <c r="V33" s="713" t="s">
        <v>17</v>
      </c>
      <c r="W33" s="714">
        <f t="shared" si="14"/>
        <v>100</v>
      </c>
      <c r="X33" s="1539"/>
      <c r="Y33" s="3273"/>
      <c r="Z33" s="1540">
        <f t="shared" si="15"/>
        <v>111</v>
      </c>
      <c r="AA33" s="1537">
        <f t="shared" si="3"/>
        <v>1</v>
      </c>
      <c r="AB33" s="1537">
        <f t="shared" si="4"/>
        <v>1</v>
      </c>
      <c r="AC33" s="1537">
        <f t="shared" si="5"/>
        <v>1</v>
      </c>
    </row>
    <row r="34" spans="1:30" ht="15.75"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273"/>
      <c r="Q34" s="1536">
        <f t="shared" si="11"/>
        <v>111</v>
      </c>
      <c r="R34" s="713" t="s">
        <v>17</v>
      </c>
      <c r="S34" s="714">
        <f t="shared" si="12"/>
        <v>100</v>
      </c>
      <c r="T34" s="713" t="s">
        <v>17</v>
      </c>
      <c r="U34" s="714">
        <f t="shared" si="13"/>
        <v>100</v>
      </c>
      <c r="V34" s="713" t="s">
        <v>17</v>
      </c>
      <c r="W34" s="714">
        <f t="shared" si="14"/>
        <v>100</v>
      </c>
      <c r="X34" s="1539"/>
      <c r="Y34" s="3273"/>
      <c r="Z34" s="1540">
        <f t="shared" si="15"/>
        <v>111</v>
      </c>
      <c r="AA34" s="1537">
        <f t="shared" si="3"/>
        <v>1</v>
      </c>
      <c r="AB34" s="1537">
        <f t="shared" si="4"/>
        <v>1</v>
      </c>
      <c r="AC34" s="1537">
        <f t="shared" si="5"/>
        <v>1</v>
      </c>
    </row>
    <row r="35" spans="1:30" ht="15">
      <c r="A35" s="438" t="s">
        <v>2397</v>
      </c>
      <c r="B35" s="439"/>
      <c r="C35" s="1315" t="s">
        <v>1</v>
      </c>
      <c r="D35" s="1316"/>
      <c r="E35" s="1317"/>
      <c r="F35" s="1318"/>
      <c r="G35" s="1319"/>
      <c r="H35" s="1320"/>
      <c r="I35" s="1317"/>
      <c r="J35" s="1320"/>
      <c r="K35" s="722"/>
      <c r="L35" s="2936"/>
      <c r="M35" s="2937"/>
      <c r="N35" s="2928"/>
      <c r="O35" s="2937"/>
      <c r="P35" s="3266" t="str">
        <f>A35</f>
        <v>成交单价（元/平方米）</v>
      </c>
      <c r="Q35" s="3266"/>
      <c r="R35" s="3267">
        <f>E35</f>
        <v>0</v>
      </c>
      <c r="S35" s="3267"/>
      <c r="T35" s="3267">
        <f>G35</f>
        <v>0</v>
      </c>
      <c r="U35" s="3267"/>
      <c r="V35" s="3267">
        <f>I35</f>
        <v>0</v>
      </c>
      <c r="W35" s="3267"/>
      <c r="X35" s="698"/>
      <c r="Y35" s="720"/>
      <c r="Z35" s="698"/>
      <c r="AA35" s="698"/>
      <c r="AB35" s="698"/>
      <c r="AC35" s="698"/>
    </row>
    <row r="36" spans="1:30" ht="15.75" thickBot="1">
      <c r="A36" s="445" t="s">
        <v>2489</v>
      </c>
      <c r="B36" s="446"/>
      <c r="C36" s="1321" t="e">
        <f>R37</f>
        <v>#DIV/0!</v>
      </c>
      <c r="D36" s="2535" t="s">
        <v>2876</v>
      </c>
      <c r="E36" s="1322" t="e">
        <f>R36</f>
        <v>#DIV/0!</v>
      </c>
      <c r="F36" s="2536"/>
      <c r="G36" s="1321" t="e">
        <f>T36</f>
        <v>#DIV/0!</v>
      </c>
      <c r="H36" s="2536"/>
      <c r="I36" s="1322" t="e">
        <f>V36</f>
        <v>#DIV/0!</v>
      </c>
      <c r="J36" s="2536"/>
      <c r="K36" s="2538">
        <f>F36+H36+J36</f>
        <v>0</v>
      </c>
      <c r="L36" s="2936"/>
      <c r="M36" s="2937"/>
      <c r="N36" s="2928"/>
      <c r="O36" s="293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36"/>
      <c r="M37" s="2937"/>
      <c r="N37" s="2937"/>
      <c r="O37" s="2937"/>
      <c r="P37" s="3263" t="str">
        <f>A37</f>
        <v>估价对象XX用房的比较价值（楼面单价，元/平方米）</v>
      </c>
      <c r="Q37" s="3264"/>
      <c r="R37" s="3349" t="e">
        <f>IF(F1="售价",ROUND(IF(D36="简单平均",AVERAGE(R36:W36),R36*F36+T36*H36+V36*J36),0),ROUND(IF(D36="简单平均",AVERAGE(R36:V36),R36*F36+T36*H36+V36*J36),1))</f>
        <v>#DIV/0!</v>
      </c>
      <c r="S37" s="3349"/>
      <c r="T37" s="3349"/>
      <c r="U37" s="3349"/>
      <c r="V37" s="3349"/>
      <c r="W37" s="3349"/>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2" t="s">
        <v>2494</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5">
      <c r="A46" s="462" t="s">
        <v>2368</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ht="15">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75" thickBot="1">
      <c r="A48" s="472" t="s">
        <v>2405</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5">
      <c r="A49" s="478" t="s">
        <v>2370</v>
      </c>
      <c r="B49" s="467"/>
      <c r="C49" s="479" t="s">
        <v>2472</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c r="A51" s="484" t="s">
        <v>2408</v>
      </c>
      <c r="B51" s="485" t="s">
        <v>2374</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5.75"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5.75"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5.75"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5.75"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5.75"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5.75"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5.75"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7.75" thickTop="1">
      <c r="A63" s="491"/>
      <c r="B63" s="495" t="s">
        <v>2560</v>
      </c>
      <c r="C63" s="535" t="s">
        <v>2417</v>
      </c>
      <c r="D63" s="535" t="s">
        <v>2418</v>
      </c>
      <c r="E63" s="535" t="s">
        <v>2419</v>
      </c>
      <c r="F63" s="535" t="s">
        <v>2420</v>
      </c>
      <c r="G63" s="535" t="s">
        <v>2421</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75" thickTop="1">
      <c r="A65" s="491"/>
      <c r="B65" s="503" t="s">
        <v>2509</v>
      </c>
      <c r="C65" s="616" t="s">
        <v>2495</v>
      </c>
      <c r="D65" s="616" t="s">
        <v>2496</v>
      </c>
      <c r="E65" s="616" t="s">
        <v>2497</v>
      </c>
      <c r="F65" s="616" t="s">
        <v>2498</v>
      </c>
      <c r="G65" s="616" t="s">
        <v>2499</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75" thickTop="1">
      <c r="A67" s="491"/>
      <c r="B67" s="495" t="s">
        <v>2429</v>
      </c>
      <c r="C67" s="535" t="s">
        <v>2417</v>
      </c>
      <c r="D67" s="535" t="s">
        <v>2418</v>
      </c>
      <c r="E67" s="535" t="s">
        <v>2419</v>
      </c>
      <c r="F67" s="535" t="s">
        <v>2420</v>
      </c>
      <c r="G67" s="535" t="s">
        <v>2421</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75" thickTop="1">
      <c r="A69" s="491"/>
      <c r="B69" s="495" t="s">
        <v>2549</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5.75"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5.75"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5.75"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2383</v>
      </c>
      <c r="B77" s="485" t="s">
        <v>2436</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ht="15">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2553</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2561</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5.75"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2563</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5.75"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5"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5.75"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5"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5.75"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5"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5.75"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91" t="s">
        <v>2467</v>
      </c>
      <c r="S4" s="3292"/>
      <c r="T4" s="3291" t="s">
        <v>2468</v>
      </c>
      <c r="U4" s="3292"/>
      <c r="V4" s="3297" t="s">
        <v>2469</v>
      </c>
      <c r="W4" s="3297"/>
      <c r="X4" s="1539"/>
      <c r="Y4" s="3291" t="s">
        <v>2471</v>
      </c>
      <c r="Z4" s="3292"/>
      <c r="AA4" s="3278" t="s">
        <v>2467</v>
      </c>
      <c r="AB4" s="3279" t="s">
        <v>2468</v>
      </c>
      <c r="AC4" s="3278" t="s">
        <v>2469</v>
      </c>
    </row>
    <row r="5" spans="1:30" ht="15">
      <c r="A5" s="364"/>
      <c r="B5" s="365"/>
      <c r="C5" s="3300" t="s">
        <v>2362</v>
      </c>
      <c r="D5" s="3301"/>
      <c r="E5" s="3308" t="s">
        <v>2363</v>
      </c>
      <c r="F5" s="3309"/>
      <c r="G5" s="3300" t="s">
        <v>2364</v>
      </c>
      <c r="H5" s="3301"/>
      <c r="I5" s="3300" t="s">
        <v>2365</v>
      </c>
      <c r="J5" s="3301"/>
      <c r="K5" s="567"/>
      <c r="L5" s="2927"/>
      <c r="M5" s="2928"/>
      <c r="N5" s="2928"/>
      <c r="O5" s="2928"/>
      <c r="P5" s="3287"/>
      <c r="Q5" s="3288"/>
      <c r="R5" s="3293"/>
      <c r="S5" s="3294"/>
      <c r="T5" s="3293"/>
      <c r="U5" s="3294"/>
      <c r="V5" s="3297"/>
      <c r="W5" s="3297"/>
      <c r="X5" s="1539"/>
      <c r="Y5" s="3293"/>
      <c r="Z5" s="3294"/>
      <c r="AA5" s="3279"/>
      <c r="AB5" s="3279"/>
      <c r="AC5" s="3279"/>
    </row>
    <row r="6" spans="1:30" ht="15.75" thickBot="1">
      <c r="A6" s="366"/>
      <c r="B6" s="367"/>
      <c r="C6" s="3298" t="s">
        <v>2366</v>
      </c>
      <c r="D6" s="3299"/>
      <c r="E6" s="3306" t="s">
        <v>2366</v>
      </c>
      <c r="F6" s="3307"/>
      <c r="G6" s="3298" t="s">
        <v>2366</v>
      </c>
      <c r="H6" s="3299"/>
      <c r="I6" s="3298" t="s">
        <v>2366</v>
      </c>
      <c r="J6" s="3299"/>
      <c r="K6" s="567" t="s">
        <v>2367</v>
      </c>
      <c r="L6" s="2927"/>
      <c r="M6" s="2928"/>
      <c r="N6" s="2928"/>
      <c r="O6" s="2928"/>
      <c r="P6" s="3289"/>
      <c r="Q6" s="3290"/>
      <c r="R6" s="3293"/>
      <c r="S6" s="3294"/>
      <c r="T6" s="3295"/>
      <c r="U6" s="3296"/>
      <c r="V6" s="3297"/>
      <c r="W6" s="3297"/>
      <c r="X6" s="1539"/>
      <c r="Y6" s="3295"/>
      <c r="Z6" s="3296"/>
      <c r="AA6" s="3280"/>
      <c r="AB6" s="3280"/>
      <c r="AC6" s="3280"/>
    </row>
    <row r="7" spans="1:30" s="113" customFormat="1" ht="15.75" thickBot="1">
      <c r="A7" s="368" t="s">
        <v>2368</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302" t="s">
        <v>2369</v>
      </c>
      <c r="Q7" s="3304"/>
      <c r="R7" s="709" t="s">
        <v>17</v>
      </c>
      <c r="S7" s="710">
        <f t="shared" ref="S7:S15" si="0">F7</f>
        <v>0</v>
      </c>
      <c r="T7" s="709" t="s">
        <v>17</v>
      </c>
      <c r="U7" s="710">
        <f t="shared" ref="U7:U15" si="1">H7</f>
        <v>0</v>
      </c>
      <c r="V7" s="709" t="s">
        <v>17</v>
      </c>
      <c r="W7" s="710">
        <f t="shared" ref="W7:W15" si="2">J7</f>
        <v>0</v>
      </c>
      <c r="X7" s="711"/>
      <c r="Y7" s="3302" t="s">
        <v>2369</v>
      </c>
      <c r="Z7" s="3303"/>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302" t="s">
        <v>2372</v>
      </c>
      <c r="Q8" s="3303"/>
      <c r="R8" s="709" t="s">
        <v>17</v>
      </c>
      <c r="S8" s="710">
        <f t="shared" si="0"/>
        <v>0</v>
      </c>
      <c r="T8" s="709" t="s">
        <v>17</v>
      </c>
      <c r="U8" s="710">
        <f t="shared" si="1"/>
        <v>0</v>
      </c>
      <c r="V8" s="709" t="s">
        <v>17</v>
      </c>
      <c r="W8" s="710">
        <f t="shared" si="2"/>
        <v>0</v>
      </c>
      <c r="X8" s="711"/>
      <c r="Y8" s="3302" t="s">
        <v>2372</v>
      </c>
      <c r="Z8" s="3303"/>
      <c r="AA8" s="712" t="e">
        <f t="shared" ref="AA8:AA45" si="3">D8/F8</f>
        <v>#DIV/0!</v>
      </c>
      <c r="AB8" s="712" t="e">
        <f t="shared" ref="AB8:AB45" si="4">D8/H8</f>
        <v>#DIV/0!</v>
      </c>
      <c r="AC8" s="712" t="e">
        <f t="shared" ref="AC8:AC45" si="5">D8/J8</f>
        <v>#DIV/0!</v>
      </c>
    </row>
    <row r="9" spans="1:30" s="113" customFormat="1">
      <c r="A9" s="375" t="s">
        <v>2373</v>
      </c>
      <c r="B9" s="67" t="s">
        <v>2374</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66" t="s">
        <v>2375</v>
      </c>
      <c r="Q9" s="1527" t="str">
        <f t="shared" ref="Q9:Q15" si="6">B9</f>
        <v>用途</v>
      </c>
      <c r="R9" s="709" t="s">
        <v>17</v>
      </c>
      <c r="S9" s="710">
        <f t="shared" si="0"/>
        <v>100</v>
      </c>
      <c r="T9" s="709" t="s">
        <v>17</v>
      </c>
      <c r="U9" s="710">
        <f t="shared" si="1"/>
        <v>100</v>
      </c>
      <c r="V9" s="709" t="s">
        <v>17</v>
      </c>
      <c r="W9" s="710">
        <f t="shared" si="2"/>
        <v>100</v>
      </c>
      <c r="X9" s="711"/>
      <c r="Y9" s="3159"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66"/>
      <c r="Q10" s="1527" t="str">
        <f t="shared" si="6"/>
        <v>土地使用年限（年）</v>
      </c>
      <c r="R10" s="709" t="s">
        <v>17</v>
      </c>
      <c r="S10" s="710">
        <f t="shared" si="0"/>
        <v>105</v>
      </c>
      <c r="T10" s="709" t="s">
        <v>17</v>
      </c>
      <c r="U10" s="710">
        <f t="shared" si="1"/>
        <v>105</v>
      </c>
      <c r="V10" s="709" t="s">
        <v>17</v>
      </c>
      <c r="W10" s="710">
        <f t="shared" si="2"/>
        <v>105</v>
      </c>
      <c r="X10" s="711"/>
      <c r="Y10" s="3159"/>
      <c r="Z10" s="55" t="str">
        <f t="shared" si="7"/>
        <v>土地使用年限（年）</v>
      </c>
      <c r="AA10" s="712">
        <f t="shared" si="3"/>
        <v>0.95238095238095233</v>
      </c>
      <c r="AB10" s="712">
        <f t="shared" si="4"/>
        <v>0.95238095238095233</v>
      </c>
      <c r="AC10" s="712">
        <f t="shared" si="5"/>
        <v>0.95238095238095233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66"/>
      <c r="Q11" s="1527" t="str">
        <f t="shared" si="6"/>
        <v>容积率</v>
      </c>
      <c r="R11" s="709" t="s">
        <v>17</v>
      </c>
      <c r="S11" s="710" t="e">
        <f t="shared" si="0"/>
        <v>#N/A</v>
      </c>
      <c r="T11" s="709" t="s">
        <v>17</v>
      </c>
      <c r="U11" s="710" t="e">
        <f t="shared" si="1"/>
        <v>#N/A</v>
      </c>
      <c r="V11" s="709" t="s">
        <v>17</v>
      </c>
      <c r="W11" s="710" t="e">
        <f t="shared" si="2"/>
        <v>#N/A</v>
      </c>
      <c r="X11" s="711"/>
      <c r="Y11" s="3159"/>
      <c r="Z11" s="55" t="str">
        <f t="shared" si="7"/>
        <v>容积率</v>
      </c>
      <c r="AA11" s="712" t="e">
        <f t="shared" si="3"/>
        <v>#N/A</v>
      </c>
      <c r="AB11" s="712" t="e">
        <f t="shared" si="4"/>
        <v>#N/A</v>
      </c>
      <c r="AC11" s="712"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66"/>
      <c r="Q12" s="1527" t="str">
        <f t="shared" si="6"/>
        <v>配建</v>
      </c>
      <c r="R12" s="709" t="s">
        <v>17</v>
      </c>
      <c r="S12" s="710">
        <f t="shared" si="0"/>
        <v>100</v>
      </c>
      <c r="T12" s="709" t="s">
        <v>17</v>
      </c>
      <c r="U12" s="710">
        <f t="shared" si="1"/>
        <v>100</v>
      </c>
      <c r="V12" s="709" t="s">
        <v>17</v>
      </c>
      <c r="W12" s="710">
        <f t="shared" si="2"/>
        <v>100</v>
      </c>
      <c r="X12" s="711"/>
      <c r="Y12" s="3159"/>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66"/>
      <c r="Q13" s="1527">
        <f t="shared" si="6"/>
        <v>111</v>
      </c>
      <c r="R13" s="709" t="s">
        <v>17</v>
      </c>
      <c r="S13" s="710">
        <f t="shared" si="0"/>
        <v>100</v>
      </c>
      <c r="T13" s="709" t="s">
        <v>17</v>
      </c>
      <c r="U13" s="710">
        <f t="shared" si="1"/>
        <v>100</v>
      </c>
      <c r="V13" s="709" t="s">
        <v>17</v>
      </c>
      <c r="W13" s="710">
        <f t="shared" si="2"/>
        <v>100</v>
      </c>
      <c r="X13" s="711"/>
      <c r="Y13" s="3159"/>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66"/>
      <c r="Q14" s="1527">
        <f t="shared" si="6"/>
        <v>111</v>
      </c>
      <c r="R14" s="709" t="s">
        <v>17</v>
      </c>
      <c r="S14" s="710">
        <f t="shared" si="0"/>
        <v>100</v>
      </c>
      <c r="T14" s="709" t="s">
        <v>17</v>
      </c>
      <c r="U14" s="710">
        <f t="shared" si="1"/>
        <v>100</v>
      </c>
      <c r="V14" s="709" t="s">
        <v>17</v>
      </c>
      <c r="W14" s="710">
        <f t="shared" si="2"/>
        <v>100</v>
      </c>
      <c r="X14" s="711"/>
      <c r="Y14" s="3159"/>
      <c r="Z14" s="55">
        <f t="shared" si="7"/>
        <v>111</v>
      </c>
      <c r="AA14" s="712">
        <f>D14/F14</f>
        <v>1</v>
      </c>
      <c r="AB14" s="712">
        <f>D14/H14</f>
        <v>1</v>
      </c>
      <c r="AC14" s="712">
        <f>D14/J14</f>
        <v>1</v>
      </c>
    </row>
    <row r="15" spans="1:30" ht="15">
      <c r="A15" s="399" t="s">
        <v>2379</v>
      </c>
      <c r="B15" s="65" t="s">
        <v>1942</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268" t="s">
        <v>2380</v>
      </c>
      <c r="Q15" s="1536" t="str">
        <f t="shared" si="6"/>
        <v>居住社区成熟度</v>
      </c>
      <c r="R15" s="713" t="s">
        <v>17</v>
      </c>
      <c r="S15" s="714">
        <f t="shared" si="0"/>
        <v>100</v>
      </c>
      <c r="T15" s="713" t="s">
        <v>17</v>
      </c>
      <c r="U15" s="714">
        <f t="shared" si="1"/>
        <v>100</v>
      </c>
      <c r="V15" s="713" t="s">
        <v>17</v>
      </c>
      <c r="W15" s="714">
        <f t="shared" si="2"/>
        <v>100</v>
      </c>
      <c r="X15" s="1539"/>
      <c r="Y15" s="3268"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269"/>
      <c r="Q16" s="1536"/>
      <c r="R16" s="713"/>
      <c r="S16" s="714"/>
      <c r="T16" s="713"/>
      <c r="U16" s="714"/>
      <c r="V16" s="713"/>
      <c r="W16" s="714"/>
      <c r="X16" s="1539"/>
      <c r="Y16" s="3269"/>
      <c r="Z16" s="1540"/>
      <c r="AA16" s="1537">
        <v>1</v>
      </c>
      <c r="AB16" s="1537">
        <v>1</v>
      </c>
      <c r="AC16" s="1537">
        <v>1</v>
      </c>
    </row>
    <row r="17" spans="1:29" ht="15">
      <c r="A17" s="387"/>
      <c r="B17" s="410" t="s">
        <v>2473</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269"/>
      <c r="Q17" s="1536" t="str">
        <f>B17</f>
        <v>商业繁华度</v>
      </c>
      <c r="R17" s="713" t="s">
        <v>17</v>
      </c>
      <c r="S17" s="714">
        <f>F17</f>
        <v>100</v>
      </c>
      <c r="T17" s="713" t="s">
        <v>17</v>
      </c>
      <c r="U17" s="714">
        <f>H17</f>
        <v>100</v>
      </c>
      <c r="V17" s="713" t="s">
        <v>17</v>
      </c>
      <c r="W17" s="714">
        <f>J17</f>
        <v>100</v>
      </c>
      <c r="X17" s="1539"/>
      <c r="Y17" s="3269"/>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269"/>
      <c r="Q18" s="1536"/>
      <c r="R18" s="713"/>
      <c r="S18" s="714"/>
      <c r="T18" s="713"/>
      <c r="U18" s="714"/>
      <c r="V18" s="713"/>
      <c r="W18" s="714"/>
      <c r="X18" s="1539"/>
      <c r="Y18" s="3269"/>
      <c r="Z18" s="1540"/>
      <c r="AA18" s="1537">
        <v>1</v>
      </c>
      <c r="AB18" s="1537">
        <v>1</v>
      </c>
      <c r="AC18" s="1537">
        <v>1</v>
      </c>
    </row>
    <row r="19" spans="1:29" ht="15">
      <c r="A19" s="387"/>
      <c r="B19" s="410" t="s">
        <v>2507</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269"/>
      <c r="Q19" s="1536" t="str">
        <f>B19</f>
        <v>办公集聚程度</v>
      </c>
      <c r="R19" s="713" t="s">
        <v>17</v>
      </c>
      <c r="S19" s="714">
        <f>F19</f>
        <v>100</v>
      </c>
      <c r="T19" s="713" t="s">
        <v>17</v>
      </c>
      <c r="U19" s="714">
        <f>H19</f>
        <v>100</v>
      </c>
      <c r="V19" s="713" t="s">
        <v>17</v>
      </c>
      <c r="W19" s="714">
        <f>J19</f>
        <v>100</v>
      </c>
      <c r="X19" s="1539"/>
      <c r="Y19" s="3269"/>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269"/>
      <c r="Q20" s="1536"/>
      <c r="R20" s="713"/>
      <c r="S20" s="714"/>
      <c r="T20" s="713"/>
      <c r="U20" s="714"/>
      <c r="V20" s="713"/>
      <c r="W20" s="714"/>
      <c r="X20" s="1539"/>
      <c r="Y20" s="3269"/>
      <c r="Z20" s="1540"/>
      <c r="AA20" s="1537">
        <v>1</v>
      </c>
      <c r="AB20" s="1537">
        <v>1</v>
      </c>
      <c r="AC20" s="1537">
        <v>1</v>
      </c>
    </row>
    <row r="21" spans="1:29" ht="15">
      <c r="A21" s="387"/>
      <c r="B21" s="410" t="s">
        <v>2529</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269"/>
      <c r="Q21" s="1536" t="str">
        <f>B21</f>
        <v>交通便捷度</v>
      </c>
      <c r="R21" s="713" t="s">
        <v>17</v>
      </c>
      <c r="S21" s="714">
        <f>F21</f>
        <v>100</v>
      </c>
      <c r="T21" s="713" t="s">
        <v>17</v>
      </c>
      <c r="U21" s="714">
        <f>H21</f>
        <v>100</v>
      </c>
      <c r="V21" s="713" t="s">
        <v>17</v>
      </c>
      <c r="W21" s="714">
        <f>J21</f>
        <v>100</v>
      </c>
      <c r="X21" s="1539"/>
      <c r="Y21" s="3269"/>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269"/>
      <c r="Q22" s="1536"/>
      <c r="R22" s="713"/>
      <c r="S22" s="714"/>
      <c r="T22" s="713"/>
      <c r="U22" s="714"/>
      <c r="V22" s="713"/>
      <c r="W22" s="714"/>
      <c r="X22" s="1539"/>
      <c r="Y22" s="3269"/>
      <c r="Z22" s="1540"/>
      <c r="AA22" s="1537">
        <v>1</v>
      </c>
      <c r="AB22" s="1537">
        <v>1</v>
      </c>
      <c r="AC22" s="1537">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269"/>
      <c r="Q23" s="1536" t="str">
        <f t="shared" ref="Q23:Q37" si="8">B23</f>
        <v>区域土地利用方向</v>
      </c>
      <c r="R23" s="713" t="s">
        <v>17</v>
      </c>
      <c r="S23" s="714">
        <f>F23</f>
        <v>100</v>
      </c>
      <c r="T23" s="713" t="s">
        <v>17</v>
      </c>
      <c r="U23" s="714">
        <f>H23</f>
        <v>100</v>
      </c>
      <c r="V23" s="713" t="s">
        <v>17</v>
      </c>
      <c r="W23" s="714">
        <f>J23</f>
        <v>100</v>
      </c>
      <c r="X23" s="1539"/>
      <c r="Y23" s="3269"/>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269"/>
      <c r="Q24" s="1536"/>
      <c r="R24" s="713"/>
      <c r="S24" s="714"/>
      <c r="T24" s="713"/>
      <c r="U24" s="714"/>
      <c r="V24" s="713"/>
      <c r="W24" s="714"/>
      <c r="X24" s="1539"/>
      <c r="Y24" s="3269"/>
      <c r="Z24" s="1540"/>
      <c r="AA24" s="1537"/>
      <c r="AB24" s="1537"/>
      <c r="AC24" s="1537"/>
    </row>
    <row r="25" spans="1:29" ht="27">
      <c r="A25" s="364"/>
      <c r="B25" s="1292" t="s">
        <v>2569</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269"/>
      <c r="Q25" s="1536" t="str">
        <f t="shared" si="8"/>
        <v>自然及人文环境状况</v>
      </c>
      <c r="R25" s="713" t="s">
        <v>17</v>
      </c>
      <c r="S25" s="714">
        <f>F25</f>
        <v>100</v>
      </c>
      <c r="T25" s="713" t="s">
        <v>17</v>
      </c>
      <c r="U25" s="714">
        <f>H25</f>
        <v>100</v>
      </c>
      <c r="V25" s="713" t="s">
        <v>17</v>
      </c>
      <c r="W25" s="714">
        <f>J25</f>
        <v>100</v>
      </c>
      <c r="X25" s="1539"/>
      <c r="Y25" s="3269"/>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269"/>
      <c r="Q26" s="1536"/>
      <c r="R26" s="713"/>
      <c r="S26" s="714"/>
      <c r="T26" s="713"/>
      <c r="U26" s="714"/>
      <c r="V26" s="713"/>
      <c r="W26" s="714"/>
      <c r="X26" s="1539"/>
      <c r="Y26" s="3269"/>
      <c r="Z26" s="1540"/>
      <c r="AA26" s="1537">
        <v>1</v>
      </c>
      <c r="AB26" s="1537">
        <v>1</v>
      </c>
      <c r="AC26" s="1537">
        <v>1</v>
      </c>
    </row>
    <row r="27" spans="1:29" s="113" customFormat="1" ht="15">
      <c r="A27" s="605"/>
      <c r="B27" s="1292" t="s">
        <v>2474</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269"/>
      <c r="Q27" s="1527" t="str">
        <f t="shared" si="8"/>
        <v>公共配套设施</v>
      </c>
      <c r="R27" s="709" t="s">
        <v>17</v>
      </c>
      <c r="S27" s="710">
        <f>F27</f>
        <v>100</v>
      </c>
      <c r="T27" s="709" t="s">
        <v>17</v>
      </c>
      <c r="U27" s="710">
        <f>H27</f>
        <v>100</v>
      </c>
      <c r="V27" s="709" t="s">
        <v>17</v>
      </c>
      <c r="W27" s="710">
        <f>J27</f>
        <v>100</v>
      </c>
      <c r="X27" s="711"/>
      <c r="Y27" s="3269"/>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269"/>
      <c r="Q28" s="1527"/>
      <c r="R28" s="709"/>
      <c r="S28" s="710"/>
      <c r="T28" s="709"/>
      <c r="U28" s="710"/>
      <c r="V28" s="709"/>
      <c r="W28" s="710"/>
      <c r="X28" s="711"/>
      <c r="Y28" s="3269"/>
      <c r="Z28" s="55"/>
      <c r="AA28" s="1537">
        <v>1</v>
      </c>
      <c r="AB28" s="1537">
        <v>1</v>
      </c>
      <c r="AC28" s="1537">
        <v>1</v>
      </c>
    </row>
    <row r="29" spans="1:29" s="113" customFormat="1" ht="15">
      <c r="A29" s="605"/>
      <c r="B29" s="1292" t="s">
        <v>2475</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269"/>
      <c r="Q29" s="1527" t="str">
        <f t="shared" ref="Q29" si="9">B29</f>
        <v>基础设施水平</v>
      </c>
      <c r="R29" s="709" t="s">
        <v>17</v>
      </c>
      <c r="S29" s="710">
        <f>F29</f>
        <v>100</v>
      </c>
      <c r="T29" s="709" t="s">
        <v>17</v>
      </c>
      <c r="U29" s="710">
        <f>H29</f>
        <v>100</v>
      </c>
      <c r="V29" s="709" t="s">
        <v>17</v>
      </c>
      <c r="W29" s="710">
        <f>J29</f>
        <v>100</v>
      </c>
      <c r="X29" s="711"/>
      <c r="Y29" s="3269"/>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269"/>
      <c r="Q30" s="1527"/>
      <c r="R30" s="709"/>
      <c r="S30" s="710"/>
      <c r="T30" s="709"/>
      <c r="U30" s="710"/>
      <c r="V30" s="709"/>
      <c r="W30" s="710"/>
      <c r="X30" s="711"/>
      <c r="Y30" s="326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269"/>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269"/>
      <c r="Z31" s="1540" t="str">
        <f t="shared" ref="Z31:Z45" si="13">Q31</f>
        <v>临街状况</v>
      </c>
      <c r="AA31" s="1537">
        <f t="shared" si="3"/>
        <v>1</v>
      </c>
      <c r="AB31" s="1537">
        <f t="shared" si="4"/>
        <v>1</v>
      </c>
      <c r="AC31" s="1537">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269"/>
      <c r="Q32" s="1536" t="str">
        <f t="shared" si="8"/>
        <v>毗邻道路的类型与等级</v>
      </c>
      <c r="R32" s="713" t="s">
        <v>17</v>
      </c>
      <c r="S32" s="714">
        <f t="shared" si="10"/>
        <v>100</v>
      </c>
      <c r="T32" s="713" t="s">
        <v>17</v>
      </c>
      <c r="U32" s="714">
        <f t="shared" si="11"/>
        <v>100</v>
      </c>
      <c r="V32" s="713" t="s">
        <v>17</v>
      </c>
      <c r="W32" s="714">
        <f t="shared" si="12"/>
        <v>100</v>
      </c>
      <c r="X32" s="1539"/>
      <c r="Y32" s="3269"/>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269"/>
      <c r="Q33" s="1536"/>
      <c r="R33" s="713"/>
      <c r="S33" s="714"/>
      <c r="T33" s="713"/>
      <c r="U33" s="714"/>
      <c r="V33" s="713"/>
      <c r="W33" s="714"/>
      <c r="X33" s="1539"/>
      <c r="Y33" s="326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269"/>
      <c r="Q34" s="1536" t="str">
        <f t="shared" si="8"/>
        <v>土地级别</v>
      </c>
      <c r="R34" s="713" t="s">
        <v>17</v>
      </c>
      <c r="S34" s="714">
        <f t="shared" si="10"/>
        <v>100</v>
      </c>
      <c r="T34" s="713" t="s">
        <v>17</v>
      </c>
      <c r="U34" s="714">
        <f t="shared" si="11"/>
        <v>100</v>
      </c>
      <c r="V34" s="713" t="s">
        <v>17</v>
      </c>
      <c r="W34" s="714">
        <f t="shared" si="12"/>
        <v>100</v>
      </c>
      <c r="X34" s="1539"/>
      <c r="Y34" s="3269"/>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269"/>
      <c r="Q35" s="1536">
        <f t="shared" si="8"/>
        <v>111</v>
      </c>
      <c r="R35" s="713" t="s">
        <v>17</v>
      </c>
      <c r="S35" s="714">
        <f t="shared" si="10"/>
        <v>100</v>
      </c>
      <c r="T35" s="713" t="s">
        <v>17</v>
      </c>
      <c r="U35" s="714">
        <f t="shared" si="11"/>
        <v>100</v>
      </c>
      <c r="V35" s="713" t="s">
        <v>17</v>
      </c>
      <c r="W35" s="714">
        <f t="shared" si="12"/>
        <v>100</v>
      </c>
      <c r="X35" s="1539"/>
      <c r="Y35" s="3269"/>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48" t="s">
        <v>2385</v>
      </c>
      <c r="Q36" s="1536">
        <f t="shared" si="8"/>
        <v>111</v>
      </c>
      <c r="R36" s="713" t="s">
        <v>17</v>
      </c>
      <c r="S36" s="714">
        <f t="shared" si="10"/>
        <v>100</v>
      </c>
      <c r="T36" s="713" t="s">
        <v>17</v>
      </c>
      <c r="U36" s="714">
        <f t="shared" si="11"/>
        <v>100</v>
      </c>
      <c r="V36" s="713" t="s">
        <v>17</v>
      </c>
      <c r="W36" s="714">
        <f t="shared" si="12"/>
        <v>100</v>
      </c>
      <c r="X36" s="1539"/>
      <c r="Y36" s="3273" t="s">
        <v>2385</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273"/>
      <c r="Q37" s="1536">
        <f t="shared" si="8"/>
        <v>111</v>
      </c>
      <c r="R37" s="716" t="s">
        <v>17</v>
      </c>
      <c r="S37" s="717">
        <f t="shared" si="10"/>
        <v>100</v>
      </c>
      <c r="T37" s="716" t="s">
        <v>17</v>
      </c>
      <c r="U37" s="717">
        <f t="shared" si="11"/>
        <v>100</v>
      </c>
      <c r="V37" s="716" t="s">
        <v>17</v>
      </c>
      <c r="W37" s="717">
        <f t="shared" si="12"/>
        <v>100</v>
      </c>
      <c r="X37" s="718"/>
      <c r="Y37" s="3273"/>
      <c r="Z37" s="719">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273"/>
      <c r="Q38" s="1536" t="str">
        <f>B38</f>
        <v>宗地面积</v>
      </c>
      <c r="R38" s="713" t="s">
        <v>17</v>
      </c>
      <c r="S38" s="714" t="e">
        <f t="shared" si="10"/>
        <v>#N/A</v>
      </c>
      <c r="T38" s="713" t="s">
        <v>17</v>
      </c>
      <c r="U38" s="714" t="e">
        <f t="shared" si="11"/>
        <v>#N/A</v>
      </c>
      <c r="V38" s="713" t="s">
        <v>17</v>
      </c>
      <c r="W38" s="714" t="e">
        <f t="shared" si="12"/>
        <v>#N/A</v>
      </c>
      <c r="X38" s="1539"/>
      <c r="Y38" s="3273"/>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273"/>
      <c r="Q39" s="1536" t="str">
        <f t="shared" ref="Q39:Q45" si="14">B39</f>
        <v>宗地形状</v>
      </c>
      <c r="R39" s="713" t="s">
        <v>17</v>
      </c>
      <c r="S39" s="714">
        <f t="shared" si="10"/>
        <v>100</v>
      </c>
      <c r="T39" s="713" t="s">
        <v>17</v>
      </c>
      <c r="U39" s="714">
        <f t="shared" si="11"/>
        <v>100</v>
      </c>
      <c r="V39" s="713" t="s">
        <v>17</v>
      </c>
      <c r="W39" s="714">
        <f t="shared" si="12"/>
        <v>100</v>
      </c>
      <c r="X39" s="1539"/>
      <c r="Y39" s="3273"/>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273"/>
      <c r="Q40" s="1536" t="str">
        <f t="shared" si="14"/>
        <v>临街宽度及深度</v>
      </c>
      <c r="R40" s="713" t="s">
        <v>17</v>
      </c>
      <c r="S40" s="714">
        <f t="shared" si="10"/>
        <v>100</v>
      </c>
      <c r="T40" s="713" t="s">
        <v>17</v>
      </c>
      <c r="U40" s="714">
        <f t="shared" si="11"/>
        <v>100</v>
      </c>
      <c r="V40" s="713" t="s">
        <v>17</v>
      </c>
      <c r="W40" s="714">
        <f t="shared" si="12"/>
        <v>100</v>
      </c>
      <c r="X40" s="1539"/>
      <c r="Y40" s="3273"/>
      <c r="Z40" s="1540" t="str">
        <f t="shared" si="13"/>
        <v>临街宽度及深度</v>
      </c>
      <c r="AA40" s="1537">
        <f t="shared" si="3"/>
        <v>1</v>
      </c>
      <c r="AB40" s="1537">
        <f t="shared" si="4"/>
        <v>1</v>
      </c>
      <c r="AC40" s="1537">
        <f t="shared" si="5"/>
        <v>1</v>
      </c>
    </row>
    <row r="41" spans="1:29" s="113" customFormat="1" ht="15">
      <c r="A41" s="432"/>
      <c r="B41" s="381" t="s">
        <v>2574</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273"/>
      <c r="Q41" s="1536" t="str">
        <f t="shared" si="14"/>
        <v>宗地开发程度</v>
      </c>
      <c r="R41" s="709" t="s">
        <v>17</v>
      </c>
      <c r="S41" s="710">
        <f t="shared" si="10"/>
        <v>100</v>
      </c>
      <c r="T41" s="709" t="s">
        <v>17</v>
      </c>
      <c r="U41" s="710">
        <f t="shared" si="11"/>
        <v>100</v>
      </c>
      <c r="V41" s="709" t="s">
        <v>17</v>
      </c>
      <c r="W41" s="710">
        <f t="shared" si="12"/>
        <v>100</v>
      </c>
      <c r="X41" s="711"/>
      <c r="Y41" s="3273"/>
      <c r="Z41" s="55" t="str">
        <f t="shared" si="13"/>
        <v>宗地开发程度</v>
      </c>
      <c r="AA41" s="712">
        <f t="shared" si="3"/>
        <v>1</v>
      </c>
      <c r="AB41" s="712">
        <f t="shared" si="4"/>
        <v>1</v>
      </c>
      <c r="AC41" s="712">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273" t="s">
        <v>2385</v>
      </c>
      <c r="Q42" s="1536" t="str">
        <f t="shared" si="14"/>
        <v>工程地质条件</v>
      </c>
      <c r="R42" s="713" t="s">
        <v>17</v>
      </c>
      <c r="S42" s="714">
        <f t="shared" si="10"/>
        <v>100</v>
      </c>
      <c r="T42" s="713" t="s">
        <v>17</v>
      </c>
      <c r="U42" s="714">
        <f t="shared" si="11"/>
        <v>100</v>
      </c>
      <c r="V42" s="713" t="s">
        <v>17</v>
      </c>
      <c r="W42" s="714">
        <f t="shared" si="12"/>
        <v>100</v>
      </c>
      <c r="X42" s="1539"/>
      <c r="Y42" s="3273" t="s">
        <v>2385</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273"/>
      <c r="Q43" s="1536">
        <f t="shared" si="14"/>
        <v>111</v>
      </c>
      <c r="R43" s="713" t="s">
        <v>17</v>
      </c>
      <c r="S43" s="714">
        <f t="shared" si="10"/>
        <v>100</v>
      </c>
      <c r="T43" s="713" t="s">
        <v>17</v>
      </c>
      <c r="U43" s="714">
        <f t="shared" si="11"/>
        <v>100</v>
      </c>
      <c r="V43" s="713" t="s">
        <v>17</v>
      </c>
      <c r="W43" s="714">
        <f t="shared" si="12"/>
        <v>100</v>
      </c>
      <c r="X43" s="1539"/>
      <c r="Y43" s="3273"/>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273"/>
      <c r="Q44" s="1536">
        <f t="shared" si="14"/>
        <v>111</v>
      </c>
      <c r="R44" s="713" t="s">
        <v>17</v>
      </c>
      <c r="S44" s="714">
        <f t="shared" si="10"/>
        <v>100</v>
      </c>
      <c r="T44" s="713" t="s">
        <v>17</v>
      </c>
      <c r="U44" s="714">
        <f t="shared" si="11"/>
        <v>100</v>
      </c>
      <c r="V44" s="713" t="s">
        <v>17</v>
      </c>
      <c r="W44" s="714">
        <f t="shared" si="12"/>
        <v>100</v>
      </c>
      <c r="X44" s="1539"/>
      <c r="Y44" s="3273"/>
      <c r="Z44" s="1540">
        <f t="shared" si="13"/>
        <v>111</v>
      </c>
      <c r="AA44" s="1537">
        <f t="shared" si="3"/>
        <v>1</v>
      </c>
      <c r="AB44" s="1537">
        <f t="shared" si="4"/>
        <v>1</v>
      </c>
      <c r="AC44" s="1537">
        <f t="shared" si="5"/>
        <v>1</v>
      </c>
    </row>
    <row r="45" spans="1:29" s="430" customFormat="1" ht="15.75"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273"/>
      <c r="Q45" s="1536">
        <f t="shared" si="14"/>
        <v>111</v>
      </c>
      <c r="R45" s="716" t="s">
        <v>17</v>
      </c>
      <c r="S45" s="717">
        <f t="shared" si="10"/>
        <v>100</v>
      </c>
      <c r="T45" s="716" t="s">
        <v>17</v>
      </c>
      <c r="U45" s="717">
        <f t="shared" si="11"/>
        <v>100</v>
      </c>
      <c r="V45" s="716" t="s">
        <v>17</v>
      </c>
      <c r="W45" s="717">
        <f t="shared" si="12"/>
        <v>100</v>
      </c>
      <c r="X45" s="718"/>
      <c r="Y45" s="3273"/>
      <c r="Z45" s="719">
        <f t="shared" si="13"/>
        <v>111</v>
      </c>
      <c r="AA45" s="1537">
        <f t="shared" si="3"/>
        <v>1</v>
      </c>
      <c r="AB45" s="1537">
        <f t="shared" si="4"/>
        <v>1</v>
      </c>
      <c r="AC45" s="1537">
        <f t="shared" si="5"/>
        <v>1</v>
      </c>
    </row>
    <row r="46" spans="1:29" ht="15">
      <c r="A46" s="438" t="s">
        <v>2540</v>
      </c>
      <c r="B46" s="2165" t="s">
        <v>2576</v>
      </c>
      <c r="C46" s="638" t="s">
        <v>1</v>
      </c>
      <c r="D46" s="440"/>
      <c r="E46" s="441"/>
      <c r="F46" s="442"/>
      <c r="G46" s="443"/>
      <c r="H46" s="444"/>
      <c r="I46" s="441"/>
      <c r="J46" s="444"/>
      <c r="K46" s="722"/>
      <c r="L46" s="2936"/>
      <c r="M46" s="2937"/>
      <c r="N46" s="2928"/>
      <c r="O46" s="2937"/>
      <c r="P46" s="3266" t="str">
        <f>A46</f>
        <v>成交单价</v>
      </c>
      <c r="Q46" s="3266"/>
      <c r="R46" s="3297">
        <f>E46</f>
        <v>0</v>
      </c>
      <c r="S46" s="3297"/>
      <c r="T46" s="3297">
        <f>G46</f>
        <v>0</v>
      </c>
      <c r="U46" s="3297"/>
      <c r="V46" s="3297">
        <f>I46</f>
        <v>0</v>
      </c>
      <c r="W46" s="3297"/>
      <c r="X46" s="698"/>
      <c r="Y46" s="720"/>
      <c r="Z46" s="698"/>
      <c r="AA46" s="698"/>
      <c r="AB46" s="698"/>
      <c r="AC46" s="698"/>
    </row>
    <row r="47" spans="1:29" ht="15.75" thickBot="1">
      <c r="A47" s="445" t="s">
        <v>2489</v>
      </c>
      <c r="B47" s="639"/>
      <c r="C47" s="448" t="e">
        <f>R48</f>
        <v>#DIV/0!</v>
      </c>
      <c r="D47" s="2535" t="s">
        <v>2876</v>
      </c>
      <c r="E47" s="448" t="e">
        <f>R47</f>
        <v>#DIV/0!</v>
      </c>
      <c r="F47" s="2536"/>
      <c r="G47" s="447" t="e">
        <f>T47</f>
        <v>#DIV/0!</v>
      </c>
      <c r="H47" s="2536"/>
      <c r="I47" s="448" t="e">
        <f>V47</f>
        <v>#DIV/0!</v>
      </c>
      <c r="J47" s="2536"/>
      <c r="K47" s="2538">
        <f>F47+H47+J47</f>
        <v>0</v>
      </c>
      <c r="L47" s="2936"/>
      <c r="M47" s="2937"/>
      <c r="N47" s="2937"/>
      <c r="O47" s="2937"/>
      <c r="P47" s="3266" t="str">
        <f>A47</f>
        <v>比较价值（元/平方米）</v>
      </c>
      <c r="Q47" s="3266"/>
      <c r="R47" s="3350" t="e">
        <f>ROUND(PRODUCT(R46,AA7:AA45),0)</f>
        <v>#DIV/0!</v>
      </c>
      <c r="S47" s="3350"/>
      <c r="T47" s="3350" t="e">
        <f>ROUND(PRODUCT(T46,AB7:AB45),0)</f>
        <v>#DIV/0!</v>
      </c>
      <c r="U47" s="3350"/>
      <c r="V47" s="3350" t="e">
        <f>ROUND(PRODUCT(V46,AC7:AC45),0)</f>
        <v>#DIV/0!</v>
      </c>
      <c r="W47" s="3350"/>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36"/>
      <c r="M48" s="2937"/>
      <c r="N48" s="2937"/>
      <c r="O48" s="2937"/>
      <c r="P48" s="3263" t="str">
        <f>A48</f>
        <v>估价对象XX用房的比较价值（楼面单价，元/平方米）</v>
      </c>
      <c r="Q48" s="3264"/>
      <c r="R48" s="3351" t="e">
        <f>ROUND(IF(D47="简单平均",AVERAGE(R47:W47),R47*F47+T47*H47+V47*J47),0)</f>
        <v>#DIV/0!</v>
      </c>
      <c r="S48" s="3351"/>
      <c r="T48" s="3351"/>
      <c r="U48" s="3351"/>
      <c r="V48" s="3351"/>
      <c r="W48" s="3351"/>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5"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2578</v>
      </c>
      <c r="B55" s="641" t="s">
        <v>2579</v>
      </c>
      <c r="C55" s="2166" t="s">
        <v>2580</v>
      </c>
      <c r="D55" s="2167" t="s">
        <v>2581</v>
      </c>
      <c r="E55" s="642" t="s">
        <v>2582</v>
      </c>
      <c r="F55" s="1020" t="s">
        <v>2583</v>
      </c>
      <c r="G55" s="3281" t="s">
        <v>2584</v>
      </c>
      <c r="H55" s="3352"/>
      <c r="I55" s="140" t="s">
        <v>2585</v>
      </c>
      <c r="J55" s="2168" t="str">
        <f>项目基本情况!F35</f>
        <v>广东省深圳市</v>
      </c>
      <c r="K55" s="2169" t="s">
        <v>2586</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2587</v>
      </c>
      <c r="B56" s="645" t="e">
        <f>C48</f>
        <v>#DIV/0!</v>
      </c>
      <c r="C56" s="646">
        <v>1</v>
      </c>
      <c r="D56" s="1074">
        <v>1</v>
      </c>
      <c r="E56" s="646">
        <f>'数据-汇总表'!E8+'数据-汇总表'!E9</f>
        <v>1041.3899999999999</v>
      </c>
      <c r="F56" s="1016" t="e">
        <f t="shared" ref="F56:F65" si="15">ROUND(B56*E56/10000,0)</f>
        <v>#DIV/0!</v>
      </c>
      <c r="G56" s="3277"/>
      <c r="H56" s="3266"/>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2588</v>
      </c>
      <c r="B57" s="224" t="e">
        <f>ROUND($C$48*C57*D57,0)</f>
        <v>#DIV/0!</v>
      </c>
      <c r="C57" s="176">
        <f t="shared" ref="C57:C65" si="16">IF($C$55="北京市系数",I57,J57)</f>
        <v>0</v>
      </c>
      <c r="D57" s="1075">
        <v>0.25</v>
      </c>
      <c r="E57" s="650"/>
      <c r="F57" s="1016" t="e">
        <f t="shared" si="15"/>
        <v>#DIV/0!</v>
      </c>
      <c r="G57" s="3353" t="s">
        <v>2589</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2590</v>
      </c>
      <c r="B58" s="224" t="e">
        <f t="shared" ref="B58:B65" si="17">ROUND($C$48*C58*D58,0)</f>
        <v>#DIV/0!</v>
      </c>
      <c r="C58" s="176">
        <f t="shared" si="16"/>
        <v>0</v>
      </c>
      <c r="D58" s="1075">
        <v>0.25</v>
      </c>
      <c r="E58" s="650"/>
      <c r="F58" s="1016" t="e">
        <f t="shared" si="15"/>
        <v>#DIV/0!</v>
      </c>
      <c r="G58" s="3353"/>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2591</v>
      </c>
      <c r="B59" s="224" t="e">
        <f t="shared" si="17"/>
        <v>#DIV/0!</v>
      </c>
      <c r="C59" s="176">
        <f t="shared" si="16"/>
        <v>0</v>
      </c>
      <c r="D59" s="1075">
        <v>0.25</v>
      </c>
      <c r="E59" s="650"/>
      <c r="F59" s="1016" t="e">
        <f t="shared" si="15"/>
        <v>#DIV/0!</v>
      </c>
      <c r="G59" s="3353"/>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2592</v>
      </c>
      <c r="B60" s="224" t="e">
        <f t="shared" si="17"/>
        <v>#DIV/0!</v>
      </c>
      <c r="C60" s="176">
        <f t="shared" si="16"/>
        <v>0</v>
      </c>
      <c r="D60" s="1075">
        <v>0.25</v>
      </c>
      <c r="E60" s="650"/>
      <c r="F60" s="1016" t="e">
        <f t="shared" si="15"/>
        <v>#DIV/0!</v>
      </c>
      <c r="G60" s="3353"/>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2593</v>
      </c>
      <c r="B61" s="224" t="e">
        <f t="shared" si="17"/>
        <v>#DIV/0!</v>
      </c>
      <c r="C61" s="176">
        <f t="shared" si="16"/>
        <v>0</v>
      </c>
      <c r="D61" s="1075">
        <v>0.25</v>
      </c>
      <c r="E61" s="223">
        <f>'数据-汇总表'!E11</f>
        <v>0</v>
      </c>
      <c r="F61" s="1016" t="e">
        <f t="shared" si="15"/>
        <v>#DIV/0!</v>
      </c>
      <c r="G61" s="2170" t="s">
        <v>2594</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2599</v>
      </c>
      <c r="B64" s="224" t="e">
        <f t="shared" si="17"/>
        <v>#DIV/0!</v>
      </c>
      <c r="C64" s="176">
        <f t="shared" si="16"/>
        <v>0</v>
      </c>
      <c r="D64" s="1075">
        <v>0.25</v>
      </c>
      <c r="E64" s="223">
        <f>'数据-汇总表'!E14</f>
        <v>0</v>
      </c>
      <c r="F64" s="1016" t="e">
        <f t="shared" si="15"/>
        <v>#DIV/0!</v>
      </c>
      <c r="G64" s="2170" t="s">
        <v>2589</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5" thickBot="1">
      <c r="A65" s="649" t="s">
        <v>2600</v>
      </c>
      <c r="B65" s="224" t="e">
        <f t="shared" si="17"/>
        <v>#DIV/0!</v>
      </c>
      <c r="C65" s="176">
        <f t="shared" si="16"/>
        <v>0</v>
      </c>
      <c r="D65" s="1075">
        <v>0.25</v>
      </c>
      <c r="E65" s="223">
        <f>'数据-汇总表'!E15</f>
        <v>0</v>
      </c>
      <c r="F65" s="1016" t="e">
        <f t="shared" si="15"/>
        <v>#DIV/0!</v>
      </c>
      <c r="G65" s="2171" t="s">
        <v>2594</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ht="13.5" thickBot="1">
      <c r="A66" s="651" t="s">
        <v>2601</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1.75" thickBot="1">
      <c r="A69" s="702" t="s">
        <v>2494</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5">
      <c r="A70" s="2172" t="s">
        <v>2602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75" thickBot="1">
      <c r="A72" s="472" t="s">
        <v>2405</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5">
      <c r="A73" s="478" t="s">
        <v>2370</v>
      </c>
      <c r="B73" s="467"/>
      <c r="C73" s="479" t="s">
        <v>2472</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5.75"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c r="A75" s="484" t="s">
        <v>2408</v>
      </c>
      <c r="B75" s="485" t="s">
        <v>2374</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5.75"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7.75" thickTop="1">
      <c r="A77" s="491"/>
      <c r="B77" s="495" t="s">
        <v>2377</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5.75"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ht="15">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5.75"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5.75"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5.75"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5.75"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5.75"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5.75"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c r="A88" s="484" t="s">
        <v>2379</v>
      </c>
      <c r="B88" s="485" t="s">
        <v>2416</v>
      </c>
      <c r="C88" s="530" t="s">
        <v>2417</v>
      </c>
      <c r="D88" s="530" t="s">
        <v>2418</v>
      </c>
      <c r="E88" s="530" t="s">
        <v>2419</v>
      </c>
      <c r="F88" s="530" t="s">
        <v>2420</v>
      </c>
      <c r="G88" s="530" t="s">
        <v>2421</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75" thickTop="1">
      <c r="A90" s="491"/>
      <c r="B90" s="495" t="s">
        <v>2604</v>
      </c>
      <c r="C90" s="535" t="s">
        <v>2417</v>
      </c>
      <c r="D90" s="535" t="s">
        <v>2418</v>
      </c>
      <c r="E90" s="535" t="s">
        <v>2419</v>
      </c>
      <c r="F90" s="535" t="s">
        <v>2420</v>
      </c>
      <c r="G90" s="535" t="s">
        <v>2421</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75" thickTop="1">
      <c r="A92" s="491"/>
      <c r="B92" s="495" t="s">
        <v>2517</v>
      </c>
      <c r="C92" s="535" t="s">
        <v>2417</v>
      </c>
      <c r="D92" s="535" t="s">
        <v>2418</v>
      </c>
      <c r="E92" s="535" t="s">
        <v>2419</v>
      </c>
      <c r="F92" s="535" t="s">
        <v>2420</v>
      </c>
      <c r="G92" s="535" t="s">
        <v>2421</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75" thickTop="1">
      <c r="A94" s="491"/>
      <c r="B94" s="495" t="s">
        <v>2422</v>
      </c>
      <c r="C94" s="535" t="s">
        <v>2417</v>
      </c>
      <c r="D94" s="535" t="s">
        <v>2418</v>
      </c>
      <c r="E94" s="535" t="s">
        <v>2419</v>
      </c>
      <c r="F94" s="535" t="s">
        <v>2420</v>
      </c>
      <c r="G94" s="535" t="s">
        <v>2421</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91"/>
      <c r="B106" s="495" t="s">
        <v>2511</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91"/>
      <c r="B108" s="495" t="s">
        <v>2570</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5.75"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5"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5.75"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5"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5.75"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ht="15">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5.75"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2612</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2613</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2614</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2615</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5.75"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5"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5.75"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5"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5.75"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81" t="s">
        <v>2466</v>
      </c>
      <c r="D4" s="3282"/>
      <c r="E4" s="3283" t="s">
        <v>2467</v>
      </c>
      <c r="F4" s="3284"/>
      <c r="G4" s="3281" t="s">
        <v>2468</v>
      </c>
      <c r="H4" s="3282"/>
      <c r="I4" s="3281" t="s">
        <v>2469</v>
      </c>
      <c r="J4" s="3282"/>
      <c r="K4" s="567" t="s">
        <v>2470</v>
      </c>
      <c r="L4" s="2927"/>
      <c r="M4" s="2928"/>
      <c r="N4" s="2928"/>
      <c r="O4" s="2928"/>
      <c r="P4" s="3285" t="s">
        <v>2471</v>
      </c>
      <c r="Q4" s="3286"/>
      <c r="R4" s="3291" t="s">
        <v>2467</v>
      </c>
      <c r="S4" s="3292"/>
      <c r="T4" s="3291" t="s">
        <v>2468</v>
      </c>
      <c r="U4" s="3292"/>
      <c r="V4" s="3297" t="s">
        <v>2469</v>
      </c>
      <c r="W4" s="3297"/>
      <c r="X4" s="1539"/>
      <c r="Y4" s="3291" t="s">
        <v>2471</v>
      </c>
      <c r="Z4" s="3292"/>
      <c r="AA4" s="3278" t="s">
        <v>2467</v>
      </c>
      <c r="AB4" s="3279" t="s">
        <v>2468</v>
      </c>
      <c r="AC4" s="3278" t="s">
        <v>2469</v>
      </c>
    </row>
    <row r="5" spans="1:29" ht="15">
      <c r="A5" s="364"/>
      <c r="B5" s="365"/>
      <c r="C5" s="3300" t="s">
        <v>2362</v>
      </c>
      <c r="D5" s="3301"/>
      <c r="E5" s="3308" t="s">
        <v>2363</v>
      </c>
      <c r="F5" s="3309"/>
      <c r="G5" s="3300" t="s">
        <v>2364</v>
      </c>
      <c r="H5" s="3301"/>
      <c r="I5" s="3300" t="s">
        <v>2365</v>
      </c>
      <c r="J5" s="3301"/>
      <c r="K5" s="567"/>
      <c r="L5" s="2927"/>
      <c r="M5" s="2928"/>
      <c r="N5" s="2928"/>
      <c r="O5" s="2928"/>
      <c r="P5" s="3287"/>
      <c r="Q5" s="3288"/>
      <c r="R5" s="3293"/>
      <c r="S5" s="3294"/>
      <c r="T5" s="3293"/>
      <c r="U5" s="3294"/>
      <c r="V5" s="3297"/>
      <c r="W5" s="3297"/>
      <c r="X5" s="1539"/>
      <c r="Y5" s="3293"/>
      <c r="Z5" s="3294"/>
      <c r="AA5" s="3279"/>
      <c r="AB5" s="3279"/>
      <c r="AC5" s="3279"/>
    </row>
    <row r="6" spans="1:29" ht="15.75" thickBot="1">
      <c r="A6" s="366"/>
      <c r="B6" s="367"/>
      <c r="C6" s="3354" t="s">
        <v>2617</v>
      </c>
      <c r="D6" s="3355"/>
      <c r="E6" s="3356" t="s">
        <v>2617</v>
      </c>
      <c r="F6" s="3357"/>
      <c r="G6" s="3354" t="s">
        <v>2617</v>
      </c>
      <c r="H6" s="3355"/>
      <c r="I6" s="3354" t="s">
        <v>2617</v>
      </c>
      <c r="J6" s="3355"/>
      <c r="K6" s="567" t="s">
        <v>2367</v>
      </c>
      <c r="L6" s="2927"/>
      <c r="M6" s="2928"/>
      <c r="N6" s="2928"/>
      <c r="O6" s="2928"/>
      <c r="P6" s="3289"/>
      <c r="Q6" s="3290"/>
      <c r="R6" s="3293"/>
      <c r="S6" s="3294"/>
      <c r="T6" s="3295"/>
      <c r="U6" s="3296"/>
      <c r="V6" s="3297"/>
      <c r="W6" s="3297"/>
      <c r="X6" s="1539"/>
      <c r="Y6" s="3295"/>
      <c r="Z6" s="3296"/>
      <c r="AA6" s="3280"/>
      <c r="AB6" s="3280"/>
      <c r="AC6" s="3280"/>
    </row>
    <row r="7" spans="1:29" s="113" customFormat="1" ht="15.75" thickBot="1">
      <c r="A7" s="368" t="s">
        <v>2368</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302" t="s">
        <v>2369</v>
      </c>
      <c r="Q7" s="3304"/>
      <c r="R7" s="709" t="s">
        <v>17</v>
      </c>
      <c r="S7" s="710">
        <f t="shared" ref="S7:S15" si="0">F7</f>
        <v>0</v>
      </c>
      <c r="T7" s="709" t="s">
        <v>17</v>
      </c>
      <c r="U7" s="710">
        <f t="shared" ref="U7:U15" si="1">H7</f>
        <v>0</v>
      </c>
      <c r="V7" s="709" t="s">
        <v>17</v>
      </c>
      <c r="W7" s="710">
        <f t="shared" ref="W7:W15" si="2">J7</f>
        <v>0</v>
      </c>
      <c r="X7" s="711"/>
      <c r="Y7" s="3302" t="s">
        <v>2369</v>
      </c>
      <c r="Z7" s="3303"/>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302" t="s">
        <v>2372</v>
      </c>
      <c r="Q8" s="3303"/>
      <c r="R8" s="709" t="s">
        <v>17</v>
      </c>
      <c r="S8" s="710">
        <f t="shared" si="0"/>
        <v>0</v>
      </c>
      <c r="T8" s="709" t="s">
        <v>17</v>
      </c>
      <c r="U8" s="710">
        <f t="shared" si="1"/>
        <v>0</v>
      </c>
      <c r="V8" s="709" t="s">
        <v>17</v>
      </c>
      <c r="W8" s="710">
        <f t="shared" si="2"/>
        <v>0</v>
      </c>
      <c r="X8" s="711"/>
      <c r="Y8" s="3302" t="s">
        <v>2372</v>
      </c>
      <c r="Z8" s="3303"/>
      <c r="AA8" s="712" t="e">
        <f t="shared" ref="AA8:AA40" si="3">D8/F8</f>
        <v>#DIV/0!</v>
      </c>
      <c r="AB8" s="712" t="e">
        <f t="shared" ref="AB8:AB40" si="4">D8/H8</f>
        <v>#DIV/0!</v>
      </c>
      <c r="AC8" s="712" t="e">
        <f t="shared" ref="AC8:AC40" si="5">D8/J8</f>
        <v>#DIV/0!</v>
      </c>
    </row>
    <row r="9" spans="1:29" s="113" customFormat="1">
      <c r="A9" s="375" t="s">
        <v>2373</v>
      </c>
      <c r="B9" s="67" t="s">
        <v>2374</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66" t="s">
        <v>2375</v>
      </c>
      <c r="Q9" s="1527" t="str">
        <f t="shared" ref="Q9:Q15" si="6">B9</f>
        <v>用途</v>
      </c>
      <c r="R9" s="709" t="s">
        <v>17</v>
      </c>
      <c r="S9" s="710">
        <f t="shared" si="0"/>
        <v>100</v>
      </c>
      <c r="T9" s="709" t="s">
        <v>17</v>
      </c>
      <c r="U9" s="710">
        <f t="shared" si="1"/>
        <v>100</v>
      </c>
      <c r="V9" s="709" t="s">
        <v>17</v>
      </c>
      <c r="W9" s="710">
        <f t="shared" si="2"/>
        <v>100</v>
      </c>
      <c r="X9" s="711"/>
      <c r="Y9" s="3159"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66"/>
      <c r="Q10" s="1527" t="str">
        <f t="shared" si="6"/>
        <v>土地使用年限（年）</v>
      </c>
      <c r="R10" s="709" t="s">
        <v>17</v>
      </c>
      <c r="S10" s="710">
        <f t="shared" si="0"/>
        <v>105</v>
      </c>
      <c r="T10" s="709" t="s">
        <v>17</v>
      </c>
      <c r="U10" s="710">
        <f t="shared" si="1"/>
        <v>105</v>
      </c>
      <c r="V10" s="709" t="s">
        <v>17</v>
      </c>
      <c r="W10" s="710">
        <f t="shared" si="2"/>
        <v>105</v>
      </c>
      <c r="X10" s="711"/>
      <c r="Y10" s="3159"/>
      <c r="Z10" s="55" t="str">
        <f t="shared" si="7"/>
        <v>土地使用年限（年）</v>
      </c>
      <c r="AA10" s="712">
        <f t="shared" si="3"/>
        <v>0.95238095238095233</v>
      </c>
      <c r="AB10" s="712">
        <f t="shared" si="4"/>
        <v>0.95238095238095233</v>
      </c>
      <c r="AC10" s="712">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66"/>
      <c r="Q11" s="1527" t="str">
        <f t="shared" si="6"/>
        <v>容积率</v>
      </c>
      <c r="R11" s="709" t="s">
        <v>17</v>
      </c>
      <c r="S11" s="710" t="e">
        <f t="shared" si="0"/>
        <v>#N/A</v>
      </c>
      <c r="T11" s="709" t="s">
        <v>17</v>
      </c>
      <c r="U11" s="710" t="e">
        <f t="shared" si="1"/>
        <v>#N/A</v>
      </c>
      <c r="V11" s="709" t="s">
        <v>17</v>
      </c>
      <c r="W11" s="710" t="e">
        <f t="shared" si="2"/>
        <v>#N/A</v>
      </c>
      <c r="X11" s="711"/>
      <c r="Y11" s="3159"/>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66"/>
      <c r="Q12" s="1527">
        <f t="shared" si="6"/>
        <v>111</v>
      </c>
      <c r="R12" s="709" t="s">
        <v>17</v>
      </c>
      <c r="S12" s="710">
        <f t="shared" si="0"/>
        <v>100</v>
      </c>
      <c r="T12" s="709" t="s">
        <v>17</v>
      </c>
      <c r="U12" s="710">
        <f t="shared" si="1"/>
        <v>100</v>
      </c>
      <c r="V12" s="709" t="s">
        <v>17</v>
      </c>
      <c r="W12" s="710">
        <f t="shared" si="2"/>
        <v>100</v>
      </c>
      <c r="X12" s="711"/>
      <c r="Y12" s="3159"/>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66"/>
      <c r="Q13" s="1527">
        <f t="shared" si="6"/>
        <v>111</v>
      </c>
      <c r="R13" s="709" t="s">
        <v>17</v>
      </c>
      <c r="S13" s="710">
        <f t="shared" si="0"/>
        <v>100</v>
      </c>
      <c r="T13" s="709" t="s">
        <v>17</v>
      </c>
      <c r="U13" s="710">
        <f t="shared" si="1"/>
        <v>100</v>
      </c>
      <c r="V13" s="709" t="s">
        <v>17</v>
      </c>
      <c r="W13" s="710">
        <f t="shared" si="2"/>
        <v>100</v>
      </c>
      <c r="X13" s="711"/>
      <c r="Y13" s="3159"/>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66"/>
      <c r="Q14" s="1527">
        <f t="shared" si="6"/>
        <v>111</v>
      </c>
      <c r="R14" s="709" t="s">
        <v>17</v>
      </c>
      <c r="S14" s="710">
        <f t="shared" si="0"/>
        <v>100</v>
      </c>
      <c r="T14" s="709" t="s">
        <v>17</v>
      </c>
      <c r="U14" s="710">
        <f t="shared" si="1"/>
        <v>100</v>
      </c>
      <c r="V14" s="709" t="s">
        <v>17</v>
      </c>
      <c r="W14" s="710">
        <f t="shared" si="2"/>
        <v>100</v>
      </c>
      <c r="X14" s="711"/>
      <c r="Y14" s="3159"/>
      <c r="Z14" s="55">
        <f t="shared" si="7"/>
        <v>111</v>
      </c>
      <c r="AA14" s="712">
        <f t="shared" si="3"/>
        <v>1</v>
      </c>
      <c r="AB14" s="712">
        <f t="shared" si="4"/>
        <v>1</v>
      </c>
      <c r="AC14" s="712">
        <f t="shared" si="5"/>
        <v>1</v>
      </c>
    </row>
    <row r="15" spans="1:29" ht="57">
      <c r="A15" s="399" t="s">
        <v>2379</v>
      </c>
      <c r="B15" s="585" t="s">
        <v>2618</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268" t="s">
        <v>2380</v>
      </c>
      <c r="Q15" s="1536" t="str">
        <f t="shared" si="6"/>
        <v>产业集聚程度</v>
      </c>
      <c r="R15" s="713" t="s">
        <v>17</v>
      </c>
      <c r="S15" s="714">
        <f t="shared" si="0"/>
        <v>100</v>
      </c>
      <c r="T15" s="713" t="s">
        <v>17</v>
      </c>
      <c r="U15" s="714">
        <f t="shared" si="1"/>
        <v>100</v>
      </c>
      <c r="V15" s="713" t="s">
        <v>17</v>
      </c>
      <c r="W15" s="714">
        <f t="shared" si="2"/>
        <v>100</v>
      </c>
      <c r="X15" s="1539"/>
      <c r="Y15" s="3268"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269"/>
      <c r="Q16" s="1536"/>
      <c r="R16" s="713"/>
      <c r="S16" s="714"/>
      <c r="T16" s="713"/>
      <c r="U16" s="714"/>
      <c r="V16" s="713"/>
      <c r="W16" s="714"/>
      <c r="X16" s="1539"/>
      <c r="Y16" s="3269"/>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269"/>
      <c r="Q17" s="1536" t="str">
        <f>B17</f>
        <v>交通便捷度</v>
      </c>
      <c r="R17" s="713" t="s">
        <v>17</v>
      </c>
      <c r="S17" s="714">
        <f>F17</f>
        <v>100</v>
      </c>
      <c r="T17" s="713" t="s">
        <v>17</v>
      </c>
      <c r="U17" s="714">
        <f>H17</f>
        <v>100</v>
      </c>
      <c r="V17" s="713" t="s">
        <v>17</v>
      </c>
      <c r="W17" s="714">
        <f>J17</f>
        <v>100</v>
      </c>
      <c r="X17" s="1539"/>
      <c r="Y17" s="3269"/>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269"/>
      <c r="Q18" s="1536"/>
      <c r="R18" s="713"/>
      <c r="S18" s="714"/>
      <c r="T18" s="713"/>
      <c r="U18" s="714"/>
      <c r="V18" s="713"/>
      <c r="W18" s="714"/>
      <c r="X18" s="1539"/>
      <c r="Y18" s="3269"/>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269"/>
      <c r="Q19" s="1536" t="str">
        <f t="shared" ref="Q19:Q33" si="8">B19</f>
        <v>区域土地利用方向</v>
      </c>
      <c r="R19" s="713" t="s">
        <v>17</v>
      </c>
      <c r="S19" s="714">
        <f>F19</f>
        <v>100</v>
      </c>
      <c r="T19" s="713" t="s">
        <v>17</v>
      </c>
      <c r="U19" s="714">
        <f>H19</f>
        <v>100</v>
      </c>
      <c r="V19" s="713" t="s">
        <v>17</v>
      </c>
      <c r="W19" s="714">
        <f>J19</f>
        <v>100</v>
      </c>
      <c r="X19" s="1539"/>
      <c r="Y19" s="3269"/>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269"/>
      <c r="Q20" s="1536"/>
      <c r="R20" s="713"/>
      <c r="S20" s="714"/>
      <c r="T20" s="713"/>
      <c r="U20" s="714"/>
      <c r="V20" s="713"/>
      <c r="W20" s="714"/>
      <c r="X20" s="1539"/>
      <c r="Y20" s="3269"/>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269"/>
      <c r="Q21" s="1536" t="str">
        <f t="shared" si="8"/>
        <v>环境状况</v>
      </c>
      <c r="R21" s="713" t="s">
        <v>17</v>
      </c>
      <c r="S21" s="714">
        <f>F21</f>
        <v>100</v>
      </c>
      <c r="T21" s="713" t="s">
        <v>17</v>
      </c>
      <c r="U21" s="714">
        <f>H21</f>
        <v>100</v>
      </c>
      <c r="V21" s="713" t="s">
        <v>17</v>
      </c>
      <c r="W21" s="714">
        <f>J21</f>
        <v>100</v>
      </c>
      <c r="X21" s="1539"/>
      <c r="Y21" s="3269"/>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269"/>
      <c r="Q22" s="1536"/>
      <c r="R22" s="713"/>
      <c r="S22" s="714"/>
      <c r="T22" s="713"/>
      <c r="U22" s="714"/>
      <c r="V22" s="713"/>
      <c r="W22" s="714"/>
      <c r="X22" s="1539"/>
      <c r="Y22" s="3269"/>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269"/>
      <c r="Q23" s="1527" t="str">
        <f t="shared" si="8"/>
        <v>公共配套设施</v>
      </c>
      <c r="R23" s="709" t="s">
        <v>17</v>
      </c>
      <c r="S23" s="710">
        <f>F23</f>
        <v>100</v>
      </c>
      <c r="T23" s="709" t="s">
        <v>17</v>
      </c>
      <c r="U23" s="710">
        <f>H23</f>
        <v>100</v>
      </c>
      <c r="V23" s="709" t="s">
        <v>17</v>
      </c>
      <c r="W23" s="710">
        <f>J23</f>
        <v>100</v>
      </c>
      <c r="X23" s="711"/>
      <c r="Y23" s="3269"/>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269"/>
      <c r="Q24" s="1527"/>
      <c r="R24" s="709"/>
      <c r="S24" s="710"/>
      <c r="T24" s="709"/>
      <c r="U24" s="710"/>
      <c r="V24" s="709"/>
      <c r="W24" s="710"/>
      <c r="X24" s="711"/>
      <c r="Y24" s="3269"/>
      <c r="Z24" s="55"/>
      <c r="AA24" s="712">
        <v>1</v>
      </c>
      <c r="AB24" s="712">
        <v>1</v>
      </c>
      <c r="AC24" s="712">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269"/>
      <c r="Q25" s="1527" t="str">
        <f t="shared" ref="Q25" si="9">B25</f>
        <v>基础设施水平</v>
      </c>
      <c r="R25" s="709" t="s">
        <v>17</v>
      </c>
      <c r="S25" s="710">
        <f>F25</f>
        <v>100</v>
      </c>
      <c r="T25" s="709" t="s">
        <v>17</v>
      </c>
      <c r="U25" s="710">
        <f>H25</f>
        <v>100</v>
      </c>
      <c r="V25" s="709" t="s">
        <v>17</v>
      </c>
      <c r="W25" s="710">
        <f>J25</f>
        <v>100</v>
      </c>
      <c r="X25" s="711"/>
      <c r="Y25" s="3269"/>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269"/>
      <c r="Q26" s="1527"/>
      <c r="R26" s="709"/>
      <c r="S26" s="710"/>
      <c r="T26" s="709"/>
      <c r="U26" s="710"/>
      <c r="V26" s="709"/>
      <c r="W26" s="710"/>
      <c r="X26" s="711"/>
      <c r="Y26" s="3269"/>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269"/>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269"/>
      <c r="Z27" s="1540" t="str">
        <f t="shared" ref="Z27:Z40" si="13">Q27</f>
        <v>临街状况</v>
      </c>
      <c r="AA27" s="1537">
        <f t="shared" si="3"/>
        <v>1</v>
      </c>
      <c r="AB27" s="1537">
        <f t="shared" si="4"/>
        <v>1</v>
      </c>
      <c r="AC27" s="1537">
        <f t="shared" si="5"/>
        <v>1</v>
      </c>
    </row>
    <row r="28" spans="1:29" ht="27">
      <c r="A28" s="387"/>
      <c r="B28" s="589" t="s">
        <v>2511</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269"/>
      <c r="Q28" s="1536" t="str">
        <f t="shared" si="8"/>
        <v>毗邻道路的类型与等级</v>
      </c>
      <c r="R28" s="713" t="s">
        <v>17</v>
      </c>
      <c r="S28" s="714">
        <f t="shared" si="10"/>
        <v>100</v>
      </c>
      <c r="T28" s="713" t="s">
        <v>17</v>
      </c>
      <c r="U28" s="714">
        <f t="shared" si="11"/>
        <v>100</v>
      </c>
      <c r="V28" s="713" t="s">
        <v>17</v>
      </c>
      <c r="W28" s="714">
        <f t="shared" si="12"/>
        <v>100</v>
      </c>
      <c r="X28" s="1539"/>
      <c r="Y28" s="3269"/>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269"/>
      <c r="Q29" s="1536"/>
      <c r="R29" s="713"/>
      <c r="S29" s="714"/>
      <c r="T29" s="713"/>
      <c r="U29" s="714"/>
      <c r="V29" s="713"/>
      <c r="W29" s="714"/>
      <c r="X29" s="1539"/>
      <c r="Y29" s="3269"/>
      <c r="Z29" s="1540"/>
      <c r="AA29" s="1537">
        <v>1</v>
      </c>
      <c r="AB29" s="1537">
        <v>1</v>
      </c>
      <c r="AC29" s="1537">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269"/>
      <c r="Q30" s="1536" t="str">
        <f t="shared" si="8"/>
        <v>土地级别</v>
      </c>
      <c r="R30" s="713" t="s">
        <v>17</v>
      </c>
      <c r="S30" s="714">
        <f t="shared" si="10"/>
        <v>100</v>
      </c>
      <c r="T30" s="713" t="s">
        <v>17</v>
      </c>
      <c r="U30" s="714">
        <f t="shared" si="11"/>
        <v>100</v>
      </c>
      <c r="V30" s="713" t="s">
        <v>17</v>
      </c>
      <c r="W30" s="714">
        <f t="shared" si="12"/>
        <v>100</v>
      </c>
      <c r="X30" s="1539"/>
      <c r="Y30" s="3269"/>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269"/>
      <c r="Q31" s="1536">
        <f t="shared" si="8"/>
        <v>111</v>
      </c>
      <c r="R31" s="713" t="s">
        <v>17</v>
      </c>
      <c r="S31" s="714">
        <f t="shared" si="10"/>
        <v>100</v>
      </c>
      <c r="T31" s="713" t="s">
        <v>17</v>
      </c>
      <c r="U31" s="714">
        <f t="shared" si="11"/>
        <v>100</v>
      </c>
      <c r="V31" s="713" t="s">
        <v>17</v>
      </c>
      <c r="W31" s="714">
        <f t="shared" si="12"/>
        <v>100</v>
      </c>
      <c r="X31" s="1539"/>
      <c r="Y31" s="3269"/>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48" t="s">
        <v>2385</v>
      </c>
      <c r="Q32" s="1536">
        <f t="shared" si="8"/>
        <v>111</v>
      </c>
      <c r="R32" s="713" t="s">
        <v>17</v>
      </c>
      <c r="S32" s="714">
        <f t="shared" si="10"/>
        <v>100</v>
      </c>
      <c r="T32" s="713" t="s">
        <v>17</v>
      </c>
      <c r="U32" s="714">
        <f t="shared" si="11"/>
        <v>100</v>
      </c>
      <c r="V32" s="713" t="s">
        <v>17</v>
      </c>
      <c r="W32" s="714">
        <f t="shared" si="12"/>
        <v>100</v>
      </c>
      <c r="X32" s="1539"/>
      <c r="Y32" s="3273" t="s">
        <v>2385</v>
      </c>
      <c r="Z32" s="1540">
        <f t="shared" si="13"/>
        <v>111</v>
      </c>
      <c r="AA32" s="1537">
        <f t="shared" si="3"/>
        <v>1</v>
      </c>
      <c r="AB32" s="1537">
        <f t="shared" si="4"/>
        <v>1</v>
      </c>
      <c r="AC32" s="1537">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273"/>
      <c r="Q33" s="1536">
        <f t="shared" si="8"/>
        <v>111</v>
      </c>
      <c r="R33" s="716" t="s">
        <v>17</v>
      </c>
      <c r="S33" s="717">
        <f t="shared" si="10"/>
        <v>100</v>
      </c>
      <c r="T33" s="716" t="s">
        <v>17</v>
      </c>
      <c r="U33" s="717">
        <f t="shared" si="11"/>
        <v>100</v>
      </c>
      <c r="V33" s="716" t="s">
        <v>17</v>
      </c>
      <c r="W33" s="717">
        <f t="shared" si="12"/>
        <v>100</v>
      </c>
      <c r="X33" s="718"/>
      <c r="Y33" s="3273"/>
      <c r="Z33" s="719">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273"/>
      <c r="Q34" s="1536" t="str">
        <f>B34</f>
        <v>宗地面积</v>
      </c>
      <c r="R34" s="713" t="s">
        <v>17</v>
      </c>
      <c r="S34" s="714" t="e">
        <f t="shared" si="10"/>
        <v>#N/A</v>
      </c>
      <c r="T34" s="713" t="s">
        <v>17</v>
      </c>
      <c r="U34" s="714" t="e">
        <f t="shared" si="11"/>
        <v>#N/A</v>
      </c>
      <c r="V34" s="713" t="s">
        <v>17</v>
      </c>
      <c r="W34" s="714" t="e">
        <f t="shared" si="12"/>
        <v>#N/A</v>
      </c>
      <c r="X34" s="1539"/>
      <c r="Y34" s="3273"/>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273"/>
      <c r="Q35" s="1536" t="str">
        <f t="shared" ref="Q35:Q40" si="14">B35</f>
        <v>宗地形状</v>
      </c>
      <c r="R35" s="713" t="s">
        <v>17</v>
      </c>
      <c r="S35" s="714">
        <f t="shared" si="10"/>
        <v>100</v>
      </c>
      <c r="T35" s="713" t="s">
        <v>17</v>
      </c>
      <c r="U35" s="714">
        <f t="shared" si="11"/>
        <v>100</v>
      </c>
      <c r="V35" s="713" t="s">
        <v>17</v>
      </c>
      <c r="W35" s="714">
        <f t="shared" si="12"/>
        <v>100</v>
      </c>
      <c r="X35" s="1539"/>
      <c r="Y35" s="3273"/>
      <c r="Z35" s="1540" t="str">
        <f t="shared" si="13"/>
        <v>宗地形状</v>
      </c>
      <c r="AA35" s="1537">
        <f t="shared" si="3"/>
        <v>1</v>
      </c>
      <c r="AB35" s="1537">
        <f t="shared" si="4"/>
        <v>1</v>
      </c>
      <c r="AC35" s="1537">
        <f t="shared" si="5"/>
        <v>1</v>
      </c>
    </row>
    <row r="36" spans="1:31" s="113" customFormat="1" ht="15">
      <c r="A36" s="432"/>
      <c r="B36" s="381" t="s">
        <v>2574</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273"/>
      <c r="Q36" s="1536" t="str">
        <f t="shared" si="14"/>
        <v>宗地开发程度</v>
      </c>
      <c r="R36" s="709" t="s">
        <v>17</v>
      </c>
      <c r="S36" s="710">
        <f t="shared" si="10"/>
        <v>100</v>
      </c>
      <c r="T36" s="709" t="s">
        <v>17</v>
      </c>
      <c r="U36" s="710">
        <f t="shared" si="11"/>
        <v>100</v>
      </c>
      <c r="V36" s="709" t="s">
        <v>17</v>
      </c>
      <c r="W36" s="710">
        <f t="shared" si="12"/>
        <v>100</v>
      </c>
      <c r="X36" s="711"/>
      <c r="Y36" s="3273"/>
      <c r="Z36" s="55" t="str">
        <f t="shared" si="13"/>
        <v>宗地开发程度</v>
      </c>
      <c r="AA36" s="712">
        <f t="shared" si="3"/>
        <v>1</v>
      </c>
      <c r="AB36" s="712">
        <f t="shared" si="4"/>
        <v>1</v>
      </c>
      <c r="AC36" s="712">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273" t="s">
        <v>2385</v>
      </c>
      <c r="Q37" s="1536" t="str">
        <f t="shared" si="14"/>
        <v>工程地质条件</v>
      </c>
      <c r="R37" s="713" t="s">
        <v>17</v>
      </c>
      <c r="S37" s="714">
        <f t="shared" si="10"/>
        <v>100</v>
      </c>
      <c r="T37" s="713" t="s">
        <v>17</v>
      </c>
      <c r="U37" s="714">
        <f t="shared" si="11"/>
        <v>100</v>
      </c>
      <c r="V37" s="713" t="s">
        <v>17</v>
      </c>
      <c r="W37" s="714">
        <f t="shared" si="12"/>
        <v>100</v>
      </c>
      <c r="X37" s="1539"/>
      <c r="Y37" s="3273" t="s">
        <v>2385</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273"/>
      <c r="Q38" s="1536">
        <f t="shared" si="14"/>
        <v>111</v>
      </c>
      <c r="R38" s="713" t="s">
        <v>17</v>
      </c>
      <c r="S38" s="714">
        <f t="shared" si="10"/>
        <v>100</v>
      </c>
      <c r="T38" s="713" t="s">
        <v>17</v>
      </c>
      <c r="U38" s="714">
        <f t="shared" si="11"/>
        <v>100</v>
      </c>
      <c r="V38" s="713" t="s">
        <v>17</v>
      </c>
      <c r="W38" s="714">
        <f t="shared" si="12"/>
        <v>100</v>
      </c>
      <c r="X38" s="1539"/>
      <c r="Y38" s="3273"/>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273"/>
      <c r="Q39" s="1536">
        <f t="shared" si="14"/>
        <v>111</v>
      </c>
      <c r="R39" s="713" t="s">
        <v>17</v>
      </c>
      <c r="S39" s="714">
        <f t="shared" si="10"/>
        <v>100</v>
      </c>
      <c r="T39" s="713" t="s">
        <v>17</v>
      </c>
      <c r="U39" s="714">
        <f t="shared" si="11"/>
        <v>100</v>
      </c>
      <c r="V39" s="713" t="s">
        <v>17</v>
      </c>
      <c r="W39" s="714">
        <f t="shared" si="12"/>
        <v>100</v>
      </c>
      <c r="X39" s="1539"/>
      <c r="Y39" s="3273"/>
      <c r="Z39" s="1540">
        <f t="shared" si="13"/>
        <v>111</v>
      </c>
      <c r="AA39" s="1537">
        <f t="shared" si="3"/>
        <v>1</v>
      </c>
      <c r="AB39" s="1537">
        <f t="shared" si="4"/>
        <v>1</v>
      </c>
      <c r="AC39" s="1537">
        <f t="shared" si="5"/>
        <v>1</v>
      </c>
    </row>
    <row r="40" spans="1:31" s="430" customFormat="1" ht="15.75"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273"/>
      <c r="Q40" s="1536">
        <f t="shared" si="14"/>
        <v>111</v>
      </c>
      <c r="R40" s="716" t="s">
        <v>17</v>
      </c>
      <c r="S40" s="717">
        <f t="shared" si="10"/>
        <v>100</v>
      </c>
      <c r="T40" s="716" t="s">
        <v>17</v>
      </c>
      <c r="U40" s="717">
        <f t="shared" si="11"/>
        <v>100</v>
      </c>
      <c r="V40" s="716" t="s">
        <v>17</v>
      </c>
      <c r="W40" s="717">
        <f t="shared" si="12"/>
        <v>100</v>
      </c>
      <c r="X40" s="718"/>
      <c r="Y40" s="3273"/>
      <c r="Z40" s="719">
        <f t="shared" si="13"/>
        <v>111</v>
      </c>
      <c r="AA40" s="1537">
        <f t="shared" si="3"/>
        <v>1</v>
      </c>
      <c r="AB40" s="1537">
        <f t="shared" si="4"/>
        <v>1</v>
      </c>
      <c r="AC40" s="1537">
        <f t="shared" si="5"/>
        <v>1</v>
      </c>
    </row>
    <row r="41" spans="1:31" ht="15">
      <c r="A41" s="438" t="s">
        <v>2540</v>
      </c>
      <c r="B41" s="2165" t="s">
        <v>2620</v>
      </c>
      <c r="C41" s="638" t="s">
        <v>1</v>
      </c>
      <c r="D41" s="440"/>
      <c r="E41" s="441"/>
      <c r="F41" s="442"/>
      <c r="G41" s="443"/>
      <c r="H41" s="444"/>
      <c r="I41" s="441"/>
      <c r="J41" s="444"/>
      <c r="K41" s="722"/>
      <c r="L41" s="2936"/>
      <c r="M41" s="2928"/>
      <c r="N41" s="2928"/>
      <c r="O41" s="2937"/>
      <c r="P41" s="3266" t="str">
        <f>A41</f>
        <v>成交单价</v>
      </c>
      <c r="Q41" s="3266"/>
      <c r="R41" s="3297">
        <f>E41</f>
        <v>0</v>
      </c>
      <c r="S41" s="3297"/>
      <c r="T41" s="3297">
        <f>G41</f>
        <v>0</v>
      </c>
      <c r="U41" s="3297"/>
      <c r="V41" s="3297">
        <f>I41</f>
        <v>0</v>
      </c>
      <c r="W41" s="3297"/>
      <c r="X41" s="698"/>
      <c r="Y41" s="720"/>
      <c r="Z41" s="698"/>
      <c r="AA41" s="698"/>
      <c r="AB41" s="698"/>
      <c r="AC41" s="698"/>
    </row>
    <row r="42" spans="1:31" ht="15.75" thickBot="1">
      <c r="A42" s="445" t="s">
        <v>2489</v>
      </c>
      <c r="B42" s="639"/>
      <c r="C42" s="448" t="e">
        <f>R43</f>
        <v>#DIV/0!</v>
      </c>
      <c r="D42" s="2535" t="s">
        <v>2876</v>
      </c>
      <c r="E42" s="448" t="e">
        <f>R42</f>
        <v>#DIV/0!</v>
      </c>
      <c r="F42" s="2536"/>
      <c r="G42" s="447" t="e">
        <f>T42</f>
        <v>#DIV/0!</v>
      </c>
      <c r="H42" s="2536"/>
      <c r="I42" s="448" t="e">
        <f>V42</f>
        <v>#DIV/0!</v>
      </c>
      <c r="J42" s="2536"/>
      <c r="K42" s="2538">
        <f>F42+H42+J42</f>
        <v>0</v>
      </c>
      <c r="L42" s="2936"/>
      <c r="M42" s="2928"/>
      <c r="N42" s="2928"/>
      <c r="O42" s="2937"/>
      <c r="P42" s="3266" t="str">
        <f>A42</f>
        <v>比较价值（元/平方米）</v>
      </c>
      <c r="Q42" s="3266"/>
      <c r="R42" s="3350" t="e">
        <f>ROUND(PRODUCT(R41,AA7:AA40),0)</f>
        <v>#DIV/0!</v>
      </c>
      <c r="S42" s="3350"/>
      <c r="T42" s="3350" t="e">
        <f>ROUND(PRODUCT(T41,AB7:AB40),0)</f>
        <v>#DIV/0!</v>
      </c>
      <c r="U42" s="3350"/>
      <c r="V42" s="3350" t="e">
        <f>ROUND(PRODUCT(V41,AC7:AC40),0)</f>
        <v>#DIV/0!</v>
      </c>
      <c r="W42" s="3350"/>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36"/>
      <c r="M43" s="2928"/>
      <c r="N43" s="2928"/>
      <c r="O43" s="2937"/>
      <c r="P43" s="3263" t="str">
        <f>A43</f>
        <v>估价对象XX用房的比较价值（楼面单价，元/平方米）</v>
      </c>
      <c r="Q43" s="3264"/>
      <c r="R43" s="3351" t="e">
        <f>ROUND(IF(D42="简单平均",AVERAGE(R42:W42),R42*F42+T42*H42+V42*J42),0)</f>
        <v>#DIV/0!</v>
      </c>
      <c r="S43" s="3351"/>
      <c r="T43" s="3351"/>
      <c r="U43" s="3351"/>
      <c r="V43" s="3351"/>
      <c r="W43" s="3351"/>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5"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40" t="s">
        <v>2578</v>
      </c>
      <c r="B50" s="641" t="s">
        <v>2579</v>
      </c>
      <c r="C50" s="2166" t="s">
        <v>2580</v>
      </c>
      <c r="D50" s="2167" t="s">
        <v>2581</v>
      </c>
      <c r="E50" s="642" t="s">
        <v>2582</v>
      </c>
      <c r="F50" s="643" t="s">
        <v>2583</v>
      </c>
      <c r="G50" s="3281" t="s">
        <v>2584</v>
      </c>
      <c r="H50" s="3352"/>
      <c r="I50" s="1540" t="s">
        <v>2621</v>
      </c>
      <c r="J50" s="1540" t="str">
        <f>项目基本情况!F35</f>
        <v>广东省深圳市</v>
      </c>
      <c r="K50" s="2169" t="s">
        <v>2586</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2587</v>
      </c>
      <c r="B51" s="645" t="e">
        <f>C43</f>
        <v>#DIV/0!</v>
      </c>
      <c r="C51" s="646">
        <v>1</v>
      </c>
      <c r="D51" s="1074">
        <v>1</v>
      </c>
      <c r="E51" s="646">
        <f>'数据-汇总表'!E8+'数据-汇总表'!E9</f>
        <v>1041.3899999999999</v>
      </c>
      <c r="F51" s="647" t="e">
        <f t="shared" ref="F51:F60" si="15">ROUND(B51*E51/10000,0)</f>
        <v>#DIV/0!</v>
      </c>
      <c r="G51" s="3277"/>
      <c r="H51" s="3266"/>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2588</v>
      </c>
      <c r="B52" s="224" t="e">
        <f>ROUND($C$43*C52*D52,0)</f>
        <v>#DIV/0!</v>
      </c>
      <c r="C52" s="176">
        <f t="shared" ref="C52:C60" si="16">IF($C$50="北京市系数",I52,J52)</f>
        <v>0</v>
      </c>
      <c r="D52" s="1075">
        <v>0.25</v>
      </c>
      <c r="E52" s="650"/>
      <c r="F52" s="647" t="e">
        <f t="shared" si="15"/>
        <v>#DIV/0!</v>
      </c>
      <c r="G52" s="3353" t="s">
        <v>2589</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2590</v>
      </c>
      <c r="B53" s="224" t="e">
        <f t="shared" ref="B53:B60" si="17">ROUND($C$43*C53*D53,0)</f>
        <v>#DIV/0!</v>
      </c>
      <c r="C53" s="176">
        <f t="shared" si="16"/>
        <v>0</v>
      </c>
      <c r="D53" s="1075">
        <v>0.25</v>
      </c>
      <c r="E53" s="650"/>
      <c r="F53" s="647" t="e">
        <f t="shared" si="15"/>
        <v>#DIV/0!</v>
      </c>
      <c r="G53" s="3353"/>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2591</v>
      </c>
      <c r="B54" s="224" t="e">
        <f t="shared" si="17"/>
        <v>#DIV/0!</v>
      </c>
      <c r="C54" s="176">
        <f t="shared" si="16"/>
        <v>0</v>
      </c>
      <c r="D54" s="1075">
        <v>0.25</v>
      </c>
      <c r="E54" s="650"/>
      <c r="F54" s="647" t="e">
        <f t="shared" si="15"/>
        <v>#DIV/0!</v>
      </c>
      <c r="G54" s="3353"/>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2592</v>
      </c>
      <c r="B55" s="224" t="e">
        <f t="shared" si="17"/>
        <v>#DIV/0!</v>
      </c>
      <c r="C55" s="176">
        <f t="shared" si="16"/>
        <v>0</v>
      </c>
      <c r="D55" s="1075">
        <v>0.25</v>
      </c>
      <c r="E55" s="650"/>
      <c r="F55" s="647" t="e">
        <f t="shared" si="15"/>
        <v>#DIV/0!</v>
      </c>
      <c r="G55" s="3353"/>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2593</v>
      </c>
      <c r="B56" s="224" t="e">
        <f t="shared" si="17"/>
        <v>#DIV/0!</v>
      </c>
      <c r="C56" s="176">
        <f t="shared" si="16"/>
        <v>0</v>
      </c>
      <c r="D56" s="1075">
        <v>0.25</v>
      </c>
      <c r="E56" s="223">
        <f>'数据-汇总表'!E11</f>
        <v>0</v>
      </c>
      <c r="F56" s="647" t="e">
        <f t="shared" si="15"/>
        <v>#DIV/0!</v>
      </c>
      <c r="G56" s="2170" t="s">
        <v>2594</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2599</v>
      </c>
      <c r="B59" s="224" t="e">
        <f t="shared" si="17"/>
        <v>#DIV/0!</v>
      </c>
      <c r="C59" s="176">
        <f t="shared" si="16"/>
        <v>0</v>
      </c>
      <c r="D59" s="1075">
        <v>0.25</v>
      </c>
      <c r="E59" s="223">
        <f>'数据-汇总表'!E14</f>
        <v>0</v>
      </c>
      <c r="F59" s="647" t="e">
        <f t="shared" si="15"/>
        <v>#DIV/0!</v>
      </c>
      <c r="G59" s="2170" t="s">
        <v>2589</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5" thickBot="1">
      <c r="A60" s="649" t="s">
        <v>2600</v>
      </c>
      <c r="B60" s="224" t="e">
        <f t="shared" si="17"/>
        <v>#DIV/0!</v>
      </c>
      <c r="C60" s="176">
        <f t="shared" si="16"/>
        <v>0</v>
      </c>
      <c r="D60" s="1075">
        <v>0.25</v>
      </c>
      <c r="E60" s="223">
        <f>'数据-汇总表'!E15</f>
        <v>0</v>
      </c>
      <c r="F60" s="647" t="e">
        <f t="shared" si="15"/>
        <v>#DIV/0!</v>
      </c>
      <c r="G60" s="2171" t="s">
        <v>2594</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1.75" thickBot="1">
      <c r="A64" s="702" t="s">
        <v>2494</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5">
      <c r="A65" s="2172" t="s">
        <v>2602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2" t="s">
        <v>2405</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5">
      <c r="A68" s="478" t="s">
        <v>2370</v>
      </c>
      <c r="B68" s="467"/>
      <c r="C68" s="479" t="s">
        <v>2472</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c r="A70" s="484" t="s">
        <v>2408</v>
      </c>
      <c r="B70" s="485" t="s">
        <v>2374</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1"/>
      <c r="B72" s="495" t="s">
        <v>2377</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5.75"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5.75"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5.75"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5.75"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5.75"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5.75"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c r="A83" s="484" t="s">
        <v>2379</v>
      </c>
      <c r="B83" s="485" t="s">
        <v>2525</v>
      </c>
      <c r="C83" s="530" t="s">
        <v>2417</v>
      </c>
      <c r="D83" s="530" t="s">
        <v>2418</v>
      </c>
      <c r="E83" s="530" t="s">
        <v>2419</v>
      </c>
      <c r="F83" s="530" t="s">
        <v>2420</v>
      </c>
      <c r="G83" s="530" t="s">
        <v>2421</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1"/>
      <c r="B85" s="495" t="s">
        <v>2422</v>
      </c>
      <c r="C85" s="535" t="s">
        <v>2417</v>
      </c>
      <c r="D85" s="535" t="s">
        <v>2418</v>
      </c>
      <c r="E85" s="535" t="s">
        <v>2419</v>
      </c>
      <c r="F85" s="535" t="s">
        <v>2420</v>
      </c>
      <c r="G85" s="535" t="s">
        <v>2421</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1"/>
      <c r="B97" s="495" t="s">
        <v>2511</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1"/>
      <c r="B99" s="495" t="s">
        <v>2570</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5"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5.75"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2612</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2614</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2615</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5"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5.75"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2" t="s">
        <v>2624</v>
      </c>
      <c r="B1" s="203"/>
      <c r="C1" s="207" t="s">
        <v>2625</v>
      </c>
      <c r="D1" s="348">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2" t="s">
        <v>2639</v>
      </c>
      <c r="D3" s="2183" t="s">
        <v>2640</v>
      </c>
      <c r="E3" s="2188"/>
      <c r="F3" s="2189" t="s">
        <v>2641</v>
      </c>
      <c r="G3" s="854" t="e">
        <f>IF(F3="宗地容积率",'数据-汇总表'!I4,IF(F3="估价对象容积率",'数据-汇总表'!I6,'数据-汇总表'!I7))</f>
        <v>#DIV/0!</v>
      </c>
      <c r="H3" s="175"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61"/>
      <c r="B4" s="3362"/>
      <c r="C4" s="3362"/>
      <c r="D4" s="3363"/>
      <c r="E4" s="3363"/>
      <c r="F4" s="3363"/>
      <c r="G4" s="3363"/>
      <c r="H4" s="3363"/>
      <c r="I4" s="3363"/>
      <c r="J4" s="3364"/>
      <c r="K4" s="1279"/>
      <c r="L4" s="2187"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2646</v>
      </c>
      <c r="C5" s="855" t="e">
        <f>ROUND(IF(E2="商业",C6*C7+C16,(IF(E2="住宅",C6*C12+C16,C6+C16))),0)</f>
        <v>#DIV/0!</v>
      </c>
      <c r="D5" s="1523" t="e">
        <f>ROUND(C6+C16,0)</f>
        <v>#DIV/0!</v>
      </c>
      <c r="E5" s="1523"/>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2648</v>
      </c>
      <c r="B6" s="2201" t="s">
        <v>2649</v>
      </c>
      <c r="C6" s="856">
        <f>SUMIF(L1:L12,G2,M1:M12)</f>
        <v>0</v>
      </c>
      <c r="D6" s="2202" t="s">
        <v>2650</v>
      </c>
      <c r="E6" s="2203"/>
      <c r="F6" s="2203"/>
      <c r="G6" s="2204"/>
      <c r="H6" s="2204"/>
      <c r="I6" s="2204"/>
      <c r="J6" s="2205"/>
      <c r="K6" s="1568"/>
      <c r="L6" s="2187"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65" t="str">
        <f>IF(E2="商业",IF(C8="不临58条商业街","",2),"")</f>
        <v/>
      </c>
      <c r="B7" s="2206" t="s">
        <v>2652</v>
      </c>
      <c r="C7" s="857" t="e">
        <f>IF(C8="不临58条商业街",1,ROUND(1+(1.6*E8+1.2*E9+0.8*E10+0.4*E11)*C9,4))</f>
        <v>#DIV/0!</v>
      </c>
      <c r="D7" s="2207" t="s">
        <v>2653</v>
      </c>
      <c r="E7" s="881"/>
      <c r="F7" s="2208"/>
      <c r="G7" s="2209"/>
      <c r="H7" s="2209"/>
      <c r="I7" s="2209"/>
      <c r="J7" s="2210"/>
      <c r="K7" s="1568"/>
      <c r="L7" s="2187"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2655</v>
      </c>
      <c r="X7" s="1375">
        <f>G2</f>
        <v>0</v>
      </c>
      <c r="Y7" s="1375" t="s">
        <v>2656</v>
      </c>
      <c r="Z7" s="1376" t="e">
        <f>G3</f>
        <v>#DIV/0!</v>
      </c>
      <c r="AA7" s="1377"/>
      <c r="AB7" s="1377"/>
      <c r="AC7" s="1378"/>
      <c r="AD7" s="1379"/>
      <c r="AE7" s="1379"/>
      <c r="AF7" s="1379"/>
      <c r="AG7" s="1379"/>
      <c r="AH7" s="1379"/>
      <c r="AI7" s="1379"/>
      <c r="AJ7" s="1380"/>
    </row>
    <row r="8" spans="1:36" ht="15">
      <c r="A8" s="3366"/>
      <c r="B8" s="175"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58" t="s">
        <v>2660</v>
      </c>
      <c r="X8" s="3359"/>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66"/>
      <c r="B9" s="175" t="s">
        <v>2673</v>
      </c>
      <c r="C9" s="860">
        <f>SUMIF(修正!C59:C119,C8,修正!E59:E119)</f>
        <v>0</v>
      </c>
      <c r="D9" s="176" t="s">
        <v>140</v>
      </c>
      <c r="E9" s="176"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60"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6"/>
      <c r="B10" s="175" t="s">
        <v>2678</v>
      </c>
      <c r="C10" s="176">
        <f>SUMIF(修正!C59:C119,C8,修正!F59:F119)</f>
        <v>0</v>
      </c>
      <c r="D10" s="176" t="s">
        <v>141</v>
      </c>
      <c r="E10" s="176"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6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66"/>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60"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65"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60"/>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7"/>
      <c r="B13" s="2225" t="s">
        <v>2691</v>
      </c>
      <c r="C13" s="2226" t="s">
        <v>2692</v>
      </c>
      <c r="D13" s="1534" t="s">
        <v>2693</v>
      </c>
      <c r="E13" s="1534" t="s">
        <v>2694</v>
      </c>
      <c r="F13" s="30" t="s">
        <v>2695</v>
      </c>
      <c r="G13" s="2227" t="s">
        <v>2696</v>
      </c>
      <c r="H13" s="2227" t="s">
        <v>2696</v>
      </c>
      <c r="I13" s="2227" t="s">
        <v>2696</v>
      </c>
      <c r="J13" s="2228" t="s">
        <v>2696</v>
      </c>
      <c r="K13" s="1279"/>
      <c r="L13" s="1279"/>
      <c r="M13" s="1279"/>
      <c r="N13" s="1279"/>
      <c r="O13" s="1279"/>
      <c r="P13" s="1279"/>
      <c r="Q13" s="1279"/>
      <c r="R13" s="1373">
        <v>12</v>
      </c>
      <c r="S13" s="1374"/>
      <c r="T13" s="1373" t="e">
        <f t="shared" si="0"/>
        <v>#DIV/0!</v>
      </c>
      <c r="U13" s="1374"/>
      <c r="V13" s="1373" t="e">
        <f t="shared" si="1"/>
        <v>#DIV/0!</v>
      </c>
      <c r="W13" s="3360"/>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67"/>
      <c r="B14" s="2229"/>
      <c r="C14" s="2230"/>
      <c r="D14" s="2231"/>
      <c r="E14" s="2231"/>
      <c r="F14" s="2232"/>
      <c r="G14" s="2233" t="s">
        <v>2697</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75" thickBot="1">
      <c r="A15" s="3368"/>
      <c r="B15" s="2237" t="s">
        <v>2698</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65" t="s">
        <v>2703</v>
      </c>
      <c r="B16" s="2206" t="s">
        <v>2704</v>
      </c>
      <c r="C16" s="2368" t="e">
        <f>ROUND(IF(F17="与级别开发程度一致",0,(G17-E17)/C17),0)</f>
        <v>#DIV/0!</v>
      </c>
      <c r="D16" s="3381" t="s">
        <v>2708</v>
      </c>
      <c r="E16" s="3382"/>
      <c r="F16" s="3381" t="s">
        <v>2705</v>
      </c>
      <c r="G16" s="3382"/>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5" thickBot="1">
      <c r="A17" s="3369"/>
      <c r="B17" s="2379" t="s">
        <v>2707</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2710</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7.75" thickBot="1">
      <c r="A19" s="2243" t="s">
        <v>809</v>
      </c>
      <c r="B19" s="2244" t="s">
        <v>2711</v>
      </c>
      <c r="C19" s="862" t="e">
        <f>ROUND(IF(H19="按公示增长率计算",SUMPRODUCT((地价!A3:A32=YEAR(G19)&amp;"-"&amp;ROUNDUP(MONTH(G19)/3,0))*(地价!X2:AB2=E2)*(地价!X3:AB32)),IF(H19="地价指数",M20/M19,(1+I19)^O19)),4)</f>
        <v>#VALUE!</v>
      </c>
      <c r="D19" s="2248" t="s">
        <v>2712</v>
      </c>
      <c r="E19" s="863">
        <v>41640</v>
      </c>
      <c r="F19" s="2248" t="s">
        <v>2713</v>
      </c>
      <c r="G19" s="864">
        <f>'数据-取费表'!B2</f>
        <v>44132</v>
      </c>
      <c r="H19" s="2249"/>
      <c r="I19" s="865" t="str">
        <f>IF(H19="季度增幅（自定义）",SUMIF(N21:N24,E2,O21:O24),"")</f>
        <v/>
      </c>
      <c r="J19" s="2246"/>
      <c r="K19" s="1286"/>
      <c r="L19" s="2250" t="s">
        <v>2714</v>
      </c>
      <c r="M19" s="1497">
        <f>ROUND(SUMIF(地价!B2:F2,E2,地价!B32:F32),0)</f>
        <v>0</v>
      </c>
      <c r="N19" s="2251"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7.75" thickBot="1">
      <c r="A20" s="2253" t="s">
        <v>810</v>
      </c>
      <c r="B20" s="2254" t="s">
        <v>2716</v>
      </c>
      <c r="C20" s="867" t="e">
        <f>ROUND(POWER(1+G20,J20-I20)*(POWER(1+G20,I20)-1)/(POWER(1+G20,J20)-1),4)</f>
        <v>#DIV/0!</v>
      </c>
      <c r="D20" s="2255" t="s">
        <v>2717</v>
      </c>
      <c r="E20" s="1506">
        <f ca="1">存贷款利率!D4/100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8">
        <f>ROUND(SUMPRODUCT((地价!A4:A32=YEAR(G19)&amp;"-"&amp;ROUNDUP(MONTH(G19)/3,0))*(地价!B2:F2=E2)*(地价!B4:F32)),0)</f>
        <v>0</v>
      </c>
      <c r="N20" s="2257" t="s">
        <v>2720</v>
      </c>
      <c r="O20" s="2258" t="s">
        <v>2721</v>
      </c>
      <c r="P20" s="2259" t="s">
        <v>2722</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5">
      <c r="A21" s="2260" t="s">
        <v>811</v>
      </c>
      <c r="B21" s="2261" t="s">
        <v>2723</v>
      </c>
      <c r="C21" s="875" t="e">
        <f>IF(B21="容积率修正",IF(G3&lt;=10,D22,J22),C23)</f>
        <v>#DIV/0!</v>
      </c>
      <c r="D21" s="2262"/>
      <c r="E21" s="2262"/>
      <c r="F21" s="2262"/>
      <c r="G21" s="2262"/>
      <c r="H21" s="2262"/>
      <c r="I21" s="2262"/>
      <c r="J21" s="2263"/>
      <c r="K21" s="1286"/>
      <c r="L21" s="3002"/>
      <c r="M21" s="3002"/>
      <c r="N21" s="2264" t="s">
        <v>2724</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25">
      <c r="A22" s="2138" t="s">
        <v>2725</v>
      </c>
      <c r="B22" s="2265" t="s">
        <v>2726</v>
      </c>
      <c r="C22" s="1536" t="s">
        <v>2727</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2728</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7.75" thickBot="1">
      <c r="A23" s="2138" t="s">
        <v>2729</v>
      </c>
      <c r="B23" s="2266" t="s">
        <v>2730</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2731</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2732</v>
      </c>
      <c r="C24" s="862">
        <f>SUMIF(A45:A88,E2,B45:B88)</f>
        <v>0</v>
      </c>
      <c r="D24" s="2245"/>
      <c r="E24" s="2272"/>
      <c r="F24" s="2272"/>
      <c r="G24" s="2272"/>
      <c r="H24" s="2272"/>
      <c r="I24" s="2272"/>
      <c r="J24" s="2273"/>
      <c r="K24" s="1286"/>
      <c r="L24" s="3002"/>
      <c r="M24" s="3002"/>
      <c r="N24" s="2274" t="s">
        <v>2733</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75" thickBot="1">
      <c r="A25" s="2253" t="s">
        <v>813</v>
      </c>
      <c r="B25" s="2275" t="s">
        <v>2734</v>
      </c>
      <c r="C25" s="868"/>
      <c r="D25" s="2209"/>
      <c r="E25" s="2209"/>
      <c r="F25" s="2276"/>
      <c r="G25" s="2209"/>
      <c r="H25" s="2209"/>
      <c r="I25" s="2209"/>
      <c r="J25" s="2210"/>
      <c r="K25" s="1279"/>
      <c r="L25" s="2180"/>
      <c r="M25" s="2180"/>
      <c r="N25" s="2997" t="s">
        <v>2735</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2736</v>
      </c>
      <c r="C26" s="2539" t="e">
        <f>IF(B21="容积率修正",E29+SUM(E33:E39),SUM(V2:V16)+SUM(E33:E39))</f>
        <v>#DIV/0!</v>
      </c>
      <c r="D26" s="2278"/>
      <c r="E26" s="2234"/>
      <c r="F26" s="2279"/>
      <c r="G26" s="2234"/>
      <c r="H26" s="2234"/>
      <c r="I26" s="2234"/>
      <c r="J26" s="2280"/>
      <c r="K26" s="1279"/>
      <c r="L26" s="3000" t="s">
        <v>2634</v>
      </c>
      <c r="M26" s="2207" t="s">
        <v>2699</v>
      </c>
      <c r="N26" s="2207" t="s">
        <v>2700</v>
      </c>
      <c r="O26" s="2207" t="s">
        <v>2701</v>
      </c>
      <c r="P26" s="300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9"/>
      <c r="L28" s="2241"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80"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2744</v>
      </c>
      <c r="C30" s="193"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78"/>
      <c r="B33" s="2309" t="s">
        <v>2750</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83"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79"/>
      <c r="B34" s="2226" t="s">
        <v>2751</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79"/>
      <c r="B35" s="2226" t="s">
        <v>2752</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7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80"/>
      <c r="B36" s="2226" t="s">
        <v>2753</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80"/>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2758</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2859</v>
      </c>
      <c r="C41" s="348" t="e">
        <f>ROUND(POWER(1+E41,H41-G41)*(POWER(1+E41,G41)-1)/(POWER(1+E41,H41)-1),4)</f>
        <v>#DIV/0!</v>
      </c>
      <c r="D41" s="176" t="s">
        <v>2709</v>
      </c>
      <c r="E41" s="2366">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2759</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2760</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2761</v>
      </c>
      <c r="B47" s="1535" t="s">
        <v>2762</v>
      </c>
      <c r="C47" s="1535" t="s">
        <v>2763</v>
      </c>
      <c r="D47" s="1535" t="s">
        <v>2764</v>
      </c>
      <c r="E47" s="757" t="s">
        <v>2765</v>
      </c>
      <c r="F47" s="2327" t="s">
        <v>2766</v>
      </c>
      <c r="G47" s="1535" t="s">
        <v>754</v>
      </c>
      <c r="H47" s="2328" t="s">
        <v>2767</v>
      </c>
      <c r="I47" s="1535"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6" t="s">
        <v>2769</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2770</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2772</v>
      </c>
      <c r="B51" s="2331" t="s">
        <v>2773</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2775</v>
      </c>
      <c r="B53" s="2332" t="s">
        <v>2776</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2779</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2761</v>
      </c>
      <c r="B58" s="1535"/>
      <c r="C58" s="1535" t="s">
        <v>2763</v>
      </c>
      <c r="D58" s="1535" t="s">
        <v>2764</v>
      </c>
      <c r="E58" s="757" t="s">
        <v>2765</v>
      </c>
      <c r="F58" s="2327" t="s">
        <v>2781</v>
      </c>
      <c r="G58" s="1535" t="s">
        <v>754</v>
      </c>
      <c r="H58" s="2328" t="s">
        <v>2767</v>
      </c>
      <c r="I58" s="1535"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6" t="s">
        <v>2782</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2770</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2772</v>
      </c>
      <c r="B62" s="2331" t="s">
        <v>2773</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2775</v>
      </c>
      <c r="B64" s="2332" t="s">
        <v>2776</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2779</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2761</v>
      </c>
      <c r="B69" s="1535"/>
      <c r="C69" s="1535" t="s">
        <v>2763</v>
      </c>
      <c r="D69" s="1535" t="s">
        <v>2764</v>
      </c>
      <c r="E69" s="757" t="s">
        <v>2765</v>
      </c>
      <c r="F69" s="2327" t="s">
        <v>2781</v>
      </c>
      <c r="G69" s="1535" t="s">
        <v>754</v>
      </c>
      <c r="H69" s="2328" t="s">
        <v>2767</v>
      </c>
      <c r="I69" s="1535"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2770</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2785</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2775</v>
      </c>
      <c r="B76" s="2332" t="s">
        <v>2776</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2779</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2786</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2787</v>
      </c>
      <c r="B79" s="2323">
        <f>1+E81</f>
        <v>1</v>
      </c>
      <c r="C79" s="752"/>
      <c r="D79" s="752"/>
      <c r="E79" s="753"/>
      <c r="F79" s="2325"/>
      <c r="G79" s="6"/>
      <c r="H79" s="6"/>
      <c r="I79" s="6"/>
      <c r="J79" s="7"/>
      <c r="K79" s="7"/>
      <c r="L79" s="7"/>
      <c r="M79" s="7"/>
      <c r="N79" s="7"/>
      <c r="Z79" s="2181"/>
      <c r="AA79" s="2247"/>
      <c r="AG79" s="1281"/>
      <c r="AK79" s="2247"/>
    </row>
    <row r="80" spans="1:37" ht="24.75">
      <c r="A80" s="2326" t="s">
        <v>2761</v>
      </c>
      <c r="B80" s="1535"/>
      <c r="C80" s="1535" t="s">
        <v>2763</v>
      </c>
      <c r="D80" s="1535" t="s">
        <v>2764</v>
      </c>
      <c r="E80" s="757" t="s">
        <v>2765</v>
      </c>
      <c r="F80" s="2327" t="s">
        <v>2781</v>
      </c>
      <c r="G80" s="1535" t="s">
        <v>754</v>
      </c>
      <c r="H80" s="2328" t="s">
        <v>2767</v>
      </c>
      <c r="I80" s="1535" t="s">
        <v>2768</v>
      </c>
      <c r="J80" s="560" t="s">
        <v>2417</v>
      </c>
      <c r="K80" s="560" t="s">
        <v>2418</v>
      </c>
      <c r="L80" s="560" t="s">
        <v>2419</v>
      </c>
      <c r="M80" s="560" t="s">
        <v>2420</v>
      </c>
      <c r="N80" s="560" t="s">
        <v>2421</v>
      </c>
      <c r="Z80" s="2181"/>
      <c r="AA80" s="2247"/>
      <c r="AG80" s="1281"/>
      <c r="AK80" s="2247"/>
    </row>
    <row r="81" spans="1:37" ht="38.25">
      <c r="A81" s="2326" t="s">
        <v>2788</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2770</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2785</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2777</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2778</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2775</v>
      </c>
      <c r="B87" s="2332" t="s">
        <v>2789</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2790</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70" t="s">
        <v>2791</v>
      </c>
      <c r="B90" s="3370"/>
      <c r="C90" s="3370"/>
      <c r="D90" s="3370"/>
      <c r="E90" s="3370"/>
      <c r="F90" s="3370"/>
      <c r="G90" s="3370"/>
      <c r="H90" s="3370"/>
      <c r="I90" s="3370"/>
      <c r="J90" s="3370"/>
      <c r="K90" s="2340"/>
      <c r="L90" s="2340"/>
      <c r="M90" s="2340"/>
      <c r="N90" s="2340"/>
    </row>
    <row r="91" spans="1:37">
      <c r="A91" s="3372" t="s">
        <v>2792</v>
      </c>
      <c r="B91" s="3372" t="s">
        <v>2793</v>
      </c>
      <c r="C91" s="2294" t="s">
        <v>2794</v>
      </c>
      <c r="D91" s="2295"/>
      <c r="E91" s="2295"/>
      <c r="F91" s="2295"/>
      <c r="G91" s="2295"/>
      <c r="H91" s="2295"/>
      <c r="I91" s="2295"/>
      <c r="J91" s="2341"/>
      <c r="K91" s="2342"/>
      <c r="L91" s="2342"/>
      <c r="M91" s="2342"/>
      <c r="N91" s="2342"/>
    </row>
    <row r="92" spans="1:37">
      <c r="A92" s="3372"/>
      <c r="B92" s="3372"/>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73"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74"/>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74"/>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74"/>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74"/>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74"/>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74"/>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75"/>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73" t="s">
        <v>2796</v>
      </c>
      <c r="B101" s="2347" t="s">
        <v>2797</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74"/>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74"/>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74"/>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74"/>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74"/>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74"/>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74"/>
      <c r="B108" s="3376"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75"/>
      <c r="B109" s="3377"/>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71" t="s">
        <v>2799</v>
      </c>
      <c r="B110" s="3371"/>
      <c r="C110" s="3371"/>
      <c r="D110" s="3371"/>
      <c r="E110" s="3371"/>
      <c r="F110" s="3371"/>
      <c r="G110" s="3371"/>
      <c r="H110" s="3371"/>
      <c r="I110" s="3371"/>
      <c r="J110" s="3371"/>
      <c r="K110" s="2349"/>
      <c r="L110" s="2349"/>
      <c r="M110" s="2349"/>
      <c r="N110" s="2349"/>
    </row>
    <row r="112" spans="1:14" ht="13.5" thickBot="1"/>
    <row r="113" spans="1:13" ht="25.5" thickBot="1">
      <c r="A113" s="841" t="s">
        <v>2800</v>
      </c>
      <c r="B113" s="1196" t="e">
        <f>G3</f>
        <v>#DIV/0!</v>
      </c>
      <c r="C113" s="842" t="s">
        <v>2801</v>
      </c>
      <c r="D113" s="843" t="e">
        <f>SUMPRODUCT((A115:A118=F113)*(B114:M114=H113)*B115:M118)</f>
        <v>#DIV/0!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4" t="s">
        <v>183</v>
      </c>
      <c r="B18" s="820" t="s">
        <v>560</v>
      </c>
      <c r="C18" s="821" t="s">
        <v>561</v>
      </c>
      <c r="D18" s="822"/>
      <c r="E18" s="820">
        <v>1</v>
      </c>
      <c r="F18" s="823" t="s">
        <v>562</v>
      </c>
      <c r="G18" s="824"/>
      <c r="H18" s="816"/>
      <c r="I18" s="816"/>
    </row>
    <row r="19" spans="1:9" s="825" customFormat="1" ht="19.5" customHeight="1">
      <c r="A19" s="3384"/>
      <c r="B19" s="3384" t="s">
        <v>563</v>
      </c>
      <c r="C19" s="821" t="s">
        <v>564</v>
      </c>
      <c r="D19" s="822"/>
      <c r="E19" s="820">
        <v>0.9</v>
      </c>
      <c r="F19" s="823" t="s">
        <v>565</v>
      </c>
      <c r="G19" s="824"/>
      <c r="H19" s="816"/>
      <c r="I19" s="816"/>
    </row>
    <row r="20" spans="1:9" s="825" customFormat="1" ht="19.5" customHeight="1">
      <c r="A20" s="3384"/>
      <c r="B20" s="3384"/>
      <c r="C20" s="821" t="s">
        <v>566</v>
      </c>
      <c r="D20" s="822"/>
      <c r="E20" s="820">
        <v>1.1000000000000001</v>
      </c>
      <c r="F20" s="823" t="s">
        <v>567</v>
      </c>
      <c r="G20" s="824"/>
      <c r="H20" s="816"/>
      <c r="I20" s="816"/>
    </row>
    <row r="21" spans="1:9" s="825" customFormat="1" ht="19.5" customHeight="1">
      <c r="A21" s="3384"/>
      <c r="B21" s="3384"/>
      <c r="C21" s="821" t="s">
        <v>568</v>
      </c>
      <c r="D21" s="822"/>
      <c r="E21" s="820">
        <v>0.8</v>
      </c>
      <c r="F21" s="823" t="s">
        <v>569</v>
      </c>
      <c r="G21" s="824"/>
      <c r="H21" s="816"/>
      <c r="I21" s="816"/>
    </row>
    <row r="22" spans="1:9" s="825" customFormat="1" ht="19.5" customHeight="1">
      <c r="A22" s="3384"/>
      <c r="B22" s="3384"/>
      <c r="C22" s="821" t="s">
        <v>570</v>
      </c>
      <c r="D22" s="822"/>
      <c r="E22" s="820">
        <v>0.5</v>
      </c>
      <c r="F22" s="823"/>
      <c r="G22" s="824"/>
      <c r="H22" s="816"/>
      <c r="I22" s="816"/>
    </row>
    <row r="23" spans="1:9" s="825" customFormat="1" ht="19.5" customHeight="1">
      <c r="A23" s="3384" t="s">
        <v>184</v>
      </c>
      <c r="B23" s="820" t="s">
        <v>560</v>
      </c>
      <c r="C23" s="821" t="s">
        <v>571</v>
      </c>
      <c r="D23" s="822"/>
      <c r="E23" s="820">
        <v>1</v>
      </c>
      <c r="F23" s="823" t="s">
        <v>572</v>
      </c>
      <c r="G23" s="824"/>
      <c r="H23" s="816"/>
      <c r="I23" s="816"/>
    </row>
    <row r="24" spans="1:9" s="825" customFormat="1" ht="19.5" customHeight="1">
      <c r="A24" s="3384"/>
      <c r="B24" s="3384" t="s">
        <v>563</v>
      </c>
      <c r="C24" s="821" t="s">
        <v>573</v>
      </c>
      <c r="D24" s="822"/>
      <c r="E24" s="820">
        <v>0.5</v>
      </c>
      <c r="F24" s="823"/>
      <c r="G24" s="824"/>
      <c r="H24" s="816"/>
      <c r="I24" s="816"/>
    </row>
    <row r="25" spans="1:9" s="825" customFormat="1" ht="19.5" customHeight="1">
      <c r="A25" s="3384"/>
      <c r="B25" s="3384"/>
      <c r="C25" s="821" t="s">
        <v>574</v>
      </c>
      <c r="D25" s="822"/>
      <c r="E25" s="820">
        <v>1.1000000000000001</v>
      </c>
      <c r="F25" s="823"/>
      <c r="G25" s="824"/>
      <c r="H25" s="816"/>
      <c r="I25" s="816"/>
    </row>
    <row r="26" spans="1:9" s="825" customFormat="1" ht="19.5" customHeight="1">
      <c r="A26" s="3384"/>
      <c r="B26" s="3384"/>
      <c r="C26" s="821" t="s">
        <v>575</v>
      </c>
      <c r="D26" s="822"/>
      <c r="E26" s="820">
        <v>1.1000000000000001</v>
      </c>
      <c r="F26" s="823"/>
      <c r="G26" s="824"/>
      <c r="H26" s="816"/>
      <c r="I26" s="816"/>
    </row>
    <row r="27" spans="1:9" s="825" customFormat="1" ht="19.5" customHeight="1">
      <c r="A27" s="3384"/>
      <c r="B27" s="3384"/>
      <c r="C27" s="821" t="s">
        <v>576</v>
      </c>
      <c r="D27" s="822"/>
      <c r="E27" s="820">
        <v>0.9</v>
      </c>
      <c r="F27" s="823" t="s">
        <v>577</v>
      </c>
      <c r="G27" s="824"/>
      <c r="H27" s="816"/>
      <c r="I27" s="816"/>
    </row>
    <row r="28" spans="1:9" s="825" customFormat="1" ht="19.5" customHeight="1">
      <c r="A28" s="3384"/>
      <c r="B28" s="3384"/>
      <c r="C28" s="821" t="s">
        <v>578</v>
      </c>
      <c r="D28" s="822"/>
      <c r="E28" s="820">
        <v>0.9</v>
      </c>
      <c r="F28" s="823" t="s">
        <v>579</v>
      </c>
      <c r="G28" s="824"/>
      <c r="H28" s="816"/>
      <c r="I28" s="816"/>
    </row>
    <row r="29" spans="1:9" s="825" customFormat="1" ht="19.5" customHeight="1">
      <c r="A29" s="3384"/>
      <c r="B29" s="3384"/>
      <c r="C29" s="821" t="s">
        <v>580</v>
      </c>
      <c r="D29" s="822"/>
      <c r="E29" s="820">
        <v>0.9</v>
      </c>
      <c r="F29" s="823" t="s">
        <v>581</v>
      </c>
      <c r="G29" s="824"/>
      <c r="H29" s="816"/>
      <c r="I29" s="816"/>
    </row>
    <row r="30" spans="1:9" s="825" customFormat="1" ht="19.5" customHeight="1">
      <c r="A30" s="3384"/>
      <c r="B30" s="3384"/>
      <c r="C30" s="821" t="s">
        <v>582</v>
      </c>
      <c r="D30" s="822"/>
      <c r="E30" s="820">
        <v>0.9</v>
      </c>
      <c r="F30" s="823" t="s">
        <v>583</v>
      </c>
      <c r="G30" s="824"/>
      <c r="H30" s="816"/>
      <c r="I30" s="816"/>
    </row>
    <row r="31" spans="1:9" s="825" customFormat="1" ht="19.5" customHeight="1">
      <c r="A31" s="3384"/>
      <c r="B31" s="3384"/>
      <c r="C31" s="821" t="s">
        <v>584</v>
      </c>
      <c r="D31" s="822"/>
      <c r="E31" s="820">
        <v>0.8</v>
      </c>
      <c r="F31" s="823" t="s">
        <v>585</v>
      </c>
      <c r="G31" s="824"/>
      <c r="H31" s="816"/>
      <c r="I31" s="816"/>
    </row>
    <row r="32" spans="1:9" s="825" customFormat="1" ht="19.5" customHeight="1">
      <c r="A32" s="3384"/>
      <c r="B32" s="3384"/>
      <c r="C32" s="821" t="s">
        <v>586</v>
      </c>
      <c r="D32" s="822"/>
      <c r="E32" s="820">
        <v>0.8</v>
      </c>
      <c r="F32" s="823" t="s">
        <v>587</v>
      </c>
      <c r="G32" s="824"/>
      <c r="H32" s="816"/>
      <c r="I32" s="816"/>
    </row>
    <row r="33" spans="1:9" s="825" customFormat="1" ht="19.5" customHeight="1">
      <c r="A33" s="3384" t="s">
        <v>185</v>
      </c>
      <c r="B33" s="820" t="s">
        <v>560</v>
      </c>
      <c r="C33" s="821" t="s">
        <v>588</v>
      </c>
      <c r="D33" s="822"/>
      <c r="E33" s="820">
        <v>1</v>
      </c>
      <c r="F33" s="823" t="s">
        <v>589</v>
      </c>
      <c r="G33" s="824"/>
      <c r="H33" s="816"/>
      <c r="I33" s="816"/>
    </row>
    <row r="34" spans="1:9" s="825" customFormat="1" ht="19.5" customHeight="1">
      <c r="A34" s="3384"/>
      <c r="B34" s="820" t="s">
        <v>563</v>
      </c>
      <c r="C34" s="821" t="s">
        <v>590</v>
      </c>
      <c r="D34" s="822"/>
      <c r="E34" s="820">
        <v>1.5</v>
      </c>
      <c r="F34" s="823" t="s">
        <v>591</v>
      </c>
      <c r="G34" s="824"/>
      <c r="H34" s="816"/>
      <c r="I34" s="816"/>
    </row>
    <row r="35" spans="1:9" s="825" customFormat="1" ht="19.5" customHeight="1">
      <c r="A35" s="3384" t="s">
        <v>186</v>
      </c>
      <c r="B35" s="820" t="s">
        <v>560</v>
      </c>
      <c r="C35" s="821" t="s">
        <v>592</v>
      </c>
      <c r="D35" s="822"/>
      <c r="E35" s="820">
        <v>1</v>
      </c>
      <c r="F35" s="823" t="s">
        <v>593</v>
      </c>
      <c r="G35" s="824"/>
      <c r="H35" s="816"/>
      <c r="I35" s="816"/>
    </row>
    <row r="36" spans="1:9" s="825" customFormat="1" ht="19.5" customHeight="1">
      <c r="A36" s="3384"/>
      <c r="B36" s="3384" t="s">
        <v>563</v>
      </c>
      <c r="C36" s="821" t="s">
        <v>594</v>
      </c>
      <c r="D36" s="822"/>
      <c r="E36" s="820">
        <v>1</v>
      </c>
      <c r="F36" s="823" t="s">
        <v>595</v>
      </c>
      <c r="G36" s="824"/>
      <c r="H36" s="816"/>
      <c r="I36" s="816"/>
    </row>
    <row r="37" spans="1:9" s="825" customFormat="1" ht="19.5" customHeight="1">
      <c r="A37" s="3384"/>
      <c r="B37" s="3384"/>
      <c r="C37" s="821" t="s">
        <v>596</v>
      </c>
      <c r="D37" s="822"/>
      <c r="E37" s="820">
        <v>1.5</v>
      </c>
      <c r="F37" s="823" t="s">
        <v>597</v>
      </c>
      <c r="G37" s="824"/>
      <c r="H37" s="816"/>
      <c r="I37" s="816"/>
    </row>
    <row r="38" spans="1:9" s="825" customFormat="1" ht="19.5" customHeight="1">
      <c r="A38" s="3384"/>
      <c r="B38" s="3384"/>
      <c r="C38" s="821" t="s">
        <v>598</v>
      </c>
      <c r="D38" s="822"/>
      <c r="E38" s="820">
        <v>1</v>
      </c>
      <c r="F38" s="823" t="s">
        <v>599</v>
      </c>
      <c r="G38" s="824"/>
      <c r="H38" s="816"/>
      <c r="I38" s="816"/>
    </row>
    <row r="39" spans="1:9" s="825" customFormat="1" ht="19.5" customHeight="1">
      <c r="A39" s="3384"/>
      <c r="B39" s="338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4" t="s">
        <v>614</v>
      </c>
      <c r="C61" s="756" t="s">
        <v>615</v>
      </c>
      <c r="D61" s="756" t="s">
        <v>616</v>
      </c>
      <c r="E61" s="833">
        <v>0.5</v>
      </c>
      <c r="F61" s="820">
        <v>80</v>
      </c>
    </row>
    <row r="62" spans="1:8" s="816" customFormat="1" ht="24">
      <c r="A62" s="820">
        <v>2</v>
      </c>
      <c r="B62" s="3384"/>
      <c r="C62" s="756" t="s">
        <v>617</v>
      </c>
      <c r="D62" s="756" t="s">
        <v>618</v>
      </c>
      <c r="E62" s="833">
        <v>0.5</v>
      </c>
      <c r="F62" s="820">
        <v>80</v>
      </c>
    </row>
    <row r="63" spans="1:8" s="816" customFormat="1" ht="36">
      <c r="A63" s="820">
        <v>3</v>
      </c>
      <c r="B63" s="3384"/>
      <c r="C63" s="756" t="s">
        <v>619</v>
      </c>
      <c r="D63" s="756" t="s">
        <v>620</v>
      </c>
      <c r="E63" s="833">
        <v>0.5</v>
      </c>
      <c r="F63" s="820">
        <v>80</v>
      </c>
    </row>
    <row r="64" spans="1:8" s="816" customFormat="1" ht="36">
      <c r="A64" s="820">
        <v>4</v>
      </c>
      <c r="B64" s="3384"/>
      <c r="C64" s="756" t="s">
        <v>621</v>
      </c>
      <c r="D64" s="756" t="s">
        <v>622</v>
      </c>
      <c r="E64" s="833">
        <v>0.4</v>
      </c>
      <c r="F64" s="820">
        <v>60</v>
      </c>
    </row>
    <row r="65" spans="1:6" s="816" customFormat="1" ht="36">
      <c r="A65" s="820">
        <v>5</v>
      </c>
      <c r="B65" s="3384"/>
      <c r="C65" s="756" t="s">
        <v>623</v>
      </c>
      <c r="D65" s="756" t="s">
        <v>624</v>
      </c>
      <c r="E65" s="833">
        <v>0.2</v>
      </c>
      <c r="F65" s="820">
        <v>30</v>
      </c>
    </row>
    <row r="66" spans="1:6" s="816" customFormat="1" ht="36">
      <c r="A66" s="820">
        <v>6</v>
      </c>
      <c r="B66" s="3384"/>
      <c r="C66" s="756" t="s">
        <v>625</v>
      </c>
      <c r="D66" s="756" t="s">
        <v>626</v>
      </c>
      <c r="E66" s="833">
        <v>0.3</v>
      </c>
      <c r="F66" s="820">
        <v>50</v>
      </c>
    </row>
    <row r="67" spans="1:6" s="816" customFormat="1" ht="36">
      <c r="A67" s="820">
        <v>7</v>
      </c>
      <c r="B67" s="3384"/>
      <c r="C67" s="756" t="s">
        <v>627</v>
      </c>
      <c r="D67" s="756" t="s">
        <v>628</v>
      </c>
      <c r="E67" s="833">
        <v>0.2</v>
      </c>
      <c r="F67" s="820">
        <v>30</v>
      </c>
    </row>
    <row r="68" spans="1:6" s="816" customFormat="1" ht="36">
      <c r="A68" s="820">
        <v>8</v>
      </c>
      <c r="B68" s="3384"/>
      <c r="C68" s="756" t="s">
        <v>629</v>
      </c>
      <c r="D68" s="756" t="s">
        <v>630</v>
      </c>
      <c r="E68" s="833">
        <v>0.2</v>
      </c>
      <c r="F68" s="820">
        <v>30</v>
      </c>
    </row>
    <row r="69" spans="1:6" s="816" customFormat="1" ht="36">
      <c r="A69" s="820">
        <v>9</v>
      </c>
      <c r="B69" s="3384"/>
      <c r="C69" s="756" t="s">
        <v>631</v>
      </c>
      <c r="D69" s="756" t="s">
        <v>632</v>
      </c>
      <c r="E69" s="833">
        <v>0.2</v>
      </c>
      <c r="F69" s="820">
        <v>30</v>
      </c>
    </row>
    <row r="70" spans="1:6" s="816" customFormat="1" ht="48">
      <c r="A70" s="820">
        <v>10</v>
      </c>
      <c r="B70" s="3384"/>
      <c r="C70" s="756" t="s">
        <v>633</v>
      </c>
      <c r="D70" s="756" t="s">
        <v>634</v>
      </c>
      <c r="E70" s="833">
        <v>0.2</v>
      </c>
      <c r="F70" s="820">
        <v>30</v>
      </c>
    </row>
    <row r="71" spans="1:6" s="816" customFormat="1" ht="48">
      <c r="A71" s="820">
        <v>11</v>
      </c>
      <c r="B71" s="3384"/>
      <c r="C71" s="756" t="s">
        <v>635</v>
      </c>
      <c r="D71" s="756" t="s">
        <v>636</v>
      </c>
      <c r="E71" s="833">
        <v>0.2</v>
      </c>
      <c r="F71" s="820">
        <v>30</v>
      </c>
    </row>
    <row r="72" spans="1:6" s="816" customFormat="1" ht="36">
      <c r="A72" s="820">
        <v>12</v>
      </c>
      <c r="B72" s="3384"/>
      <c r="C72" s="756" t="s">
        <v>637</v>
      </c>
      <c r="D72" s="756" t="s">
        <v>638</v>
      </c>
      <c r="E72" s="833">
        <v>0.5</v>
      </c>
      <c r="F72" s="820">
        <v>80</v>
      </c>
    </row>
    <row r="73" spans="1:6" s="816" customFormat="1" ht="24">
      <c r="A73" s="820">
        <v>13</v>
      </c>
      <c r="B73" s="3384"/>
      <c r="C73" s="756" t="s">
        <v>639</v>
      </c>
      <c r="D73" s="756" t="s">
        <v>640</v>
      </c>
      <c r="E73" s="833">
        <v>0.4</v>
      </c>
      <c r="F73" s="820">
        <v>60</v>
      </c>
    </row>
    <row r="74" spans="1:6" s="816" customFormat="1" ht="24">
      <c r="A74" s="820">
        <v>14</v>
      </c>
      <c r="B74" s="3384"/>
      <c r="C74" s="756" t="s">
        <v>641</v>
      </c>
      <c r="D74" s="756" t="s">
        <v>642</v>
      </c>
      <c r="E74" s="833">
        <v>0.2</v>
      </c>
      <c r="F74" s="820">
        <v>30</v>
      </c>
    </row>
    <row r="75" spans="1:6" s="816" customFormat="1" ht="24">
      <c r="A75" s="820">
        <v>15</v>
      </c>
      <c r="B75" s="3384"/>
      <c r="C75" s="756" t="s">
        <v>643</v>
      </c>
      <c r="D75" s="756" t="s">
        <v>644</v>
      </c>
      <c r="E75" s="833">
        <v>0.2</v>
      </c>
      <c r="F75" s="820">
        <v>30</v>
      </c>
    </row>
    <row r="76" spans="1:6" s="816" customFormat="1" ht="24">
      <c r="A76" s="820">
        <v>16</v>
      </c>
      <c r="B76" s="3384" t="s">
        <v>645</v>
      </c>
      <c r="C76" s="756" t="s">
        <v>646</v>
      </c>
      <c r="D76" s="756" t="s">
        <v>647</v>
      </c>
      <c r="E76" s="833">
        <v>0.5</v>
      </c>
      <c r="F76" s="820">
        <v>80</v>
      </c>
    </row>
    <row r="77" spans="1:6" s="816" customFormat="1" ht="24">
      <c r="A77" s="820">
        <v>17</v>
      </c>
      <c r="B77" s="3384"/>
      <c r="C77" s="756" t="s">
        <v>648</v>
      </c>
      <c r="D77" s="756" t="s">
        <v>649</v>
      </c>
      <c r="E77" s="833">
        <v>0.5</v>
      </c>
      <c r="F77" s="820">
        <v>80</v>
      </c>
    </row>
    <row r="78" spans="1:6" s="816" customFormat="1" ht="24">
      <c r="A78" s="820">
        <v>18</v>
      </c>
      <c r="B78" s="3384"/>
      <c r="C78" s="756" t="s">
        <v>650</v>
      </c>
      <c r="D78" s="756" t="s">
        <v>651</v>
      </c>
      <c r="E78" s="833">
        <v>0.2</v>
      </c>
      <c r="F78" s="820">
        <v>30</v>
      </c>
    </row>
    <row r="79" spans="1:6" s="816" customFormat="1" ht="24">
      <c r="A79" s="820">
        <v>19</v>
      </c>
      <c r="B79" s="3384"/>
      <c r="C79" s="756" t="s">
        <v>652</v>
      </c>
      <c r="D79" s="756" t="s">
        <v>653</v>
      </c>
      <c r="E79" s="833">
        <v>0.5</v>
      </c>
      <c r="F79" s="820">
        <v>80</v>
      </c>
    </row>
    <row r="80" spans="1:6" s="816" customFormat="1" ht="36">
      <c r="A80" s="820">
        <v>20</v>
      </c>
      <c r="B80" s="3384"/>
      <c r="C80" s="756" t="s">
        <v>654</v>
      </c>
      <c r="D80" s="756" t="s">
        <v>655</v>
      </c>
      <c r="E80" s="833">
        <v>0.2</v>
      </c>
      <c r="F80" s="820">
        <v>30</v>
      </c>
    </row>
    <row r="81" spans="1:6" s="816" customFormat="1" ht="36">
      <c r="A81" s="820">
        <v>21</v>
      </c>
      <c r="B81" s="3384"/>
      <c r="C81" s="756" t="s">
        <v>656</v>
      </c>
      <c r="D81" s="756" t="s">
        <v>657</v>
      </c>
      <c r="E81" s="833">
        <v>0.2</v>
      </c>
      <c r="F81" s="820">
        <v>30</v>
      </c>
    </row>
    <row r="82" spans="1:6" s="816" customFormat="1" ht="48">
      <c r="A82" s="820">
        <v>22</v>
      </c>
      <c r="B82" s="3384"/>
      <c r="C82" s="756" t="s">
        <v>658</v>
      </c>
      <c r="D82" s="756" t="s">
        <v>659</v>
      </c>
      <c r="E82" s="833">
        <v>0.2</v>
      </c>
      <c r="F82" s="820">
        <v>30</v>
      </c>
    </row>
    <row r="83" spans="1:6" s="816" customFormat="1" ht="48">
      <c r="A83" s="820">
        <v>23</v>
      </c>
      <c r="B83" s="3384"/>
      <c r="C83" s="756" t="s">
        <v>660</v>
      </c>
      <c r="D83" s="756" t="s">
        <v>661</v>
      </c>
      <c r="E83" s="833">
        <v>0.2</v>
      </c>
      <c r="F83" s="820">
        <v>30</v>
      </c>
    </row>
    <row r="84" spans="1:6" s="816" customFormat="1" ht="36">
      <c r="A84" s="820">
        <v>24</v>
      </c>
      <c r="B84" s="3384"/>
      <c r="C84" s="756" t="s">
        <v>662</v>
      </c>
      <c r="D84" s="756" t="s">
        <v>663</v>
      </c>
      <c r="E84" s="833">
        <v>0.2</v>
      </c>
      <c r="F84" s="820">
        <v>30</v>
      </c>
    </row>
    <row r="85" spans="1:6" s="816" customFormat="1" ht="36">
      <c r="A85" s="820">
        <v>25</v>
      </c>
      <c r="B85" s="3384"/>
      <c r="C85" s="756" t="s">
        <v>664</v>
      </c>
      <c r="D85" s="756" t="s">
        <v>665</v>
      </c>
      <c r="E85" s="833">
        <v>0.5</v>
      </c>
      <c r="F85" s="820">
        <v>80</v>
      </c>
    </row>
    <row r="86" spans="1:6" s="816" customFormat="1" ht="36">
      <c r="A86" s="820">
        <v>26</v>
      </c>
      <c r="B86" s="3384"/>
      <c r="C86" s="756" t="s">
        <v>666</v>
      </c>
      <c r="D86" s="756" t="s">
        <v>667</v>
      </c>
      <c r="E86" s="833">
        <v>0.2</v>
      </c>
      <c r="F86" s="820">
        <v>30</v>
      </c>
    </row>
    <row r="87" spans="1:6" s="816" customFormat="1" ht="36">
      <c r="A87" s="820">
        <v>27</v>
      </c>
      <c r="B87" s="3384"/>
      <c r="C87" s="756" t="s">
        <v>668</v>
      </c>
      <c r="D87" s="756" t="s">
        <v>669</v>
      </c>
      <c r="E87" s="833">
        <v>0.2</v>
      </c>
      <c r="F87" s="820">
        <v>30</v>
      </c>
    </row>
    <row r="88" spans="1:6" s="816" customFormat="1" ht="36">
      <c r="A88" s="820">
        <v>28</v>
      </c>
      <c r="B88" s="3384"/>
      <c r="C88" s="756" t="s">
        <v>670</v>
      </c>
      <c r="D88" s="756" t="s">
        <v>671</v>
      </c>
      <c r="E88" s="833">
        <v>0.2</v>
      </c>
      <c r="F88" s="820">
        <v>30</v>
      </c>
    </row>
    <row r="89" spans="1:6" s="816" customFormat="1" ht="24">
      <c r="A89" s="820">
        <v>29</v>
      </c>
      <c r="B89" s="3384"/>
      <c r="C89" s="756" t="s">
        <v>672</v>
      </c>
      <c r="D89" s="756" t="s">
        <v>673</v>
      </c>
      <c r="E89" s="833">
        <v>0.2</v>
      </c>
      <c r="F89" s="820">
        <v>30</v>
      </c>
    </row>
    <row r="90" spans="1:6" s="816" customFormat="1" ht="24">
      <c r="A90" s="820">
        <v>30</v>
      </c>
      <c r="B90" s="3384"/>
      <c r="C90" s="756" t="s">
        <v>674</v>
      </c>
      <c r="D90" s="756" t="s">
        <v>675</v>
      </c>
      <c r="E90" s="833">
        <v>0.2</v>
      </c>
      <c r="F90" s="820">
        <v>30</v>
      </c>
    </row>
    <row r="91" spans="1:6" s="816" customFormat="1" ht="36">
      <c r="A91" s="820">
        <v>31</v>
      </c>
      <c r="B91" s="3384"/>
      <c r="C91" s="756" t="s">
        <v>676</v>
      </c>
      <c r="D91" s="756" t="s">
        <v>677</v>
      </c>
      <c r="E91" s="833">
        <v>0.2</v>
      </c>
      <c r="F91" s="820">
        <v>30</v>
      </c>
    </row>
    <row r="92" spans="1:6" s="816" customFormat="1" ht="24">
      <c r="A92" s="820">
        <v>32</v>
      </c>
      <c r="B92" s="3384" t="s">
        <v>678</v>
      </c>
      <c r="C92" s="820" t="s">
        <v>679</v>
      </c>
      <c r="D92" s="756" t="s">
        <v>680</v>
      </c>
      <c r="E92" s="833">
        <v>0.2</v>
      </c>
      <c r="F92" s="820">
        <v>30</v>
      </c>
    </row>
    <row r="93" spans="1:6" s="816" customFormat="1" ht="36">
      <c r="A93" s="820">
        <v>33</v>
      </c>
      <c r="B93" s="3384"/>
      <c r="C93" s="820" t="s">
        <v>681</v>
      </c>
      <c r="D93" s="756" t="s">
        <v>682</v>
      </c>
      <c r="E93" s="833">
        <v>0.2</v>
      </c>
      <c r="F93" s="820">
        <v>30</v>
      </c>
    </row>
    <row r="94" spans="1:6" s="816" customFormat="1" ht="48">
      <c r="A94" s="820">
        <v>34</v>
      </c>
      <c r="B94" s="3384"/>
      <c r="C94" s="820" t="s">
        <v>683</v>
      </c>
      <c r="D94" s="756" t="s">
        <v>684</v>
      </c>
      <c r="E94" s="833">
        <v>0.2</v>
      </c>
      <c r="F94" s="820">
        <v>30</v>
      </c>
    </row>
    <row r="95" spans="1:6" s="816" customFormat="1" ht="36">
      <c r="A95" s="820">
        <v>35</v>
      </c>
      <c r="B95" s="3384"/>
      <c r="C95" s="820" t="s">
        <v>685</v>
      </c>
      <c r="D95" s="756" t="s">
        <v>686</v>
      </c>
      <c r="E95" s="833">
        <v>0.2</v>
      </c>
      <c r="F95" s="820">
        <v>30</v>
      </c>
    </row>
    <row r="96" spans="1:6" s="816" customFormat="1" ht="48">
      <c r="A96" s="820">
        <v>36</v>
      </c>
      <c r="B96" s="3384"/>
      <c r="C96" s="756" t="s">
        <v>687</v>
      </c>
      <c r="D96" s="756" t="s">
        <v>688</v>
      </c>
      <c r="E96" s="833">
        <v>0.2</v>
      </c>
      <c r="F96" s="820">
        <v>30</v>
      </c>
    </row>
    <row r="97" spans="1:6" s="816" customFormat="1" ht="36">
      <c r="A97" s="820">
        <v>37</v>
      </c>
      <c r="B97" s="3384"/>
      <c r="C97" s="820" t="s">
        <v>689</v>
      </c>
      <c r="D97" s="756" t="s">
        <v>690</v>
      </c>
      <c r="E97" s="833">
        <v>0.2</v>
      </c>
      <c r="F97" s="820">
        <v>30</v>
      </c>
    </row>
    <row r="98" spans="1:6" s="816" customFormat="1" ht="36">
      <c r="A98" s="820">
        <v>38</v>
      </c>
      <c r="B98" s="3384"/>
      <c r="C98" s="820" t="s">
        <v>691</v>
      </c>
      <c r="D98" s="756" t="s">
        <v>692</v>
      </c>
      <c r="E98" s="833">
        <v>0.2</v>
      </c>
      <c r="F98" s="820">
        <v>30</v>
      </c>
    </row>
    <row r="99" spans="1:6" s="816" customFormat="1" ht="36">
      <c r="A99" s="820">
        <v>39</v>
      </c>
      <c r="B99" s="3384" t="s">
        <v>693</v>
      </c>
      <c r="C99" s="820" t="s">
        <v>694</v>
      </c>
      <c r="D99" s="756" t="s">
        <v>695</v>
      </c>
      <c r="E99" s="833">
        <v>0.3</v>
      </c>
      <c r="F99" s="820">
        <v>50</v>
      </c>
    </row>
    <row r="100" spans="1:6" s="816" customFormat="1" ht="24">
      <c r="A100" s="820">
        <v>40</v>
      </c>
      <c r="B100" s="3384"/>
      <c r="C100" s="820" t="s">
        <v>696</v>
      </c>
      <c r="D100" s="756" t="s">
        <v>697</v>
      </c>
      <c r="E100" s="833">
        <v>0.2</v>
      </c>
      <c r="F100" s="820">
        <v>30</v>
      </c>
    </row>
    <row r="101" spans="1:6" s="816" customFormat="1" ht="36">
      <c r="A101" s="820">
        <v>41</v>
      </c>
      <c r="B101" s="338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4" t="s">
        <v>708</v>
      </c>
      <c r="C105" s="820" t="s">
        <v>709</v>
      </c>
      <c r="D105" s="756" t="s">
        <v>710</v>
      </c>
      <c r="E105" s="833">
        <v>0.2</v>
      </c>
      <c r="F105" s="820">
        <v>30</v>
      </c>
    </row>
    <row r="106" spans="1:6" s="816" customFormat="1" ht="36">
      <c r="A106" s="820">
        <v>46</v>
      </c>
      <c r="B106" s="3384"/>
      <c r="C106" s="820" t="s">
        <v>711</v>
      </c>
      <c r="D106" s="756" t="s">
        <v>712</v>
      </c>
      <c r="E106" s="833">
        <v>0.2</v>
      </c>
      <c r="F106" s="820">
        <v>30</v>
      </c>
    </row>
    <row r="107" spans="1:6" s="816" customFormat="1" ht="36">
      <c r="A107" s="820">
        <v>47</v>
      </c>
      <c r="B107" s="3384" t="s">
        <v>713</v>
      </c>
      <c r="C107" s="820" t="s">
        <v>714</v>
      </c>
      <c r="D107" s="756" t="s">
        <v>715</v>
      </c>
      <c r="E107" s="833">
        <v>0.3</v>
      </c>
      <c r="F107" s="820">
        <v>50</v>
      </c>
    </row>
    <row r="108" spans="1:6" s="816" customFormat="1" ht="36">
      <c r="A108" s="820">
        <v>48</v>
      </c>
      <c r="B108" s="338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4" t="s">
        <v>724</v>
      </c>
      <c r="C111" s="820" t="s">
        <v>725</v>
      </c>
      <c r="D111" s="756" t="s">
        <v>726</v>
      </c>
      <c r="E111" s="833">
        <v>0.2</v>
      </c>
      <c r="F111" s="820">
        <v>30</v>
      </c>
    </row>
    <row r="112" spans="1:6" s="816" customFormat="1" ht="24">
      <c r="A112" s="820">
        <v>52</v>
      </c>
      <c r="B112" s="3384"/>
      <c r="C112" s="820" t="s">
        <v>727</v>
      </c>
      <c r="D112" s="756" t="s">
        <v>728</v>
      </c>
      <c r="E112" s="833">
        <v>0.2</v>
      </c>
      <c r="F112" s="820">
        <v>30</v>
      </c>
    </row>
    <row r="113" spans="1:6" s="816" customFormat="1" ht="24">
      <c r="A113" s="820">
        <v>53</v>
      </c>
      <c r="B113" s="338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4" t="s">
        <v>737</v>
      </c>
      <c r="C116" s="820" t="s">
        <v>738</v>
      </c>
      <c r="D116" s="756" t="s">
        <v>739</v>
      </c>
      <c r="E116" s="833">
        <v>0.2</v>
      </c>
      <c r="F116" s="820">
        <v>30</v>
      </c>
    </row>
    <row r="117" spans="1:6" ht="36">
      <c r="A117" s="820">
        <v>57</v>
      </c>
      <c r="B117" s="338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0"/>
      <c r="C1" s="2360"/>
      <c r="D1" s="2360"/>
      <c r="E1" s="2360"/>
      <c r="F1" s="3007"/>
      <c r="G1" s="3007"/>
      <c r="H1" s="3007"/>
      <c r="I1" s="3007"/>
      <c r="J1" s="3007"/>
      <c r="K1" s="3007"/>
      <c r="L1" s="3007"/>
      <c r="M1" s="3007"/>
      <c r="N1" s="3007"/>
      <c r="O1" s="3007"/>
      <c r="P1" s="3007"/>
    </row>
    <row r="2" spans="1:16" ht="15.75">
      <c r="A2" s="2358" t="s">
        <v>2814</v>
      </c>
      <c r="B2" s="2811" t="e">
        <f ca="1">SUMIF(B6:B13,"&lt;&gt;#ref!",B6:B13)</f>
        <v>#DIV/0!</v>
      </c>
      <c r="C2" s="2358" t="s">
        <v>2815</v>
      </c>
      <c r="D2" s="2358" t="s">
        <v>2816</v>
      </c>
      <c r="E2" s="2821">
        <f ca="1">SUMIF(E6:E13,"&lt;&gt;#ref!",E6:E13)</f>
        <v>0</v>
      </c>
      <c r="F2" s="3007"/>
      <c r="G2" s="3007"/>
      <c r="H2" s="3007"/>
      <c r="I2" s="3007"/>
      <c r="J2" s="3007"/>
      <c r="K2" s="3007"/>
      <c r="L2" s="3007"/>
      <c r="M2" s="3007"/>
      <c r="N2" s="3007"/>
      <c r="O2" s="3007"/>
      <c r="P2" s="3007"/>
    </row>
    <row r="3" spans="1:16" ht="15.75">
      <c r="A3" s="2358" t="s">
        <v>2817</v>
      </c>
      <c r="B3" s="2811" t="e">
        <f ca="1">ROUND(B2*10000/E2,0)</f>
        <v>#DIV/0!</v>
      </c>
      <c r="C3" s="2358" t="s">
        <v>2823</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7" t="s">
        <v>2818</v>
      </c>
      <c r="B5" s="2819" t="s">
        <v>2819</v>
      </c>
      <c r="C5" s="2359"/>
      <c r="D5" s="3007"/>
      <c r="E5" s="2820" t="s">
        <v>2820</v>
      </c>
      <c r="F5" s="3007"/>
      <c r="G5" s="3007"/>
      <c r="H5" s="3007"/>
      <c r="I5" s="3007"/>
      <c r="J5" s="3007"/>
      <c r="K5" s="3007"/>
      <c r="L5" s="3007"/>
      <c r="M5" s="3007"/>
      <c r="N5" s="3007"/>
      <c r="O5" s="3007"/>
      <c r="P5" s="3007"/>
    </row>
    <row r="6" spans="1:16" ht="15.75">
      <c r="A6" s="2818" t="s">
        <v>2821</v>
      </c>
      <c r="B6" s="2811" t="e">
        <f ca="1">SUMIF(INDIRECT("'"&amp;A6&amp;"'"&amp;"!A:A"),"总价",INDIRECT("'"&amp;A6&amp;"'"&amp;"!B:B"))</f>
        <v>#DIV/0!</v>
      </c>
      <c r="C6" s="2358" t="s">
        <v>2815</v>
      </c>
      <c r="D6" s="3007"/>
      <c r="E6" s="2821">
        <f ca="1">SUMIF(INDIRECT("'"&amp;A6&amp;"'"&amp;"!C:C"),"建筑面积",INDIRECT("'"&amp;A6&amp;"'"&amp;"!D:D"))</f>
        <v>0</v>
      </c>
      <c r="F6" s="3007"/>
      <c r="G6" s="3007"/>
      <c r="H6" s="3007"/>
      <c r="I6" s="3007"/>
      <c r="J6" s="3007"/>
      <c r="K6" s="3007"/>
      <c r="L6" s="3007"/>
      <c r="M6" s="3007"/>
      <c r="N6" s="3007"/>
      <c r="O6" s="3007"/>
      <c r="P6" s="3007"/>
    </row>
    <row r="7" spans="1:16" ht="15.75">
      <c r="A7" s="2818"/>
      <c r="B7" s="2811" t="e">
        <f ca="1">SUMIF(INDIRECT("'"&amp;A7&amp;"'"&amp;"!A:A"),"总价",INDIRECT("'"&amp;A7&amp;"'"&amp;"!B:B"))</f>
        <v>#REF!</v>
      </c>
      <c r="C7" s="2358" t="s">
        <v>2815</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75">
      <c r="A8" s="2818"/>
      <c r="B8" s="2811" t="e">
        <f t="shared" ref="B8:B13" ca="1" si="1">SUMIF(INDIRECT("'"&amp;A8&amp;"'"&amp;"!A:A"),"总价",INDIRECT("'"&amp;A8&amp;"'"&amp;"!B:B"))</f>
        <v>#REF!</v>
      </c>
      <c r="C8" s="2358" t="s">
        <v>2815</v>
      </c>
      <c r="D8" s="3007"/>
      <c r="E8" s="2821" t="e">
        <f t="shared" ca="1" si="0"/>
        <v>#REF!</v>
      </c>
      <c r="F8" s="3007"/>
      <c r="G8" s="3007"/>
      <c r="H8" s="3007"/>
      <c r="I8" s="3007"/>
      <c r="J8" s="3007"/>
      <c r="K8" s="3007"/>
      <c r="L8" s="3007"/>
      <c r="M8" s="3007"/>
      <c r="N8" s="3007"/>
      <c r="O8" s="3007"/>
      <c r="P8" s="3007"/>
    </row>
    <row r="9" spans="1:16" ht="15.75">
      <c r="A9" s="2818"/>
      <c r="B9" s="2811" t="e">
        <f t="shared" ca="1" si="1"/>
        <v>#REF!</v>
      </c>
      <c r="C9" s="2358" t="s">
        <v>2815</v>
      </c>
      <c r="D9" s="3007"/>
      <c r="E9" s="2821" t="e">
        <f t="shared" ca="1" si="0"/>
        <v>#REF!</v>
      </c>
      <c r="F9" s="3007"/>
      <c r="G9" s="3007"/>
      <c r="H9" s="3007"/>
      <c r="I9" s="3007"/>
      <c r="J9" s="3007"/>
      <c r="K9" s="3007"/>
      <c r="L9" s="3007"/>
      <c r="M9" s="3007"/>
      <c r="N9" s="3007"/>
      <c r="O9" s="3007"/>
      <c r="P9" s="3007"/>
    </row>
    <row r="10" spans="1:16" ht="15.75">
      <c r="A10" s="2818"/>
      <c r="B10" s="2811" t="e">
        <f t="shared" ca="1" si="1"/>
        <v>#REF!</v>
      </c>
      <c r="C10" s="2358" t="s">
        <v>2815</v>
      </c>
      <c r="D10" s="3007"/>
      <c r="E10" s="2821" t="e">
        <f t="shared" ca="1" si="0"/>
        <v>#REF!</v>
      </c>
      <c r="F10" s="3007"/>
      <c r="G10" s="3007"/>
      <c r="H10" s="3007"/>
      <c r="I10" s="3007"/>
      <c r="J10" s="3007"/>
      <c r="K10" s="3007"/>
      <c r="L10" s="3007"/>
      <c r="M10" s="3007"/>
      <c r="N10" s="3007"/>
      <c r="O10" s="3007"/>
      <c r="P10" s="3007"/>
    </row>
    <row r="11" spans="1:16" ht="15.75">
      <c r="A11" s="2818"/>
      <c r="B11" s="2811" t="e">
        <f t="shared" ca="1" si="1"/>
        <v>#REF!</v>
      </c>
      <c r="C11" s="2358" t="s">
        <v>2815</v>
      </c>
      <c r="D11" s="3007"/>
      <c r="E11" s="2821" t="e">
        <f t="shared" ca="1" si="0"/>
        <v>#REF!</v>
      </c>
      <c r="F11" s="3007"/>
      <c r="G11" s="3007"/>
      <c r="H11" s="3007"/>
      <c r="I11" s="3007"/>
      <c r="J11" s="3007"/>
      <c r="K11" s="3007"/>
      <c r="L11" s="3007"/>
      <c r="M11" s="3007"/>
      <c r="N11" s="3007"/>
      <c r="O11" s="3007"/>
      <c r="P11" s="3007"/>
    </row>
    <row r="12" spans="1:16" ht="15.75">
      <c r="A12" s="2818"/>
      <c r="B12" s="2811" t="e">
        <f t="shared" ca="1" si="1"/>
        <v>#REF!</v>
      </c>
      <c r="C12" s="2358" t="s">
        <v>2815</v>
      </c>
      <c r="D12" s="3007"/>
      <c r="E12" s="2821" t="e">
        <f t="shared" ca="1" si="0"/>
        <v>#REF!</v>
      </c>
      <c r="F12" s="3007"/>
      <c r="G12" s="3007"/>
      <c r="H12" s="3007"/>
      <c r="I12" s="3007"/>
      <c r="J12" s="3007"/>
      <c r="K12" s="3007"/>
      <c r="L12" s="3007"/>
      <c r="M12" s="3007"/>
      <c r="N12" s="3007"/>
      <c r="O12" s="3007"/>
      <c r="P12" s="3007"/>
    </row>
    <row r="13" spans="1:16" ht="15.75">
      <c r="A13" s="2818"/>
      <c r="B13" s="2811" t="e">
        <f t="shared" ca="1" si="1"/>
        <v>#REF!</v>
      </c>
      <c r="C13" s="2358" t="s">
        <v>2815</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0" t="s">
        <v>1117</v>
      </c>
      <c r="C1" s="3390"/>
      <c r="D1" s="3390"/>
      <c r="E1" s="3390"/>
      <c r="F1" s="3390"/>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3050</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3049</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2868</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2866</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2865</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5" thickBot="1">
      <c r="A10" s="2420" t="s">
        <v>2864</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2862</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5" thickBot="1">
      <c r="A12" s="2420" t="s">
        <v>2860</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2863</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86">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5" customHeight="1">
      <c r="A14" s="2420" t="s">
        <v>2858</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86"/>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5" customHeight="1">
      <c r="A15" s="2420" t="s">
        <v>2857</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86"/>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2850</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95"/>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2848</v>
      </c>
      <c r="B17" s="2435">
        <v>439</v>
      </c>
      <c r="C17" s="2435">
        <v>327</v>
      </c>
      <c r="D17" s="2435">
        <f>C17</f>
        <v>327</v>
      </c>
      <c r="E17" s="2435">
        <v>627</v>
      </c>
      <c r="F17" s="2436">
        <v>283</v>
      </c>
      <c r="G17" s="3391">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5" customHeight="1">
      <c r="A18" s="2420" t="s">
        <v>2849</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86"/>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5"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86"/>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95"/>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91">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86"/>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86"/>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5"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87"/>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5" thickBot="1">
      <c r="A25" s="2420" t="s">
        <v>151</v>
      </c>
      <c r="B25" s="2435">
        <v>333</v>
      </c>
      <c r="C25" s="2435">
        <v>277</v>
      </c>
      <c r="D25" s="2435">
        <f t="shared" si="155"/>
        <v>277</v>
      </c>
      <c r="E25" s="2435">
        <v>459</v>
      </c>
      <c r="F25" s="2436">
        <v>249</v>
      </c>
      <c r="G25" s="3385">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86"/>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86"/>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87"/>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5" thickBot="1">
      <c r="A29" s="2420" t="s">
        <v>147</v>
      </c>
      <c r="B29" s="2449">
        <v>318</v>
      </c>
      <c r="C29" s="2449">
        <v>268</v>
      </c>
      <c r="D29" s="2449">
        <f t="shared" si="155"/>
        <v>268</v>
      </c>
      <c r="E29" s="2449">
        <v>437</v>
      </c>
      <c r="F29" s="2450">
        <v>237</v>
      </c>
      <c r="G29" s="3385">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86"/>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5"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86"/>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5"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87"/>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5" thickBot="1">
      <c r="A33" s="2420" t="s">
        <v>1130</v>
      </c>
      <c r="B33" s="2435">
        <v>299</v>
      </c>
      <c r="C33" s="2435">
        <v>252</v>
      </c>
      <c r="D33" s="2435">
        <f t="shared" si="155"/>
        <v>252</v>
      </c>
      <c r="E33" s="2435">
        <v>409</v>
      </c>
      <c r="F33" s="2436">
        <v>227</v>
      </c>
      <c r="G33" s="3392">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93"/>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93"/>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94"/>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5" thickBot="1">
      <c r="A37" s="2420" t="s">
        <v>1134</v>
      </c>
      <c r="B37" s="2470">
        <v>278</v>
      </c>
      <c r="C37" s="2470">
        <v>234</v>
      </c>
      <c r="D37" s="2470">
        <f t="shared" si="155"/>
        <v>234</v>
      </c>
      <c r="E37" s="2470">
        <v>379</v>
      </c>
      <c r="F37" s="2471">
        <v>220</v>
      </c>
      <c r="G37" s="3385">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86"/>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86"/>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5" thickBot="1">
      <c r="A40" s="2420" t="s">
        <v>1137</v>
      </c>
      <c r="B40" s="2421">
        <f>B39/(1+N39)</f>
        <v>275.19025476197027</v>
      </c>
      <c r="C40" s="2472">
        <v>232</v>
      </c>
      <c r="D40" s="2472">
        <f t="shared" si="155"/>
        <v>232</v>
      </c>
      <c r="E40" s="2421">
        <f t="shared" si="166"/>
        <v>375.65990977608692</v>
      </c>
      <c r="F40" s="2421">
        <f t="shared" si="166"/>
        <v>214.12518283971252</v>
      </c>
      <c r="G40" s="3387"/>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5" thickBot="1">
      <c r="A41" s="2420" t="s">
        <v>1138</v>
      </c>
      <c r="B41" s="2435">
        <v>275</v>
      </c>
      <c r="C41" s="2435">
        <v>232</v>
      </c>
      <c r="D41" s="2435">
        <f t="shared" si="155"/>
        <v>232</v>
      </c>
      <c r="E41" s="2435">
        <v>376</v>
      </c>
      <c r="F41" s="2436">
        <v>213</v>
      </c>
      <c r="G41" s="3385">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86">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86">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5"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87">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5" thickBot="1">
      <c r="A45" s="2420" t="s">
        <v>1142</v>
      </c>
      <c r="B45" s="2435">
        <v>269</v>
      </c>
      <c r="C45" s="2435">
        <v>221</v>
      </c>
      <c r="D45" s="2435">
        <f t="shared" si="155"/>
        <v>221</v>
      </c>
      <c r="E45" s="2435">
        <v>373</v>
      </c>
      <c r="F45" s="2436">
        <v>196</v>
      </c>
      <c r="G45" s="3385">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86">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86">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5"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87">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5" thickBot="1">
      <c r="A49" s="2420" t="s">
        <v>1146</v>
      </c>
      <c r="B49" s="2435">
        <v>220</v>
      </c>
      <c r="C49" s="2435">
        <v>187</v>
      </c>
      <c r="D49" s="2435">
        <f t="shared" si="155"/>
        <v>187</v>
      </c>
      <c r="E49" s="2435">
        <v>301</v>
      </c>
      <c r="F49" s="2436">
        <v>168</v>
      </c>
      <c r="G49" s="3385">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86">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86">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87">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5" thickBot="1">
      <c r="A53" s="2420" t="s">
        <v>1150</v>
      </c>
      <c r="B53" s="2470">
        <v>214</v>
      </c>
      <c r="C53" s="2470">
        <v>188</v>
      </c>
      <c r="D53" s="2470">
        <f t="shared" si="155"/>
        <v>188</v>
      </c>
      <c r="E53" s="2470">
        <v>289</v>
      </c>
      <c r="F53" s="2471">
        <v>166</v>
      </c>
      <c r="G53" s="3385">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86">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86">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5"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87">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5" thickBot="1">
      <c r="A57" s="2420" t="s">
        <v>1154</v>
      </c>
      <c r="B57" s="2435">
        <v>188</v>
      </c>
      <c r="C57" s="2435">
        <v>165</v>
      </c>
      <c r="D57" s="2435">
        <f t="shared" si="155"/>
        <v>165</v>
      </c>
      <c r="E57" s="2435">
        <v>254</v>
      </c>
      <c r="F57" s="2436">
        <v>148</v>
      </c>
      <c r="G57" s="3385">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86">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86">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87">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5" thickBot="1">
      <c r="A61" s="2420" t="s">
        <v>1158</v>
      </c>
      <c r="B61" s="2449">
        <v>159</v>
      </c>
      <c r="C61" s="2449">
        <v>141</v>
      </c>
      <c r="D61" s="2449">
        <f t="shared" si="155"/>
        <v>141</v>
      </c>
      <c r="E61" s="2449">
        <v>195</v>
      </c>
      <c r="F61" s="2450">
        <v>122</v>
      </c>
      <c r="G61" s="3385">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86">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86">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87">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5" thickBot="1">
      <c r="A65" s="2420" t="s">
        <v>1162</v>
      </c>
      <c r="B65" s="2449">
        <v>138</v>
      </c>
      <c r="C65" s="2449">
        <v>131</v>
      </c>
      <c r="D65" s="2449">
        <f t="shared" si="155"/>
        <v>131</v>
      </c>
      <c r="E65" s="2449">
        <v>155</v>
      </c>
      <c r="F65" s="2450">
        <v>114</v>
      </c>
      <c r="G65" s="3385">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86">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86">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87">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5" thickBot="1">
      <c r="A69" s="2420" t="s">
        <v>1166</v>
      </c>
      <c r="B69" s="2470">
        <v>121</v>
      </c>
      <c r="C69" s="2470">
        <v>122</v>
      </c>
      <c r="D69" s="2470">
        <f t="shared" si="155"/>
        <v>122</v>
      </c>
      <c r="E69" s="2470">
        <v>124</v>
      </c>
      <c r="F69" s="2471">
        <v>107</v>
      </c>
      <c r="G69" s="3385">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86">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86">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5"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87">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5" thickBot="1">
      <c r="A73" s="2420" t="s">
        <v>1170</v>
      </c>
      <c r="B73" s="2490">
        <v>111</v>
      </c>
      <c r="C73" s="2490">
        <v>114</v>
      </c>
      <c r="D73" s="2490">
        <f t="shared" si="155"/>
        <v>114</v>
      </c>
      <c r="E73" s="2490">
        <v>108</v>
      </c>
      <c r="F73" s="2491">
        <v>104</v>
      </c>
      <c r="G73" s="3385">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86">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86">
        <v>2003</v>
      </c>
      <c r="H75" s="2433">
        <v>2</v>
      </c>
      <c r="I75" s="2492"/>
      <c r="J75" s="2492"/>
      <c r="K75" s="2492"/>
      <c r="L75" s="2492"/>
      <c r="X75" s="2484"/>
      <c r="Y75" s="2484"/>
      <c r="Z75" s="2484"/>
    </row>
    <row r="76" spans="1:26" ht="13.5" thickBot="1">
      <c r="A76" s="2420" t="s">
        <v>1173</v>
      </c>
      <c r="B76" s="2494">
        <f t="shared" si="191"/>
        <v>107.25</v>
      </c>
      <c r="C76" s="2494">
        <f t="shared" si="191"/>
        <v>108.75</v>
      </c>
      <c r="D76" s="2494">
        <f t="shared" si="155"/>
        <v>108.75</v>
      </c>
      <c r="E76" s="2494">
        <f t="shared" si="192"/>
        <v>105.75</v>
      </c>
      <c r="F76" s="2494">
        <f t="shared" si="192"/>
        <v>102.5</v>
      </c>
      <c r="G76" s="3387">
        <v>2003</v>
      </c>
      <c r="H76" s="2495">
        <v>1</v>
      </c>
      <c r="I76" s="2492"/>
      <c r="J76" s="2492"/>
      <c r="K76" s="2492"/>
      <c r="L76" s="2492"/>
      <c r="S76" s="2423"/>
      <c r="T76" s="2408"/>
      <c r="U76" s="2408"/>
      <c r="X76" s="2484"/>
      <c r="Y76" s="2484"/>
      <c r="Z76" s="2484"/>
    </row>
    <row r="77" spans="1:26" ht="13.5" thickBot="1">
      <c r="A77" s="2420" t="s">
        <v>1174</v>
      </c>
      <c r="B77" s="2496">
        <v>106</v>
      </c>
      <c r="C77" s="2496">
        <v>107</v>
      </c>
      <c r="D77" s="2496">
        <f t="shared" si="155"/>
        <v>107</v>
      </c>
      <c r="E77" s="2496">
        <v>105</v>
      </c>
      <c r="F77" s="2497">
        <v>102</v>
      </c>
      <c r="G77" s="3385">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86">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86">
        <v>2002</v>
      </c>
      <c r="H79" s="2433">
        <v>2</v>
      </c>
      <c r="I79" s="2492"/>
      <c r="J79" s="2492"/>
      <c r="K79" s="2492"/>
      <c r="L79" s="2492"/>
      <c r="X79" s="2484"/>
      <c r="Y79" s="2484"/>
      <c r="Z79" s="2484"/>
    </row>
    <row r="80" spans="1:26" s="2457" customFormat="1" ht="13.5" thickBot="1">
      <c r="A80" s="2453" t="s">
        <v>1177</v>
      </c>
      <c r="B80" s="2460">
        <f t="shared" si="193"/>
        <v>103</v>
      </c>
      <c r="C80" s="2460">
        <f t="shared" si="193"/>
        <v>104</v>
      </c>
      <c r="D80" s="2460">
        <f t="shared" si="155"/>
        <v>104</v>
      </c>
      <c r="E80" s="2460">
        <f t="shared" si="194"/>
        <v>103.5</v>
      </c>
      <c r="F80" s="2460">
        <f t="shared" si="194"/>
        <v>100.5</v>
      </c>
      <c r="G80" s="3387">
        <v>2002</v>
      </c>
      <c r="H80" s="2498">
        <v>1</v>
      </c>
      <c r="I80" s="2499"/>
      <c r="J80" s="2499"/>
      <c r="K80" s="2499"/>
      <c r="L80" s="2499"/>
      <c r="N80" s="2500"/>
      <c r="S80" s="2500"/>
      <c r="X80" s="2501"/>
      <c r="Y80" s="2501"/>
      <c r="Z80" s="2501"/>
    </row>
    <row r="81" spans="1:26" ht="13.5"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5"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5"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7" sqref="G17"/>
      <selection pane="bottomLeft" activeCell="U21" sqref="U21"/>
    </sheetView>
  </sheetViews>
  <sheetFormatPr defaultColWidth="9" defaultRowHeight="12.75"/>
  <cols>
    <col min="1" max="1" width="17"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75" style="733" bestFit="1" customWidth="1"/>
    <col min="23" max="45" width="9" style="733"/>
    <col min="46" max="16384" width="9" style="135"/>
  </cols>
  <sheetData>
    <row r="1" spans="1:45" ht="14.25" customHeight="1" thickBot="1">
      <c r="A1" s="151"/>
      <c r="B1" s="1113" t="s">
        <v>2824</v>
      </c>
      <c r="C1" s="3399" t="s">
        <v>2825</v>
      </c>
      <c r="D1" s="3400"/>
      <c r="E1" s="3400"/>
      <c r="F1" s="3400"/>
      <c r="G1" s="3400"/>
      <c r="H1" s="3400"/>
      <c r="I1" s="3400"/>
      <c r="J1" s="3400"/>
      <c r="K1" s="3400"/>
      <c r="L1" s="3400"/>
      <c r="M1" s="3400"/>
      <c r="N1" s="3400"/>
      <c r="O1" s="3400"/>
      <c r="P1" s="3400"/>
      <c r="Q1" s="3400"/>
      <c r="R1" s="3400"/>
      <c r="S1" s="3401"/>
      <c r="T1" s="1113" t="s">
        <v>2826</v>
      </c>
    </row>
    <row r="2" spans="1:45" s="663" customFormat="1" ht="38.25">
      <c r="A2" s="1114"/>
      <c r="B2" s="659" t="s">
        <v>2827</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5.5">
      <c r="A5" s="1124"/>
      <c r="B5" s="3046" t="s">
        <v>3145</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047" t="s">
        <v>3146</v>
      </c>
      <c r="C7" s="3048" t="s">
        <v>3159</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047" t="s">
        <v>3147</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2831</v>
      </c>
      <c r="B17" s="2362"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2833</v>
      </c>
      <c r="E19" s="1524"/>
      <c r="F19" s="1524"/>
      <c r="G19" s="1524"/>
      <c r="H19" s="1189"/>
      <c r="I19" s="164"/>
      <c r="J19" s="164"/>
      <c r="K19" s="164"/>
      <c r="L19" s="164"/>
      <c r="M19" s="164"/>
      <c r="N19" s="164"/>
      <c r="O19" s="164"/>
      <c r="P19" s="164"/>
      <c r="Q19" s="164"/>
      <c r="R19" s="726"/>
      <c r="S19" s="134"/>
    </row>
    <row r="20" spans="1:45" ht="16.5" thickBot="1">
      <c r="A20" s="670" t="s">
        <v>2834</v>
      </c>
      <c r="B20" s="300">
        <f ca="1">IF(D20="——",S22,S22-F20)</f>
        <v>17471</v>
      </c>
      <c r="C20" s="164"/>
      <c r="D20" s="2364" t="s">
        <v>70</v>
      </c>
      <c r="E20" s="1525"/>
      <c r="F20" s="1113" t="e">
        <f ca="1">SUMIF(INDIRECT("'"&amp;H20&amp;"'"&amp;"!A:A"),"承租人权益价值",INDIRECT("'"&amp;H20&amp;"'"&amp;"!c:c"))</f>
        <v>#REF!</v>
      </c>
      <c r="G20" s="1113" t="s">
        <v>2835</v>
      </c>
      <c r="H20" s="2365"/>
      <c r="I20" s="164"/>
      <c r="J20" s="164"/>
      <c r="K20" s="164"/>
      <c r="L20" s="164"/>
      <c r="M20" s="164"/>
      <c r="N20" s="164"/>
      <c r="O20" s="164"/>
      <c r="P20" s="164"/>
      <c r="Q20" s="164"/>
      <c r="R20" s="726"/>
      <c r="S20" s="134"/>
    </row>
    <row r="21" spans="1:45" ht="15.75">
      <c r="A21" s="670" t="s">
        <v>2836</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2837</v>
      </c>
      <c r="B22" s="24">
        <f>SUM(B24:B10000)</f>
        <v>1041.3899999999999</v>
      </c>
      <c r="C22" s="3396" t="s">
        <v>33</v>
      </c>
      <c r="D22" s="3397"/>
      <c r="E22" s="3397"/>
      <c r="F22" s="3397"/>
      <c r="G22" s="3397"/>
      <c r="H22" s="3397"/>
      <c r="I22" s="3397"/>
      <c r="J22" s="3397"/>
      <c r="K22" s="3397"/>
      <c r="L22" s="3397"/>
      <c r="M22" s="3397"/>
      <c r="N22" s="3397"/>
      <c r="O22" s="3397"/>
      <c r="P22" s="3397"/>
      <c r="Q22" s="3398"/>
      <c r="R22" s="671">
        <f ca="1">ROUND(S22*10000/B22,0)</f>
        <v>167766</v>
      </c>
      <c r="S22" s="24">
        <f ca="1">SUM(S24:S10000)</f>
        <v>17471</v>
      </c>
    </row>
    <row r="23" spans="1:45" s="12" customFormat="1" ht="24">
      <c r="A23" s="11" t="s">
        <v>2838</v>
      </c>
      <c r="B23" s="11" t="s">
        <v>2839</v>
      </c>
      <c r="C23" s="11" t="s">
        <v>2840</v>
      </c>
      <c r="D23" s="11" t="str">
        <f>B5</f>
        <v>装修</v>
      </c>
      <c r="E23" s="11" t="s">
        <v>2840</v>
      </c>
      <c r="F23" s="11" t="str">
        <f>B7</f>
        <v>朝向</v>
      </c>
      <c r="G23" s="11" t="s">
        <v>2840</v>
      </c>
      <c r="H23" s="11" t="str">
        <f>B9</f>
        <v>楼层</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3049" t="s">
        <v>3160</v>
      </c>
      <c r="U23" s="3049" t="s">
        <v>3161</v>
      </c>
      <c r="V23" s="3049" t="s">
        <v>3167</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3111</v>
      </c>
      <c r="E24" s="3024">
        <v>1</v>
      </c>
      <c r="F24" s="3025" t="s">
        <v>3158</v>
      </c>
      <c r="G24" s="3024">
        <v>1</v>
      </c>
      <c r="H24" s="3025" t="s">
        <v>3117</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f ca="1">R24*B22/10000</f>
        <v>17470.254500999999</v>
      </c>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3111</v>
      </c>
      <c r="E25" s="24">
        <f>(SUMIF($5:$5,D25,$6:$6)-SUMIF($5:$5,$D$24,$6:$6)+100)/100</f>
        <v>1</v>
      </c>
      <c r="F25" s="3025" t="s">
        <v>3158</v>
      </c>
      <c r="G25" s="24">
        <f>(SUMIF($7:$7,F25,$8:$8)-SUMIF($7:$7,$F$24,$8:$8)+100)/100</f>
        <v>1</v>
      </c>
      <c r="H25" s="3025" t="s">
        <v>3117</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3111</v>
      </c>
      <c r="E26" s="24">
        <f t="shared" ref="E26:E89" si="13">(SUMIF($5:$5,D26,$6:$6)-SUMIF($5:$5,$D$24,$6:$6)+100)/100</f>
        <v>1</v>
      </c>
      <c r="F26" s="3025" t="s">
        <v>3158</v>
      </c>
      <c r="G26" s="24">
        <f t="shared" ref="G26:G89" si="14">(SUMIF($7:$7,F26,$8:$8)-SUMIF($7:$7,$F$24,$8:$8)+100)/100</f>
        <v>1</v>
      </c>
      <c r="H26" s="3025" t="s">
        <v>3117</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3111</v>
      </c>
      <c r="E27" s="24">
        <f t="shared" si="13"/>
        <v>1</v>
      </c>
      <c r="F27" s="3025" t="s">
        <v>3158</v>
      </c>
      <c r="G27" s="24">
        <f t="shared" si="14"/>
        <v>1</v>
      </c>
      <c r="H27" s="3025" t="s">
        <v>3117</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3111</v>
      </c>
      <c r="E28" s="24">
        <f t="shared" si="13"/>
        <v>1</v>
      </c>
      <c r="F28" s="3025" t="s">
        <v>3158</v>
      </c>
      <c r="G28" s="24">
        <f t="shared" si="14"/>
        <v>1</v>
      </c>
      <c r="H28" s="3025" t="s">
        <v>3117</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3111</v>
      </c>
      <c r="E29" s="24">
        <f t="shared" si="13"/>
        <v>1</v>
      </c>
      <c r="F29" s="3025" t="s">
        <v>3158</v>
      </c>
      <c r="G29" s="24">
        <f t="shared" si="14"/>
        <v>1</v>
      </c>
      <c r="H29" s="3025" t="s">
        <v>3117</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8"/>
      <c r="B4" s="3070" t="s">
        <v>1595</v>
      </c>
      <c r="C4" s="3070"/>
      <c r="D4" s="3070"/>
      <c r="E4" s="1678"/>
    </row>
    <row r="5" spans="1:5" ht="16.5" thickTop="1">
      <c r="A5" s="1676"/>
      <c r="B5" s="3068" t="s">
        <v>1587</v>
      </c>
      <c r="C5" s="1679" t="s">
        <v>1588</v>
      </c>
      <c r="D5" s="958">
        <f ca="1">结果表!H101</f>
        <v>17471</v>
      </c>
      <c r="E5" s="1676"/>
    </row>
    <row r="6" spans="1:5" ht="15.75">
      <c r="A6" s="1676"/>
      <c r="B6" s="3068"/>
      <c r="C6" s="1679" t="s">
        <v>1589</v>
      </c>
      <c r="D6" s="958" t="str">
        <f ca="1">NUMBERSTRING(INT(D5*10000),2)&amp;"元整"</f>
        <v>壹亿柒仟肆佰柒拾壹万元整</v>
      </c>
      <c r="E6" s="1676"/>
    </row>
    <row r="7" spans="1:5" ht="15.75">
      <c r="A7" s="1676"/>
      <c r="B7" s="3073"/>
      <c r="C7" s="1680" t="s">
        <v>1590</v>
      </c>
      <c r="D7" s="959">
        <f ca="1">结果表!H102</f>
        <v>167766</v>
      </c>
      <c r="E7" s="1676"/>
    </row>
    <row r="8" spans="1:5" ht="15.75">
      <c r="A8" s="1676"/>
      <c r="B8" s="3074" t="str">
        <f>结果表!E103</f>
        <v>2.估价师知悉的法定优先受偿款</v>
      </c>
      <c r="C8" s="1681" t="s">
        <v>1591</v>
      </c>
      <c r="D8" s="959">
        <f>结果表!H103</f>
        <v>0</v>
      </c>
      <c r="E8" s="1676"/>
    </row>
    <row r="9" spans="1:5" ht="15.75">
      <c r="A9" s="1676"/>
      <c r="B9" s="3076"/>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67" t="str">
        <f>结果表!E107</f>
        <v>3.房地产抵押价值</v>
      </c>
      <c r="C13" s="1684" t="s">
        <v>1588</v>
      </c>
      <c r="D13" s="961">
        <f ca="1">结果表!H107</f>
        <v>17471</v>
      </c>
      <c r="E13" s="1676"/>
    </row>
    <row r="14" spans="1:5" ht="15.75">
      <c r="A14" s="1676"/>
      <c r="B14" s="3068"/>
      <c r="C14" s="1679" t="s">
        <v>1589</v>
      </c>
      <c r="D14" s="958" t="str">
        <f ca="1">NUMBERSTRING(INT(D13*10000),2)&amp;"元整"</f>
        <v>壹亿柒仟肆佰柒拾壹万元整</v>
      </c>
      <c r="E14" s="1676"/>
    </row>
    <row r="15" spans="1:5" ht="15">
      <c r="A15" s="1676"/>
      <c r="B15" s="3073"/>
      <c r="C15" s="1680" t="s">
        <v>1599</v>
      </c>
      <c r="D15" s="967">
        <f ca="1">结果表!H108</f>
        <v>167766</v>
      </c>
      <c r="E15" s="1676"/>
    </row>
    <row r="16" spans="1:5" ht="15">
      <c r="A16" s="1676"/>
      <c r="B16" s="3074" t="str">
        <f>结果表!E109</f>
        <v>——</v>
      </c>
      <c r="C16" s="1684" t="s">
        <v>1600</v>
      </c>
      <c r="D16" s="1685" t="str">
        <f>结果表!H109</f>
        <v>——</v>
      </c>
      <c r="E16" s="1676"/>
    </row>
    <row r="17" spans="1:5" ht="15.75">
      <c r="A17" s="1676"/>
      <c r="B17" s="3075"/>
      <c r="C17" s="1679" t="s">
        <v>1601</v>
      </c>
      <c r="D17" s="958" t="e">
        <f>NUMBERSTRING(INT(D16*10000),2)&amp;"元整"</f>
        <v>#VALUE!</v>
      </c>
      <c r="E17" s="1676"/>
    </row>
    <row r="18" spans="1:5" ht="15">
      <c r="A18" s="1676"/>
      <c r="B18" s="3076"/>
      <c r="C18" s="1680" t="s">
        <v>1590</v>
      </c>
      <c r="D18" s="967" t="str">
        <f>结果表!H110</f>
        <v>——</v>
      </c>
      <c r="E18" s="1676"/>
    </row>
    <row r="19" spans="1:5" ht="15.75">
      <c r="A19" s="1676"/>
      <c r="B19" s="3067" t="str">
        <f>结果表!E111</f>
        <v>4.抵押净值</v>
      </c>
      <c r="C19" s="1684" t="s">
        <v>1588</v>
      </c>
      <c r="D19" s="959">
        <f ca="1">结果表!H111</f>
        <v>16006</v>
      </c>
      <c r="E19" s="1676"/>
    </row>
    <row r="20" spans="1:5" ht="15.75">
      <c r="A20" s="1676"/>
      <c r="B20" s="3068"/>
      <c r="C20" s="1679" t="s">
        <v>1601</v>
      </c>
      <c r="D20" s="958" t="str">
        <f ca="1">NUMBERSTRING(INT(D19*10000),2)&amp;"元整"</f>
        <v>壹亿陆仟零陆万元整</v>
      </c>
      <c r="E20" s="1676"/>
    </row>
    <row r="21" spans="1:5" ht="15.75" thickBot="1">
      <c r="A21" s="1676"/>
      <c r="B21" s="3069"/>
      <c r="C21" s="1686" t="s">
        <v>1599</v>
      </c>
      <c r="D21" s="968">
        <f ca="1">结果表!H112</f>
        <v>153698</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55" t="s">
        <v>121</v>
      </c>
    </row>
    <row r="43" spans="1:7" ht="13.5" customHeight="1">
      <c r="A43" s="887" t="s">
        <v>792</v>
      </c>
      <c r="B43" s="221" t="s">
        <v>1032</v>
      </c>
      <c r="C43" s="244">
        <f ca="1">ROUND(IF('数据-取费表'!B22&lt;=1,C39*F22*'数据-取费表'!B21/2,C39*(POWER((1+F22),'数据-取费表'!B21/2)-1)),0)</f>
        <v>0</v>
      </c>
      <c r="D43" s="244"/>
      <c r="E43" s="244"/>
      <c r="F43" s="245"/>
      <c r="G43" s="3256"/>
    </row>
    <row r="44" spans="1:7" ht="13.5" customHeight="1">
      <c r="A44" s="887" t="s">
        <v>793</v>
      </c>
      <c r="B44" s="221" t="s">
        <v>1034</v>
      </c>
      <c r="C44" s="244">
        <f ca="1">ROUND(IF('数据-取费表'!B22&lt;=1,C40*F22*'数据-取费表'!B21/2,C40*(POWER((1+F22),'数据-取费表'!B21/2)-1)),4)</f>
        <v>1E-3</v>
      </c>
      <c r="D44" s="244"/>
      <c r="E44" s="244"/>
      <c r="F44" s="245"/>
      <c r="G44" s="3257"/>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5"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2" t="s">
        <v>156</v>
      </c>
      <c r="B1" s="3402"/>
      <c r="C1" s="3402"/>
      <c r="D1" s="3402"/>
      <c r="E1" s="3402"/>
      <c r="F1" s="340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3" t="s">
        <v>169</v>
      </c>
      <c r="B2" s="3403"/>
      <c r="C2" s="3403"/>
      <c r="D2" s="3403"/>
      <c r="E2" s="3403"/>
      <c r="F2" s="340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2" t="s">
        <v>839</v>
      </c>
      <c r="B1" s="340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3.5"/>
  <sheetData>
    <row r="1" spans="1:7">
      <c r="B1" s="3043" t="s">
        <v>3123</v>
      </c>
      <c r="C1" s="3043" t="s">
        <v>3124</v>
      </c>
      <c r="D1" s="3043" t="s">
        <v>3125</v>
      </c>
      <c r="E1" s="3043" t="s">
        <v>3126</v>
      </c>
      <c r="F1" s="3043" t="s">
        <v>3127</v>
      </c>
      <c r="G1" s="3043" t="s">
        <v>3128</v>
      </c>
    </row>
    <row r="2" spans="1:7">
      <c r="A2">
        <v>1</v>
      </c>
      <c r="B2">
        <v>1460</v>
      </c>
      <c r="C2">
        <v>73.37</v>
      </c>
      <c r="D2">
        <f>ROUND(B2*10000/C2,0)</f>
        <v>198991</v>
      </c>
      <c r="E2" s="3043" t="s">
        <v>3129</v>
      </c>
      <c r="F2" s="3043" t="s">
        <v>3130</v>
      </c>
      <c r="G2" s="3043" t="s">
        <v>3131</v>
      </c>
    </row>
    <row r="3" spans="1:7">
      <c r="A3">
        <v>2</v>
      </c>
      <c r="B3">
        <v>1030</v>
      </c>
      <c r="C3">
        <v>51.7</v>
      </c>
      <c r="D3">
        <f t="shared" ref="D3:D8" si="0">ROUND(B3*10000/C3,0)</f>
        <v>199226</v>
      </c>
      <c r="E3" s="3043" t="s">
        <v>3132</v>
      </c>
      <c r="F3" s="3043" t="s">
        <v>3133</v>
      </c>
      <c r="G3" s="3043" t="s">
        <v>3131</v>
      </c>
    </row>
    <row r="4" spans="1:7">
      <c r="A4" s="3044">
        <v>3</v>
      </c>
      <c r="B4" s="3044">
        <v>2249</v>
      </c>
      <c r="C4" s="3044">
        <v>116.93</v>
      </c>
      <c r="D4" s="3044">
        <f t="shared" si="0"/>
        <v>192337</v>
      </c>
      <c r="E4" s="3045" t="s">
        <v>3135</v>
      </c>
      <c r="F4" s="3045" t="s">
        <v>3130</v>
      </c>
      <c r="G4" s="3045" t="s">
        <v>3136</v>
      </c>
    </row>
    <row r="5" spans="1:7">
      <c r="A5" s="3044">
        <v>4</v>
      </c>
      <c r="B5" s="3044">
        <v>1500</v>
      </c>
      <c r="C5" s="3044">
        <v>73.64</v>
      </c>
      <c r="D5" s="3044">
        <f t="shared" si="0"/>
        <v>203694</v>
      </c>
      <c r="E5" s="3045" t="s">
        <v>3138</v>
      </c>
      <c r="F5" s="3045" t="s">
        <v>3130</v>
      </c>
      <c r="G5" s="3045" t="s">
        <v>3136</v>
      </c>
    </row>
    <row r="6" spans="1:7">
      <c r="A6" s="3044">
        <v>5</v>
      </c>
      <c r="B6" s="3044">
        <v>2280</v>
      </c>
      <c r="C6" s="3044">
        <v>115.69</v>
      </c>
      <c r="D6" s="3044">
        <f t="shared" si="0"/>
        <v>197078</v>
      </c>
      <c r="E6" s="3045" t="s">
        <v>3135</v>
      </c>
      <c r="F6" s="3045" t="s">
        <v>3133</v>
      </c>
      <c r="G6" s="3045" t="s">
        <v>3131</v>
      </c>
    </row>
    <row r="7" spans="1:7">
      <c r="A7">
        <v>6</v>
      </c>
      <c r="B7">
        <v>2300</v>
      </c>
      <c r="C7">
        <v>116.87</v>
      </c>
      <c r="D7">
        <f t="shared" si="0"/>
        <v>196800</v>
      </c>
      <c r="E7" s="3043" t="s">
        <v>3135</v>
      </c>
      <c r="F7" s="3043" t="s">
        <v>3130</v>
      </c>
      <c r="G7" s="3043" t="s">
        <v>3131</v>
      </c>
    </row>
    <row r="8" spans="1:7">
      <c r="A8">
        <v>7</v>
      </c>
      <c r="B8">
        <v>1500</v>
      </c>
      <c r="C8">
        <v>78.77</v>
      </c>
      <c r="D8">
        <f t="shared" si="0"/>
        <v>190428</v>
      </c>
      <c r="E8" s="3043" t="s">
        <v>3139</v>
      </c>
      <c r="F8" s="3043" t="s">
        <v>3140</v>
      </c>
      <c r="G8" s="3043" t="s">
        <v>3131</v>
      </c>
    </row>
  </sheetData>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1606</v>
      </c>
      <c r="B2" s="3087" t="s">
        <v>1607</v>
      </c>
      <c r="C2" s="3087" t="s">
        <v>1608</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962" t="s">
        <v>1603</v>
      </c>
      <c r="E3" s="962" t="s">
        <v>1609</v>
      </c>
      <c r="F3" s="962" t="s">
        <v>1603</v>
      </c>
      <c r="G3" s="962" t="s">
        <v>1604</v>
      </c>
      <c r="H3" s="962" t="s">
        <v>1603</v>
      </c>
      <c r="I3" s="962" t="s">
        <v>1604</v>
      </c>
    </row>
    <row r="4" spans="1:9" ht="4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81" t="s">
        <v>1605</v>
      </c>
      <c r="B5" s="3081"/>
      <c r="C5" s="3081"/>
      <c r="D5" s="3082" t="str">
        <f>结果表!D119</f>
        <v>零元整</v>
      </c>
      <c r="E5" s="3082"/>
      <c r="F5" s="3082" t="str">
        <f>结果表!F119</f>
        <v>零元整</v>
      </c>
      <c r="G5" s="3082"/>
      <c r="H5" s="3082" t="str">
        <f ca="1">结果表!H119</f>
        <v>壹亿柒仟肆佰柒拾壹万元整</v>
      </c>
      <c r="I5" s="3082"/>
    </row>
    <row r="6" spans="1:9" ht="15.75">
      <c r="A6" s="3080" t="str">
        <f>结果表!A120</f>
        <v>估价师知悉的法定优先受偿款</v>
      </c>
      <c r="B6" s="3080"/>
      <c r="C6" s="3080"/>
      <c r="D6" s="3080">
        <f>结果表!D120</f>
        <v>0</v>
      </c>
      <c r="E6" s="3080"/>
      <c r="F6" s="3080"/>
      <c r="G6" s="3080"/>
      <c r="H6" s="3080"/>
      <c r="I6" s="3080"/>
    </row>
    <row r="7" spans="1:9" ht="15">
      <c r="A7" s="3081" t="s">
        <v>1605</v>
      </c>
      <c r="B7" s="3081"/>
      <c r="C7" s="3081"/>
      <c r="D7" s="3083" t="str">
        <f>结果表!D121</f>
        <v>零元整</v>
      </c>
      <c r="E7" s="3084"/>
      <c r="F7" s="3084"/>
      <c r="G7" s="3084"/>
      <c r="H7" s="3084"/>
      <c r="I7" s="3085"/>
    </row>
    <row r="8" spans="1:9" ht="15.75">
      <c r="A8" s="3080" t="str">
        <f>结果表!A122</f>
        <v>房地产抵押价值</v>
      </c>
      <c r="B8" s="3080"/>
      <c r="C8" s="3080"/>
      <c r="D8" s="3080">
        <f ca="1">结果表!D122</f>
        <v>17471</v>
      </c>
      <c r="E8" s="3080"/>
      <c r="F8" s="3080"/>
      <c r="G8" s="3080"/>
      <c r="H8" s="3080"/>
      <c r="I8" s="3080"/>
    </row>
    <row r="9" spans="1:9" ht="15">
      <c r="A9" s="3081" t="s">
        <v>1605</v>
      </c>
      <c r="B9" s="3081"/>
      <c r="C9" s="3081"/>
      <c r="D9" s="3082" t="str">
        <f ca="1">结果表!D123</f>
        <v>壹亿柒仟肆佰柒拾壹万元整</v>
      </c>
      <c r="E9" s="3082"/>
      <c r="F9" s="3082"/>
      <c r="G9" s="3082"/>
      <c r="H9" s="3082"/>
      <c r="I9" s="3082"/>
    </row>
    <row r="10" spans="1:9" ht="15.75">
      <c r="A10" s="3080" t="str">
        <f>结果表!A124</f>
        <v/>
      </c>
      <c r="B10" s="3080"/>
      <c r="C10" s="3080"/>
      <c r="D10" s="3080" t="str">
        <f>结果表!D124</f>
        <v>——</v>
      </c>
      <c r="E10" s="3080"/>
      <c r="F10" s="3080"/>
      <c r="G10" s="3080"/>
      <c r="H10" s="3080"/>
      <c r="I10" s="3080"/>
    </row>
    <row r="11" spans="1:9" ht="15">
      <c r="A11" s="3081" t="s">
        <v>1605</v>
      </c>
      <c r="B11" s="3081"/>
      <c r="C11" s="3081"/>
      <c r="D11" s="3082" t="e">
        <f>结果表!D125</f>
        <v>#VALUE!</v>
      </c>
      <c r="E11" s="3082"/>
      <c r="F11" s="3082"/>
      <c r="G11" s="3082"/>
      <c r="H11" s="3082"/>
      <c r="I11" s="3082"/>
    </row>
    <row r="12" spans="1:9" ht="15.75">
      <c r="A12" s="3080" t="str">
        <f>结果表!A126</f>
        <v>抵押净值</v>
      </c>
      <c r="B12" s="3080"/>
      <c r="C12" s="3080"/>
      <c r="D12" s="3080">
        <f ca="1">结果表!D126</f>
        <v>16006</v>
      </c>
      <c r="E12" s="3080"/>
      <c r="F12" s="3080"/>
      <c r="G12" s="3080"/>
      <c r="H12" s="3080"/>
      <c r="I12" s="3080"/>
    </row>
    <row r="13" spans="1:9" ht="15.75" thickBot="1">
      <c r="A13" s="3077" t="s">
        <v>1605</v>
      </c>
      <c r="B13" s="3077"/>
      <c r="C13" s="3077"/>
      <c r="D13" s="3078" t="str">
        <f ca="1">结果表!D127</f>
        <v>壹亿陆仟零陆万元整</v>
      </c>
      <c r="E13" s="3078"/>
      <c r="F13" s="3078"/>
      <c r="G13" s="3078"/>
      <c r="H13" s="3078"/>
      <c r="I13" s="3078"/>
    </row>
    <row r="14" spans="1:9" ht="15" thickTop="1">
      <c r="A14" s="3079" t="s">
        <v>1610</v>
      </c>
      <c r="B14" s="3079"/>
      <c r="C14" s="3079"/>
      <c r="D14" s="3079"/>
      <c r="E14" s="3079"/>
      <c r="F14" s="3079"/>
      <c r="G14" s="3079"/>
      <c r="H14" s="3079"/>
      <c r="I14" s="307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96" t="s">
        <v>1620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0" t="s">
        <v>1621</v>
      </c>
      <c r="B16" s="3090"/>
      <c r="C16" s="3090"/>
      <c r="D16" s="3090"/>
    </row>
    <row r="17" spans="1:4" ht="144" customHeight="1">
      <c r="A17" s="3090" t="s">
        <v>1622</v>
      </c>
      <c r="B17" s="3090"/>
      <c r="C17" s="3090"/>
      <c r="D17" s="3090"/>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1623</v>
      </c>
      <c r="B22" s="3092"/>
      <c r="C22" s="3092"/>
      <c r="D22" s="309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2" t="s">
        <v>1634</v>
      </c>
      <c r="B15" s="3097" t="s">
        <v>136</v>
      </c>
      <c r="C15" s="3098"/>
    </row>
    <row r="16" spans="1:7" ht="13.5">
      <c r="A16" s="3103"/>
      <c r="B16" s="3097" t="s">
        <v>69</v>
      </c>
      <c r="C16" s="3098"/>
    </row>
    <row r="17" spans="1:3" ht="13.5">
      <c r="A17" s="3103"/>
      <c r="B17" s="3100" t="s">
        <v>1635</v>
      </c>
      <c r="C17" s="1717" t="s">
        <v>1634</v>
      </c>
    </row>
    <row r="18" spans="1:3" ht="13.5">
      <c r="A18" s="3103"/>
      <c r="B18" s="3100"/>
      <c r="C18" s="1717" t="s">
        <v>1636</v>
      </c>
    </row>
    <row r="19" spans="1:3" ht="13.5">
      <c r="A19" s="3103"/>
      <c r="B19" s="3100"/>
      <c r="C19" s="1717" t="s">
        <v>1637</v>
      </c>
    </row>
    <row r="20" spans="1:3" ht="13.5">
      <c r="A20" s="3104"/>
      <c r="B20" s="3099" t="s">
        <v>1638</v>
      </c>
      <c r="C20" s="3098"/>
    </row>
    <row r="21" spans="1:3" ht="13.5">
      <c r="A21" s="1718" t="s">
        <v>1639</v>
      </c>
      <c r="B21" s="1719"/>
      <c r="C21" s="1720"/>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7" t="s">
        <v>1645</v>
      </c>
    </row>
    <row r="26" spans="1:3" ht="13.5">
      <c r="A26" s="3101"/>
      <c r="B26" s="3100"/>
      <c r="C26" s="1717" t="s">
        <v>1646</v>
      </c>
    </row>
    <row r="27" spans="1:3" ht="13.5">
      <c r="A27" s="3101"/>
      <c r="B27" s="3100"/>
      <c r="C27" s="1717" t="s">
        <v>1647</v>
      </c>
    </row>
    <row r="28" spans="1:3" ht="13.5">
      <c r="A28" s="3101"/>
      <c r="B28" s="3100"/>
      <c r="C28" s="1717" t="s">
        <v>1648</v>
      </c>
    </row>
    <row r="29" spans="1:3" ht="13.5">
      <c r="A29" s="3101"/>
      <c r="B29" s="3100"/>
      <c r="C29" s="1717" t="s">
        <v>1649</v>
      </c>
    </row>
    <row r="30" spans="1:3" ht="13.5">
      <c r="A30" s="3101"/>
      <c r="B30" s="3100"/>
      <c r="C30" s="1717" t="s">
        <v>1650</v>
      </c>
    </row>
    <row r="31" spans="1:3" ht="13.5">
      <c r="A31" s="3101"/>
      <c r="B31" s="3100"/>
      <c r="C31" s="1717" t="s">
        <v>1651</v>
      </c>
    </row>
    <row r="32" spans="1:3" ht="13.5">
      <c r="A32" s="3101"/>
      <c r="B32" s="3100"/>
      <c r="C32" s="1717" t="s">
        <v>1652</v>
      </c>
    </row>
    <row r="33" spans="1:3" ht="13.5">
      <c r="A33" s="3101"/>
      <c r="B33" s="3100"/>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44173</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5" t="s">
        <v>2898</v>
      </c>
      <c r="B17" s="3105"/>
      <c r="C17" s="3105"/>
      <c r="D17" s="3105"/>
      <c r="E17" s="3105"/>
      <c r="F17" s="3105"/>
      <c r="G17" s="3105"/>
      <c r="H17" s="3105"/>
    </row>
    <row r="18" spans="1:8" ht="24" customHeight="1">
      <c r="A18" s="3106" t="s">
        <v>2899</v>
      </c>
      <c r="B18" s="3106"/>
      <c r="C18" s="3106"/>
      <c r="D18" s="2563"/>
      <c r="E18" s="3107" t="s">
        <v>2900</v>
      </c>
      <c r="F18" s="3106"/>
      <c r="G18" s="3106"/>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2020-12-08T07:59:08Z</dcterms:modified>
</cp:coreProperties>
</file>