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9" i="69" l="1"/>
  <c r="C9" i="69"/>
  <c r="D10" i="69"/>
  <c r="C10" i="69"/>
  <c r="C8" i="69"/>
  <c r="C5" i="69"/>
  <c r="D19" i="69"/>
  <c r="C19" i="69"/>
  <c r="C20" i="69"/>
  <c r="D5" i="73"/>
  <c r="G1" i="73"/>
  <c r="B40" i="1"/>
  <c r="F22" i="69"/>
  <c r="C23" i="69"/>
  <c r="C24" i="69"/>
  <c r="C25" i="69"/>
  <c r="C22" i="69"/>
  <c r="F27" i="69"/>
  <c r="C28" i="69"/>
  <c r="C27" i="69"/>
  <c r="C26" i="69"/>
  <c r="D22" i="69"/>
  <c r="C29" i="69"/>
  <c r="D27" i="69"/>
  <c r="C31" i="69"/>
  <c r="C34" i="69"/>
  <c r="C35" i="69"/>
  <c r="C36" i="69"/>
  <c r="D37" i="69"/>
  <c r="C37" i="69"/>
  <c r="C38" i="69"/>
  <c r="C33" i="69"/>
  <c r="C39" i="69"/>
  <c r="C42" i="69"/>
  <c r="C43" i="69"/>
  <c r="C41" i="69"/>
  <c r="C46" i="69"/>
  <c r="C45" i="69"/>
  <c r="C44" i="69"/>
  <c r="D41" i="69"/>
  <c r="C47" i="69"/>
  <c r="D45" i="69"/>
  <c r="C49" i="69"/>
  <c r="C51" i="69"/>
  <c r="C52" i="69"/>
  <c r="B2" i="69"/>
  <c r="C19" i="9"/>
  <c r="F6" i="67"/>
  <c r="F8" i="67"/>
  <c r="F7" i="67"/>
  <c r="F9" i="67"/>
  <c r="C6" i="67"/>
  <c r="F4" i="73"/>
  <c r="I1" i="73"/>
  <c r="B39" i="1"/>
  <c r="F11" i="67"/>
  <c r="C10" i="67"/>
  <c r="C5" i="67"/>
  <c r="F31"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D19" i="9"/>
  <c r="G19" i="9"/>
  <c r="C32" i="9"/>
  <c r="H118" i="9"/>
  <c r="D14" i="74"/>
  <c r="G14" i="74"/>
  <c r="B14" i="74"/>
  <c r="C6" i="69"/>
  <c r="Y6" i="1"/>
  <c r="N6" i="1"/>
  <c r="N21" i="1"/>
  <c r="N19" i="1"/>
  <c r="C23" i="43"/>
  <c r="C33" i="43"/>
  <c r="E33" i="43"/>
  <c r="D33" i="43"/>
  <c r="F19" i="6"/>
  <c r="E7" i="1"/>
  <c r="E8" i="1"/>
  <c r="E9" i="1"/>
  <c r="E10" i="1"/>
  <c r="E11" i="1"/>
  <c r="E12" i="1"/>
  <c r="E13" i="1"/>
  <c r="W26" i="79"/>
  <c r="W27" i="79"/>
  <c r="W28" i="79"/>
  <c r="S26" i="79"/>
  <c r="T26" i="79"/>
  <c r="U26" i="79"/>
  <c r="S27" i="79"/>
  <c r="T27" i="79"/>
  <c r="U27" i="79"/>
  <c r="S28" i="79"/>
  <c r="T28" i="79"/>
  <c r="U28" i="79"/>
  <c r="R6" i="79"/>
  <c r="S6" i="79"/>
  <c r="T6" i="79"/>
  <c r="W6" i="79"/>
  <c r="U6" i="79"/>
  <c r="V6" i="79"/>
  <c r="R7" i="79"/>
  <c r="S7" i="79"/>
  <c r="T7" i="79"/>
  <c r="W7" i="79"/>
  <c r="U7" i="79"/>
  <c r="V7" i="79"/>
  <c r="R8" i="79"/>
  <c r="S8" i="79"/>
  <c r="T8" i="79"/>
  <c r="W8" i="79"/>
  <c r="U8" i="79"/>
  <c r="V8" i="79"/>
  <c r="P26" i="79"/>
  <c r="P27" i="79"/>
  <c r="P28" i="79"/>
  <c r="L26" i="79"/>
  <c r="M26" i="79"/>
  <c r="N26" i="79"/>
  <c r="L27" i="79"/>
  <c r="M27" i="79"/>
  <c r="N27" i="79"/>
  <c r="L28" i="79"/>
  <c r="M28" i="79"/>
  <c r="N28" i="79"/>
  <c r="I26" i="79"/>
  <c r="I27" i="79"/>
  <c r="I28" i="79"/>
  <c r="I6" i="79"/>
  <c r="I7" i="79"/>
  <c r="I8" i="79"/>
  <c r="K6" i="79"/>
  <c r="L6" i="79"/>
  <c r="S5" i="79"/>
  <c r="M6" i="79"/>
  <c r="P6" i="79"/>
  <c r="N6" i="79"/>
  <c r="U5" i="79"/>
  <c r="O6" i="79"/>
  <c r="V5" i="79"/>
  <c r="K7" i="79"/>
  <c r="R5" i="79"/>
  <c r="L7" i="79"/>
  <c r="M7" i="79"/>
  <c r="P7" i="79"/>
  <c r="N7" i="79"/>
  <c r="O7" i="79"/>
  <c r="K8" i="79"/>
  <c r="L8" i="79"/>
  <c r="M8" i="79"/>
  <c r="P8" i="79"/>
  <c r="N8" i="79"/>
  <c r="O8" i="79"/>
  <c r="T5" i="79"/>
  <c r="B10" i="74"/>
  <c r="C8"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V9" i="79"/>
  <c r="N9" i="79"/>
  <c r="U9" i="79"/>
  <c r="M9" i="79"/>
  <c r="P9" i="79"/>
  <c r="L9" i="79"/>
  <c r="S9" i="79"/>
  <c r="K9" i="79"/>
  <c r="I9" i="79"/>
  <c r="AC5" i="79"/>
  <c r="AB5" i="79"/>
  <c r="AA5" i="79"/>
  <c r="AD5" i="79"/>
  <c r="Z5" i="79"/>
  <c r="Y5" i="79"/>
  <c r="P5" i="79"/>
  <c r="O5" i="79"/>
  <c r="N5" i="79"/>
  <c r="M5" i="79"/>
  <c r="W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F6"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B6" i="1"/>
  <c r="E6" i="1"/>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M49" i="9"/>
  <c r="D16" i="53"/>
  <c r="B34" i="72"/>
  <c r="H112" i="9"/>
  <c r="D21" i="53"/>
  <c r="B39" i="72"/>
  <c r="H111" i="9"/>
  <c r="D126" i="9"/>
  <c r="D19" i="53"/>
  <c r="B38" i="72"/>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M26" i="67"/>
  <c r="AO13" i="1"/>
  <c r="M24" i="15"/>
  <c r="L47" i="67"/>
  <c r="M28" i="67"/>
  <c r="F5" i="73"/>
  <c r="D6" i="73"/>
  <c r="M6" i="15"/>
  <c r="C76" i="15"/>
  <c r="B8" i="76"/>
  <c r="M23" i="15"/>
  <c r="C21" i="69"/>
  <c r="M6" i="1"/>
  <c r="M16" i="1"/>
  <c r="N16" i="1"/>
  <c r="F50" i="69"/>
  <c r="F42" i="15"/>
  <c r="J15" i="67"/>
  <c r="E2" i="68"/>
  <c r="E8" i="76"/>
  <c r="J15" i="15"/>
  <c r="E11" i="76"/>
  <c r="F26" i="15"/>
  <c r="E10" i="76"/>
  <c r="M23" i="67"/>
  <c r="M8" i="15"/>
  <c r="M29" i="15"/>
  <c r="B11" i="76"/>
  <c r="B3" i="69"/>
  <c r="C20" i="9"/>
  <c r="D4" i="73"/>
  <c r="F16" i="15"/>
  <c r="F3" i="73"/>
  <c r="E12" i="76"/>
  <c r="B3" i="67"/>
  <c r="D20" i="9"/>
  <c r="D9" i="68"/>
  <c r="D10" i="68"/>
  <c r="D19" i="68"/>
  <c r="C19" i="68"/>
  <c r="C20" i="68"/>
  <c r="F22" i="68"/>
  <c r="C23" i="68"/>
  <c r="C24" i="68"/>
  <c r="C25" i="68"/>
  <c r="C22" i="68"/>
  <c r="F27" i="68"/>
  <c r="C28" i="68"/>
  <c r="C27" i="68"/>
  <c r="C26" i="68"/>
  <c r="D22" i="68"/>
  <c r="C29" i="68"/>
  <c r="D27" i="68"/>
  <c r="C31" i="68"/>
  <c r="C34" i="68"/>
  <c r="C35" i="68"/>
  <c r="C36" i="68"/>
  <c r="D37" i="68"/>
  <c r="C37" i="68"/>
  <c r="C38" i="68"/>
  <c r="C33" i="68"/>
  <c r="C39" i="68"/>
  <c r="C42" i="68"/>
  <c r="C43" i="68"/>
  <c r="C41" i="68"/>
  <c r="C46" i="68"/>
  <c r="C45" i="68"/>
  <c r="C44" i="68"/>
  <c r="D41" i="68"/>
  <c r="C47" i="68"/>
  <c r="D45" i="68"/>
  <c r="C49" i="68"/>
  <c r="C51" i="68"/>
  <c r="C52" i="68"/>
  <c r="B2" i="68"/>
  <c r="B3" i="68"/>
  <c r="C57" i="68"/>
  <c r="C56" i="68"/>
  <c r="D34" i="9"/>
  <c r="C76" i="67"/>
  <c r="M22" i="15"/>
  <c r="F38" i="15"/>
  <c r="B13" i="76"/>
  <c r="F7" i="15"/>
  <c r="E7" i="76"/>
  <c r="F43" i="15"/>
  <c r="B10" i="76"/>
  <c r="F37" i="15"/>
  <c r="D35" i="9"/>
  <c r="L47" i="15"/>
  <c r="E13" i="76"/>
  <c r="E9" i="76"/>
  <c r="L48" i="15"/>
  <c r="B9" i="76"/>
  <c r="F8" i="15"/>
  <c r="B7" i="76"/>
  <c r="F9" i="15"/>
  <c r="M28" i="15"/>
  <c r="D3" i="73"/>
  <c r="F7" i="73"/>
  <c r="B12" i="76"/>
  <c r="M24" i="67"/>
  <c r="F40" i="15"/>
  <c r="M26" i="15"/>
  <c r="F36" i="15"/>
  <c r="F20" i="31"/>
  <c r="F6" i="73"/>
  <c r="D7" i="73"/>
  <c r="F6" i="15"/>
  <c r="M29" i="67"/>
  <c r="M9" i="15"/>
  <c r="F13" i="15"/>
  <c r="E2" i="69"/>
  <c r="M22" i="67"/>
  <c r="G28" i="6"/>
  <c r="F29" i="6"/>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O6" i="1"/>
  <c r="T13" i="1"/>
  <c r="C58" i="21"/>
  <c r="C58" i="33"/>
  <c r="C59" i="34"/>
  <c r="D59" i="34"/>
  <c r="E59" i="34"/>
  <c r="F59" i="34"/>
  <c r="G59" i="34"/>
  <c r="H59" i="34"/>
  <c r="I59" i="34"/>
  <c r="J59" i="34"/>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K14" i="1"/>
  <c r="D9" i="11"/>
  <c r="C9" i="11"/>
  <c r="D19" i="12"/>
  <c r="C19" i="12"/>
  <c r="AZ13" i="3"/>
  <c r="AZ5" i="3"/>
  <c r="O9" i="1"/>
  <c r="P9" i="1"/>
  <c r="O12" i="1"/>
  <c r="P12" i="1"/>
  <c r="O8" i="1"/>
  <c r="P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H110" i="9"/>
  <c r="H52" i="43"/>
  <c r="K5" i="4"/>
  <c r="B47" i="48"/>
  <c r="Y8" i="71"/>
  <c r="Z8" i="71"/>
  <c r="X8" i="71"/>
  <c r="AB8" i="71"/>
  <c r="AA8" i="71"/>
  <c r="L68" i="9"/>
  <c r="M68" i="9"/>
  <c r="L65" i="9"/>
  <c r="M65" i="9"/>
  <c r="L66" i="9"/>
  <c r="M66" i="9"/>
  <c r="L64" i="9"/>
  <c r="M64" i="9"/>
  <c r="L63" i="9"/>
  <c r="M63" i="9"/>
  <c r="M69" i="9"/>
  <c r="N69" i="9"/>
  <c r="L67" i="9"/>
  <c r="M67" i="9"/>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D22" i="9"/>
  <c r="Q71" i="15"/>
  <c r="J53" i="15"/>
  <c r="L56" i="15"/>
  <c r="J57" i="15"/>
  <c r="J55" i="15"/>
  <c r="J58" i="15"/>
  <c r="Q50" i="15"/>
  <c r="I54" i="15"/>
  <c r="K1" i="73"/>
  <c r="B20" i="31"/>
  <c r="B21" i="31"/>
  <c r="F51" i="67"/>
  <c r="F65" i="67"/>
  <c r="Q50" i="67"/>
  <c r="L56" i="67"/>
  <c r="I54" i="67"/>
  <c r="M7" i="15"/>
  <c r="J6" i="15"/>
  <c r="F50" i="15"/>
  <c r="F51" i="15"/>
  <c r="F71" i="15"/>
  <c r="C6" i="15"/>
  <c r="F66" i="67"/>
  <c r="L59" i="15"/>
  <c r="N59" i="15"/>
  <c r="L58" i="15"/>
  <c r="M59" i="15"/>
  <c r="F66" i="15"/>
  <c r="Q71" i="67"/>
  <c r="F64" i="15"/>
  <c r="D103" i="9"/>
  <c r="F71" i="67"/>
  <c r="C27" i="15"/>
  <c r="F65" i="15"/>
  <c r="G20" i="9"/>
  <c r="C103" i="9"/>
  <c r="N59" i="67"/>
  <c r="L59" i="67"/>
  <c r="L58" i="67"/>
  <c r="M59" i="67"/>
  <c r="B13" i="70"/>
  <c r="F50" i="67"/>
  <c r="F68" i="67"/>
  <c r="F64" i="67"/>
  <c r="F68" i="15"/>
  <c r="C16" i="15"/>
  <c r="K16" i="1"/>
  <c r="E59" i="40"/>
  <c r="D18" i="53"/>
  <c r="B35" i="72"/>
  <c r="C7" i="74"/>
  <c r="E61" i="43"/>
  <c r="B59" i="43"/>
  <c r="C28" i="43"/>
  <c r="B116" i="43"/>
  <c r="Z7" i="43"/>
  <c r="E30" i="6"/>
  <c r="E56" i="39"/>
  <c r="H7" i="34"/>
  <c r="AB7" i="34"/>
  <c r="T49" i="34"/>
  <c r="G49" i="34"/>
  <c r="E67"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AC6" i="3"/>
  <c r="H6" i="3"/>
  <c r="E58" i="40"/>
  <c r="E62" i="39"/>
  <c r="AY6" i="3"/>
  <c r="E3" i="6"/>
  <c r="M14" i="1"/>
  <c r="D5" i="43"/>
  <c r="J10" i="40"/>
  <c r="AC10" i="40"/>
  <c r="H10" i="39"/>
  <c r="U10" i="39"/>
  <c r="F10" i="40"/>
  <c r="S10" i="40"/>
  <c r="J10" i="39"/>
  <c r="W10" i="39"/>
  <c r="H10" i="40"/>
  <c r="AB10" i="40"/>
  <c r="D26" i="43"/>
  <c r="C25" i="43"/>
  <c r="C7" i="43"/>
  <c r="C5" i="43"/>
  <c r="D10" i="52"/>
  <c r="D125" i="9"/>
  <c r="D11" i="52"/>
  <c r="B7" i="74"/>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F11" i="15"/>
  <c r="M11" i="15"/>
  <c r="J10" i="15"/>
  <c r="J5" i="15"/>
  <c r="J24" i="15"/>
  <c r="F1" i="15"/>
  <c r="Q52" i="15"/>
  <c r="J18" i="67"/>
  <c r="C32" i="15"/>
  <c r="Q52" i="67"/>
  <c r="Q60" i="15"/>
  <c r="Q73" i="15"/>
  <c r="Q61" i="67"/>
  <c r="Q74" i="67"/>
  <c r="Q74" i="15"/>
  <c r="Q61" i="15"/>
  <c r="AE11" i="1"/>
  <c r="AE9" i="1"/>
  <c r="AE7" i="1"/>
  <c r="AE8" i="1"/>
  <c r="AE12" i="1"/>
  <c r="AE10" i="1"/>
  <c r="E65" i="39"/>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53" i="15"/>
  <c r="C48" i="15"/>
  <c r="C66" i="15"/>
  <c r="C10" i="15"/>
  <c r="C5" i="15"/>
  <c r="C38" i="15"/>
  <c r="F25" i="12"/>
  <c r="F41" i="69"/>
  <c r="F22" i="11"/>
  <c r="F24" i="15"/>
  <c r="C24" i="15"/>
  <c r="C35" i="9"/>
  <c r="M27" i="15"/>
  <c r="F41" i="15"/>
  <c r="M27" i="67"/>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12"/>
  <c r="D25" i="12"/>
  <c r="C44" i="11"/>
  <c r="D41" i="11"/>
  <c r="C23" i="11"/>
  <c r="C24" i="11"/>
  <c r="C25" i="11"/>
  <c r="C26" i="11"/>
  <c r="D22" i="11"/>
  <c r="C34" i="9"/>
  <c r="C66" i="67"/>
  <c r="C60" i="67"/>
  <c r="C17" i="15"/>
  <c r="H23" i="6"/>
  <c r="C30"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F50" i="11"/>
  <c r="F50" i="68"/>
  <c r="C4" i="52"/>
  <c r="B45" i="72"/>
  <c r="A10" i="51"/>
  <c r="B9" i="72"/>
  <c r="A7" i="51"/>
  <c r="B7" i="72"/>
  <c r="C21" i="9"/>
  <c r="D21" i="9"/>
  <c r="G21" i="9"/>
  <c r="R25" i="6"/>
  <c r="R12" i="1"/>
  <c r="C10" i="68"/>
  <c r="B2" i="43"/>
  <c r="B3" i="43"/>
  <c r="H69" i="39"/>
  <c r="I67" i="39"/>
  <c r="D10" i="71"/>
  <c r="C9" i="71"/>
  <c r="C8" i="71"/>
  <c r="G65" i="40"/>
  <c r="H63" i="40"/>
  <c r="C43" i="37"/>
  <c r="C42" i="37"/>
  <c r="I48" i="35"/>
  <c r="C48" i="33"/>
  <c r="C49" i="33"/>
  <c r="H58" i="21"/>
  <c r="E47" i="37"/>
  <c r="F47" i="37"/>
  <c r="E46" i="37"/>
  <c r="F46" i="37"/>
  <c r="I47" i="37"/>
  <c r="J47" i="37"/>
  <c r="E53" i="33"/>
  <c r="F53" i="33"/>
  <c r="E52" i="33"/>
  <c r="F52" i="33"/>
  <c r="C33" i="15"/>
  <c r="C22" i="11"/>
  <c r="C31" i="11"/>
  <c r="C33" i="67"/>
  <c r="J19" i="67"/>
  <c r="B6" i="76"/>
  <c r="E6" i="76"/>
  <c r="C14" i="15"/>
  <c r="D8" i="71"/>
  <c r="C7" i="71"/>
  <c r="T16" i="1"/>
  <c r="C18" i="15"/>
  <c r="C15" i="15"/>
  <c r="C36" i="11"/>
  <c r="C37" i="11"/>
  <c r="C34" i="11"/>
  <c r="C23" i="12"/>
  <c r="C14" i="12"/>
  <c r="C16" i="12"/>
  <c r="C21" i="12"/>
  <c r="C22" i="12"/>
  <c r="H19" i="6"/>
  <c r="S19" i="6"/>
  <c r="S27" i="6"/>
  <c r="I27" i="6"/>
  <c r="I5" i="6"/>
  <c r="I6" i="6"/>
  <c r="E2" i="76"/>
  <c r="B2" i="76"/>
  <c r="I69" i="39"/>
  <c r="J67" i="39"/>
  <c r="D9" i="71"/>
  <c r="I63" i="40"/>
  <c r="H65" i="40"/>
  <c r="I58" i="21"/>
  <c r="J58" i="21"/>
  <c r="K58" i="21"/>
  <c r="L58" i="21"/>
  <c r="M58" i="21"/>
  <c r="N58" i="21"/>
  <c r="O58" i="21"/>
  <c r="H7" i="21"/>
  <c r="F7" i="21"/>
  <c r="J48" i="35"/>
  <c r="J7" i="21"/>
  <c r="D7" i="71"/>
  <c r="C6" i="71"/>
  <c r="Q48" i="67"/>
  <c r="C19" i="15"/>
  <c r="C20" i="15"/>
  <c r="C26" i="15"/>
  <c r="C30" i="12"/>
  <c r="C28" i="12"/>
  <c r="C38" i="11"/>
  <c r="C35" i="11"/>
  <c r="H27" i="6"/>
  <c r="R19" i="6"/>
  <c r="C27" i="12"/>
  <c r="C25" i="12"/>
  <c r="B3" i="76"/>
  <c r="J69" i="39"/>
  <c r="K67" i="39"/>
  <c r="U7" i="21"/>
  <c r="AB7" i="21"/>
  <c r="T48" i="21"/>
  <c r="G48" i="21"/>
  <c r="S7" i="21"/>
  <c r="AA7" i="21"/>
  <c r="R48" i="21"/>
  <c r="J63" i="40"/>
  <c r="I65" i="40"/>
  <c r="K48" i="35"/>
  <c r="L48" i="35"/>
  <c r="M48" i="35"/>
  <c r="N48" i="35"/>
  <c r="O48" i="35"/>
  <c r="H7" i="35"/>
  <c r="AC7" i="21"/>
  <c r="V48" i="21"/>
  <c r="I48" i="21"/>
  <c r="W7" i="21"/>
  <c r="J7" i="35"/>
  <c r="D6" i="71"/>
  <c r="C5" i="71"/>
  <c r="Q49" i="67"/>
  <c r="J14" i="67"/>
  <c r="J13" i="67"/>
  <c r="J23" i="67"/>
  <c r="C57" i="67"/>
  <c r="C64" i="67"/>
  <c r="Q70" i="67"/>
  <c r="C33" i="11"/>
  <c r="C39" i="11"/>
  <c r="C61" i="67"/>
  <c r="C32" i="12"/>
  <c r="B2" i="12"/>
  <c r="B3" i="12"/>
  <c r="C23" i="15"/>
  <c r="C29" i="15"/>
  <c r="R27" i="6"/>
  <c r="R6" i="1"/>
  <c r="L67" i="39"/>
  <c r="K69" i="39"/>
  <c r="W7" i="35"/>
  <c r="AC7" i="35"/>
  <c r="V38" i="35"/>
  <c r="I38" i="35"/>
  <c r="J65" i="40"/>
  <c r="K63" i="40"/>
  <c r="I52" i="21"/>
  <c r="J52" i="21"/>
  <c r="U7" i="35"/>
  <c r="AB7" i="35"/>
  <c r="T38" i="35"/>
  <c r="G38" i="35"/>
  <c r="R49" i="21"/>
  <c r="E48" i="21"/>
  <c r="G52" i="21"/>
  <c r="H52" i="21"/>
  <c r="G53" i="21"/>
  <c r="H53" i="21"/>
  <c r="F7" i="35"/>
  <c r="F35" i="67"/>
  <c r="M21" i="67"/>
  <c r="M21" i="15"/>
  <c r="F35" i="15"/>
  <c r="D5" i="71"/>
  <c r="M24" i="43"/>
  <c r="C56" i="67"/>
  <c r="C65" i="67"/>
  <c r="J22" i="67"/>
  <c r="C75" i="67"/>
  <c r="C36" i="15"/>
  <c r="J59" i="15"/>
  <c r="J60" i="15"/>
  <c r="Q48" i="15"/>
  <c r="C46" i="11"/>
  <c r="C45" i="11"/>
  <c r="C43" i="11"/>
  <c r="C42" i="11"/>
  <c r="C34" i="67"/>
  <c r="F63" i="67"/>
  <c r="C62" i="67"/>
  <c r="C59" i="67"/>
  <c r="J20" i="67"/>
  <c r="J17" i="67"/>
  <c r="J19" i="15"/>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M69" i="39"/>
  <c r="N67" i="39"/>
  <c r="R39" i="35"/>
  <c r="E38" i="35"/>
  <c r="M63" i="40"/>
  <c r="L65" i="40"/>
  <c r="L51" i="67"/>
  <c r="D2" i="21"/>
  <c r="L57" i="67"/>
  <c r="L60" i="67"/>
  <c r="Q67" i="67"/>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Q65" i="67"/>
  <c r="Q66" i="67"/>
  <c r="Q57" i="67"/>
  <c r="B2" i="33"/>
  <c r="B3" i="33"/>
  <c r="C83" i="67"/>
  <c r="C82" i="67"/>
  <c r="Q47" i="67"/>
  <c r="Q53" i="67"/>
  <c r="C46" i="67"/>
  <c r="Q56" i="67"/>
  <c r="C43" i="67"/>
  <c r="C80" i="15"/>
  <c r="C79" i="15"/>
  <c r="C40" i="15"/>
  <c r="C46" i="15"/>
  <c r="H7" i="39"/>
  <c r="J7" i="39"/>
  <c r="S7" i="39"/>
  <c r="AA7" i="39"/>
  <c r="R47" i="39"/>
  <c r="O63" i="40"/>
  <c r="O65" i="40"/>
  <c r="N65" i="40"/>
  <c r="D2" i="37"/>
  <c r="D2" i="34"/>
  <c r="D2" i="35"/>
  <c r="L51" i="15"/>
  <c r="D2" i="36"/>
  <c r="Q75" i="67"/>
  <c r="Q62"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7" i="1"/>
  <c r="AO11" i="1"/>
  <c r="AO6" i="1"/>
  <c r="AO8" i="1"/>
  <c r="AO9" i="1"/>
  <c r="AO12" i="1"/>
  <c r="AO10" i="1"/>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I118" i="9"/>
  <c r="I4" i="52"/>
  <c r="C105" i="9"/>
  <c r="H101" i="9"/>
  <c r="D45" i="9"/>
  <c r="D55" i="9"/>
  <c r="M53" i="9"/>
  <c r="C85" i="9"/>
  <c r="C93" i="9"/>
  <c r="C86" i="9"/>
  <c r="C95" i="9"/>
  <c r="C96" i="9"/>
  <c r="C97" i="9"/>
  <c r="D58" i="9"/>
  <c r="D56" i="9"/>
  <c r="M54" i="9"/>
  <c r="C64" i="9"/>
  <c r="C63" i="9"/>
  <c r="C67" i="9"/>
  <c r="D59" i="9"/>
  <c r="M55" i="9"/>
  <c r="N57" i="9"/>
  <c r="N58" i="9"/>
  <c r="P57" i="9"/>
  <c r="D5" i="53"/>
  <c r="B20" i="72"/>
  <c r="D53" i="9"/>
  <c r="D52" i="9"/>
  <c r="C104" i="9"/>
  <c r="H4" i="52"/>
  <c r="H102" i="9"/>
  <c r="D7" i="53"/>
  <c r="B21" i="72"/>
  <c r="N59" i="9"/>
  <c r="N61" i="9"/>
  <c r="N60" i="9"/>
  <c r="H107" i="9"/>
  <c r="H108" i="9"/>
  <c r="C6" i="74"/>
  <c r="F118" i="9"/>
  <c r="G118" i="9"/>
  <c r="E118" i="9"/>
  <c r="D118" i="9"/>
  <c r="D119" i="9"/>
  <c r="D5" i="52"/>
  <c r="B49" i="72"/>
  <c r="D13" i="53"/>
  <c r="D14" i="53"/>
  <c r="B32" i="72"/>
  <c r="M48" i="9"/>
  <c r="D15" i="53"/>
  <c r="B31" i="72"/>
  <c r="D122" i="9"/>
  <c r="D123" i="9"/>
  <c r="D9" i="52"/>
  <c r="B30" i="72"/>
  <c r="E96" i="9"/>
  <c r="E97" i="9"/>
  <c r="D8" i="52"/>
  <c r="D6" i="53"/>
  <c r="B22" i="72"/>
  <c r="D4" i="52"/>
  <c r="B47" i="72"/>
  <c r="C5" i="74"/>
  <c r="F4" i="52"/>
  <c r="B51" i="72"/>
  <c r="F119" i="9"/>
  <c r="F5" i="52"/>
  <c r="B53" i="72"/>
  <c r="E4" i="52"/>
  <c r="B48" i="72"/>
  <c r="C72" i="9"/>
  <c r="C78" i="9"/>
  <c r="C73" i="9"/>
  <c r="C79" i="9"/>
  <c r="C80" i="9"/>
  <c r="C81" i="9"/>
  <c r="H119" i="9"/>
  <c r="H5" i="52"/>
  <c r="E80" i="9"/>
  <c r="E81" i="9"/>
  <c r="C68" i="9"/>
  <c r="D54" i="9"/>
  <c r="G4" i="52"/>
  <c r="B5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<sst xmlns="http://schemas.openxmlformats.org/spreadsheetml/2006/main" count="7816" uniqueCount="3416">
  <si>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</si>
  <si>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</si>
  <si>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</si>
  <si>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</si>
  <si>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</si>
  <si>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</si>
  <si>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</si>
  <si>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</si>
  <si>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</si>
  <si>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</si>
  <si>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</si>
  <si>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</si>
  <si>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</si>
  <si>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</si>
  <si>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</si>
  <si>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</si>
  <si>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</si>
  <si>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</si>
  <si>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</si>
  <si>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</si>
  <si>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</si>
  <si>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</si>
  <si>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</si>
  <si>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</si>
  <si>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</si>
  <si>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</si>
  <si>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</si>
  <si>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</si>
  <si>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</si>
  <si>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</si>
  <si>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</si>
  <si>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</si>
  <si>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</si>
  <si>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</si>
  <si>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</si>
  <si>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</si>
  <si>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</si>
  <si>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</si>
  <si>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</si>
  <si>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</si>
  <si>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</si>
  <si>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</si>
  <si>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</si>
  <si>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</si>
  <si>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</si>
  <si>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</si>
  <si>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</si>
  <si>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</si>
  <si>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</si>
  <si>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</si>
  <si>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</si>
  <si>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</si>
  <si>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</si>
  <si>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</si>
  <si>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</si>
  <si>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</si>
  <si>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</si>
  <si>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</si>
  <si>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</si>
  <si>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</si>
  <si>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</si>
  <si>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</si>
  <si>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</si>
  <si>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</si>
  <si>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</si>
  <si>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</si>
  <si>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</si>
  <si>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</si>
  <si>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</si>
  <si>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</si>
  <si>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</si>
  <si>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</si>
  <si>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</si>
  <si>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</si>
  <si>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</si>
  <si>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</si>
  <si>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</si>
  <si>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</si>
  <si>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</si>
  <si>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</si>
  <si>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</si>
  <si>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</si>
  <si>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</si>
  <si>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</si>
  <si>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</si>
  <si>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</si>
  <si>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</si>
  <si>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</si>
  <si>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</si>
  <si>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</si>
  <si>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</si>
  <si>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</si>
  <si>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</si>
  <si>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</si>
  <si>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</si>
  <si>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</si>
  <si>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</si>
  <si>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</si>
  <si>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</si>
  <si>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</si>
  <si>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</si>
  <si>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</si>
  <si>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</si>
  <si>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</si>
  <si>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</si>
  <si>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</si>
  <si>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</si>
  <si>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</si>
  <si>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</si>
  <si>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</si>
  <si>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</si>
  <si>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</si>
  <si>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</si>
  <si>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</si>
  <si>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</si>
  <si>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</si>
  <si>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</si>
  <si>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</si>
  <si>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</si>
  <si>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</si>
  <si>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</si>
  <si>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</si>
  <si>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</si>
  <si>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</si>
  <si>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</si>
  <si>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</si>
  <si>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</si>
  <si>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</si>
  <si>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</si>
  <si>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</si>
  <si>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</si>
  <si>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</si>
  <si>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</si>
  <si>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</si>
  <si>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</si>
  <si>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</si>
  <si>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</si>
  <si>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</si>
  <si>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</si>
  <si>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</si>
  <si>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</si>
  <si>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</si>
  <si>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</si>
  <si>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</si>
  <si>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</si>
  <si>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</si>
  <si>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</si>
  <si>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</si>
  <si>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</si>
  <si>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</si>
  <si>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</si>
  <si>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</si>
  <si>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</si>
  <si>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</si>
  <si>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</si>
  <si>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</si>
  <si>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</si>
  <si>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</si>
  <si>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</si>
  <si>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</si>
  <si>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</si>
  <si>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</si>
  <si>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</si>
  <si>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</si>
  <si>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</si>
  <si>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</si>
  <si>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</si>
  <si>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</si>
  <si>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</si>
  <si>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</si>
  <si>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</si>
  <si>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</si>
  <si>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</si>
  <si>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</si>
  <si>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</si>
  <si>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</si>
  <si>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</si>
  <si>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</si>
  <si>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</si>
  <si>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</si>
  <si>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</si>
  <si>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</si>
  <si>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</si>
  <si>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</si>
  <si>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</si>
  <si>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</si>
  <si>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</si>
  <si>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</si>
  <si>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</si>
  <si>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</si>
  <si>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</si>
  <si>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</si>
  <si>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</si>
  <si>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</si>
  <si>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</si>
  <si>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</si>
  <si>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</si>
  <si>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</si>
  <si>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</si>
  <si>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</si>
  <si>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</si>
  <si>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</si>
  <si>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</si>
  <si>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</si>
  <si>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</si>
  <si>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</si>
  <si>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</si>
  <si>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</si>
  <si>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</si>
  <si>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</si>
  <si>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</si>
  <si>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</si>
  <si>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</si>
  <si>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</si>
  <si>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</si>
  <si>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</si>
  <si>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</si>
  <si>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</si>
  <si>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</si>
  <si>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</si>
  <si>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</si>
  <si>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</si>
  <si>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</si>
  <si>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</si>
  <si>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</si>
  <si>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</si>
  <si>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</si>
  <si>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</si>
  <si>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</si>
  <si>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</si>
  <si>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</si>
  <si>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</si>
  <si>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</si>
  <si>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</si>
  <si>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</si>
  <si>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</si>
  <si>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</si>
  <si>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</si>
  <si>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</si>
  <si>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</si>
  <si>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</si>
  <si>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</si>
  <si>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</si>
  <si>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</si>
  <si>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</si>
  <si>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</si>
  <si>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</si>
  <si>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</si>
  <si>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</si>
  <si>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</si>
  <si>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</si>
  <si>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</si>
  <si>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</si>
  <si>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</si>
  <si>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</si>
  <si>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</si>
  <si>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</si>
  <si>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</si>
  <si>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</si>
  <si>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</si>
  <si>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</si>
  <si>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</si>
  <si>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</si>
  <si>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</si>
  <si>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</si>
  <si>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</si>
  <si>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</si>
  <si>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</si>
  <si>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</si>
  <si>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</si>
  <si>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</si>
  <si>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</si>
  <si>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</si>
  <si>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</si>
  <si>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</si>
  <si>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</si>
  <si>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</si>
  <si>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</si>
  <si>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</si>
  <si>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</si>
  <si>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</si>
  <si>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</si>
  <si>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</si>
  <si>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</si>
  <si>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</si>
  <si>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</si>
  <si>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</si>
  <si>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</si>
  <si>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</si>
  <si>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</si>
  <si>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</si>
  <si>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</si>
  <si>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</si>
  <si>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</si>
  <si>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</si>
  <si>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</si>
  <si>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</si>
  <si>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</si>
  <si>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</si>
  <si>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</si>
  <si>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</si>
  <si>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</si>
  <si>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</si>
  <si>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</si>
  <si>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</si>
  <si>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</si>
  <si>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</si>
  <si>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</si>
  <si>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</si>
  <si>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</si>
  <si>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</si>
  <si>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</si>
  <si>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</si>
  <si>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</si>
  <si>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</si>
  <si>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</si>
  <si>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</si>
  <si>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</si>
  <si>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</si>
  <si>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</si>
  <si>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</si>
  <si>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</si>
  <si>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</si>
  <si>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</si>
  <si>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</si>
  <si>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</si>
  <si>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</si>
  <si>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</si>
  <si>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</si>
  <si>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</si>
  <si>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</si>
  <si>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</si>
  <si>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</si>
  <si>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</si>
  <si>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</si>
  <si>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</si>
  <si>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</si>
  <si>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</si>
  <si>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</si>
  <si>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</si>
  <si>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</si>
  <si>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</si>
  <si>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</si>
  <si>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</si>
  <si>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</si>
  <si>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</si>
  <si>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</si>
  <si>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</si>
  <si>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</si>
  <si>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</si>
  <si>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</si>
  <si>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</si>
  <si>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</si>
  <si>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</si>
  <si>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</si>
  <si>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</si>
  <si>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</si>
  <si>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</si>
  <si>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</si>
  <si>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</si>
  <si>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</si>
  <si>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</si>
  <si>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</si>
  <si>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</si>
  <si>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</si>
  <si>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</si>
  <si>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</si>
  <si>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</si>
  <si>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</si>
  <si>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</si>
  <si>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</si>
  <si>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</si>
  <si>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</si>
  <si>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</si>
  <si>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</si>
  <si>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</si>
  <si>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</si>
  <si>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</si>
  <si>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</si>
  <si>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</si>
  <si>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</si>
  <si>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</si>
  <si>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</si>
  <si>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</si>
  <si>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</si>
  <si>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</si>
  <si>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</si>
  <si>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</si>
  <si>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</si>
  <si>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</si>
  <si>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</si>
  <si>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</si>
  <si>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</si>
  <si>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</si>
  <si>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</si>
  <si>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</si>
  <si>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</si>
  <si>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</si>
  <si>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</si>
  <si>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</si>
  <si>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</si>
  <si>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</si>
  <si>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</si>
  <si>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</si>
  <si>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</si>
  <si>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</si>
  <si>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</si>
  <si>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</si>
  <si>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</si>
  <si>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</si>
  <si>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</si>
  <si>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</si>
  <si>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</si>
  <si>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</si>
  <si>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</si>
  <si>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</si>
  <si>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</si>
  <si>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</si>
  <si>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</si>
  <si>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</si>
  <si>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</si>
  <si>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</si>
  <si>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</si>
  <si>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</si>
  <si>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</si>
  <si>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</si>
  <si>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</si>
  <si>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</si>
  <si>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</si>
  <si>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</si>
  <si>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</si>
  <si>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</si>
  <si>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</si>
  <si>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</si>
  <si>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</si>
  <si>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</si>
  <si>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</si>
  <si>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</si>
  <si>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</si>
  <si>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</si>
  <si>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</si>
  <si>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</si>
  <si>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</si>
  <si>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</si>
  <si>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</si>
  <si>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</si>
  <si>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</si>
  <si>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</si>
  <si>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</si>
  <si>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</si>
  <si>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</si>
  <si>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</si>
  <si>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</si>
  <si>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</si>
  <si>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</si>
  <si>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</si>
  <si>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</si>
  <si>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</si>
  <si>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</si>
  <si>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</si>
  <si>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</si>
  <si>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</si>
  <si>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</si>
  <si>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</si>
  <si>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</si>
  <si>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</si>
  <si>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</si>
  <si>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</si>
  <si>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</si>
  <si>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</si>
  <si>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</si>
  <si>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</si>
  <si>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</si>
  <si>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</si>
  <si>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</si>
  <si>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</si>
  <si>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</si>
  <si>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</si>
  <si>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</si>
  <si>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</si>
  <si>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</si>
  <si>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</si>
  <si>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</si>
  <si>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</si>
  <si>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</si>
  <si>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</si>
  <si>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</si>
  <si>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</si>
  <si>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</si>
  <si>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</si>
  <si>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</si>
  <si>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</si>
  <si>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</si>
  <si>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</si>
  <si>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</si>
  <si>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</si>
  <si>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</si>
  <si>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</si>
  <si>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</si>
  <si>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</si>
  <si>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</si>
  <si>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</si>
  <si>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</si>
  <si>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</si>
  <si>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</si>
  <si>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</si>
  <si>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</si>
  <si>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</si>
  <si>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</si>
  <si>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</si>
  <si>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</si>
  <si>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</si>
  <si>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</si>
  <si>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</si>
  <si>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</si>
  <si>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</si>
  <si>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</si>
  <si>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</si>
  <si>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</si>
  <si>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</si>
  <si>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</si>
  <si>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</si>
  <si>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</si>
  <si>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</si>
  <si>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</si>
  <si>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</si>
  <si>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</si>
  <si>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</si>
  <si>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</si>
  <si>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</si>
  <si>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</si>
  <si>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</si>
  <si>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</si>
  <si>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</si>
  <si>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</si>
  <si>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</si>
  <si>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</si>
  <si>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</si>
  <si>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</si>
  <si>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</si>
  <si>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</si>
  <si>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</si>
  <si>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</si>
  <si>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</si>
  <si>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</si>
  <si>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</si>
  <si>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</si>
  <si>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</si>
  <si>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</si>
  <si>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</si>
  <si>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</si>
  <si>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</si>
  <si>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</si>
  <si>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</si>
  <si>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</si>
  <si>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</si>
  <si>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</si>
  <si>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</si>
  <si>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</si>
  <si>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</si>
  <si>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</si>
  <si>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</si>
  <si>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</si>
  <si>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</si>
  <si>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</si>
  <si>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</si>
  <si>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</si>
  <si>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</si>
  <si>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</si>
  <si>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</si>
  <si>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</si>
  <si>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</si>
  <si>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</si>
  <si>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</si>
  <si>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</si>
  <si>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</si>
  <si>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</si>
  <si>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</si>
  <si>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</si>
  <si>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</si>
  <si>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</si>
  <si>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</si>
  <si>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</si>
  <si>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</si>
  <si>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</si>
  <si>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</si>
  <si>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</si>
  <si>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</si>
  <si>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</si>
  <si>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</si>
  <si>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</si>
  <si>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</si>
  <si>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</si>
  <si>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</si>
  <si>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</si>
  <si>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</si>
  <si>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</si>
  <si>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</si>
  <si>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</si>
  <si>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</si>
  <si>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</si>
  <si>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</si>
  <si>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</si>
  <si>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</si>
  <si>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</si>
  <si>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</si>
  <si>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</si>
  <si>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</si>
  <si>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</si>
  <si>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</si>
  <si>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</si>
  <si>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</si>
  <si>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</si>
  <si>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</si>
  <si>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</si>
  <si>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</si>
  <si>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</si>
  <si>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</si>
  <si>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</si>
  <si>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</si>
  <si>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</si>
  <si>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</si>
  <si>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</si>
  <si>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</si>
  <si>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</si>
  <si>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</si>
  <si>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</si>
  <si>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</si>
  <si>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</si>
  <si>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</si>
  <si>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</si>
  <si>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</si>
  <si>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</si>
  <si>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</si>
  <si>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</si>
  <si>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</si>
  <si>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</si>
  <si>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</si>
  <si>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</si>
  <si>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</si>
  <si>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</si>
  <si>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</si>
  <si>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</si>
  <si>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</si>
  <si>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</si>
  <si>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</si>
  <si>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</si>
  <si>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</si>
  <si>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</si>
  <si>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</si>
  <si>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</si>
  <si>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</si>
  <si>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</si>
  <si>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</si>
  <si>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</si>
  <si>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</si>
  <si>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</si>
  <si>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</si>
  <si>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</si>
  <si>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</si>
  <si>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</si>
  <si>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</si>
  <si>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</si>
  <si>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</si>
  <si>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</si>
  <si>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</si>
  <si>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</si>
  <si>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</si>
  <si>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</si>
  <si>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</si>
  <si>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</si>
  <si>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</si>
  <si>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</si>
  <si>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</si>
  <si>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</si>
  <si>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</si>
  <si>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</si>
  <si>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</si>
  <si>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</si>
  <si>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</si>
  <si>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</si>
  <si>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</si>
  <si>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</si>
  <si>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</si>
  <si>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</si>
  <si>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</si>
  <si>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</si>
  <si>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</si>
  <si>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</si>
  <si>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</si>
  <si>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</si>
  <si>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</si>
  <si>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</si>
  <si>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</si>
  <si>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</si>
  <si>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</si>
  <si>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</si>
  <si>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</si>
  <si>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</si>
  <si>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</si>
  <si>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</si>
  <si>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</si>
  <si>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</si>
  <si>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</si>
  <si>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</si>
  <si>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</si>
  <si>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</si>
  <si>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</si>
  <si>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</si>
  <si>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</si>
  <si>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</si>
  <si>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</si>
  <si>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</si>
  <si>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</si>
  <si>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</si>
  <si>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</si>
  <si>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</si>
  <si>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</si>
  <si>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</si>
  <si>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</si>
  <si>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</si>
  <si>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</si>
  <si>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</si>
  <si>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</si>
  <si>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</si>
  <si>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</si>
  <si>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</si>
  <si>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</si>
  <si>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</si>
  <si>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</si>
  <si>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</si>
  <si>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</si>
  <si>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</si>
  <si>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</si>
  <si>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</si>
  <si>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</si>
  <si>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</si>
  <si>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</si>
  <si>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</si>
  <si>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</si>
  <si>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</si>
  <si>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</si>
  <si>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</si>
  <si>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</si>
  <si>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</si>
  <si>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</si>
  <si>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</si>
  <si>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</si>
  <si>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</si>
  <si>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</si>
  <si>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</si>
  <si>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</si>
  <si>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</si>
  <si>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</si>
  <si>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</si>
  <si>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</si>
  <si>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</si>
  <si>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</si>
  <si>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</si>
  <si>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</si>
  <si>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</si>
  <si>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</si>
  <si>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</si>
  <si>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</si>
  <si>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</si>
  <si>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</si>
  <si>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</si>
  <si>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</si>
  <si>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</si>
  <si>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</si>
  <si>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</si>
  <si>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</si>
  <si>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</si>
  <si>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</si>
  <si>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</si>
  <si>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</si>
  <si>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</si>
  <si>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</si>
  <si>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</si>
  <si>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</si>
  <si>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</si>
  <si>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</si>
  <si>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</si>
  <si>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</si>
  <si>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</si>
  <si>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</si>
  <si>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</si>
  <si>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</si>
  <si>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</si>
  <si>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</si>
  <si>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</si>
  <si>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</si>
  <si>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</si>
  <si>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</si>
  <si>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</si>
  <si>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</si>
  <si>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</si>
  <si>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</si>
  <si>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</si>
  <si>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</si>
  <si>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</si>
  <si>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</si>
  <si>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</si>
  <si>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</si>
  <si>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</si>
  <si>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</si>
  <si>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</si>
  <si>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</si>
  <si>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</si>
  <si>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</si>
  <si>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</si>
  <si>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</si>
  <si>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</si>
  <si>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</si>
  <si>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</si>
  <si>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</si>
  <si>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</si>
  <si>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</si>
  <si>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</si>
  <si>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</si>
  <si>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</si>
  <si>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</si>
  <si>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</si>
  <si>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</si>
  <si>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</si>
  <si>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</si>
  <si>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</si>
  <si>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</si>
  <si>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</si>
  <si>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</si>
  <si>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</si>
  <si>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</si>
  <si>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</si>
  <si>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</si>
  <si>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</si>
  <si>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</si>
  <si>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</si>
  <si>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</si>
  <si>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</si>
  <si>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</si>
  <si>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</si>
  <si>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</si>
  <si>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</si>
  <si>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</si>
  <si>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</si>
  <si>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</si>
  <si>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</si>
  <si>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</si>
  <si>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</si>
  <si>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</si>
  <si>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</si>
  <si>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</si>
  <si>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</si>
  <si>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</si>
  <si>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</si>
  <si>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</si>
  <si>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</si>
  <si>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</si>
  <si>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</si>
  <si>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</si>
  <si>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</si>
  <si>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</si>
  <si>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</si>
  <si>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</si>
  <si>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</si>
  <si>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</si>
  <si>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</si>
  <si>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</si>
  <si>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</si>
  <si>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</si>
  <si>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</si>
  <si>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</si>
  <si>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</si>
  <si>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</si>
  <si>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</si>
  <si>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</si>
  <si>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</si>
  <si>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</si>
  <si>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</si>
  <si>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</si>
  <si>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</si>
  <si>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</si>
  <si>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</si>
  <si>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</si>
  <si>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</si>
  <si>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</si>
  <si>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</si>
  <si>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</si>
  <si>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</si>
  <si>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</si>
  <si>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</si>
  <si>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</si>
  <si>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</si>
  <si>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</si>
  <si>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</si>
  <si>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</si>
  <si>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</si>
  <si>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</si>
  <si>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</si>
  <si>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</si>
  <si>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</si>
  <si>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</si>
  <si>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</si>
  <si>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</si>
  <si>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</si>
  <si>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</si>
  <si>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</si>
  <si>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</si>
  <si>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</si>
  <si>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</si>
  <si>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</si>
  <si>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</si>
  <si>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</si>
  <si>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</si>
  <si>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</si>
  <si>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</si>
  <si>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</si>
  <si>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</si>
  <si>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</si>
  <si>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</si>
  <si>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</si>
  <si>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</si>
  <si>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</si>
  <si>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</si>
  <si>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</si>
  <si>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</si>
  <si>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</si>
  <si>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</si>
  <si>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</si>
  <si>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</si>
  <si>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</si>
  <si>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</si>
  <si>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</si>
  <si>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</si>
  <si>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</si>
  <si>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</si>
  <si>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</si>
  <si>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</si>
  <si>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</si>
  <si>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</si>
  <si>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</si>
  <si>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</si>
  <si>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</si>
  <si>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</si>
  <si>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</si>
  <si>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</si>
  <si>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</si>
  <si>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</si>
  <si>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</si>
  <si>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</si>
  <si>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</si>
  <si>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</si>
  <si>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</si>
  <si>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</si>
  <si>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</si>
  <si>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</si>
  <si>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</si>
  <si>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</si>
  <si>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</si>
  <si>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</si>
  <si>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</si>
  <si>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</si>
  <si>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</si>
  <si>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</si>
  <si>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</si>
  <si>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</si>
  <si>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</si>
  <si>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</si>
  <si>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</si>
  <si>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</si>
  <si>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</si>
  <si>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</si>
  <si>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</si>
  <si>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</si>
  <si>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</si>
  <si>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</si>
  <si>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</si>
  <si>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</si>
  <si>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</si>
  <si>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</si>
  <si>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</si>
  <si>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</si>
  <si>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</si>
  <si>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</si>
  <si>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</si>
  <si>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</si>
  <si>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</si>
  <si>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</si>
  <si>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</si>
  <si>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</si>
  <si>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</si>
  <si>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</si>
  <si>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</si>
  <si>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</si>
  <si>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</si>
  <si>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</si>
  <si>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</si>
  <si>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</si>
  <si>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</si>
  <si>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</si>
  <si>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</si>
  <si>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</si>
  <si>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</si>
  <si>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</si>
  <si>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</si>
  <si>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</si>
  <si>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</si>
  <si>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</si>
  <si>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</si>
  <si>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</si>
  <si>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</si>
  <si>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</si>
  <si>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</si>
  <si>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</si>
  <si>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</si>
  <si>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</si>
  <si>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</si>
  <si>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</si>
  <si>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</si>
  <si>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</si>
  <si>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</si>
  <si>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</si>
  <si>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</si>
  <si>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</si>
  <si>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</si>
  <si>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</si>
  <si>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</si>
  <si>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</si>
  <si>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</si>
  <si>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</si>
  <si>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</si>
  <si>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</si>
  <si>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</si>
  <si>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</si>
  <si>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</si>
  <si>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</si>
  <si>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</si>
  <si>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</si>
  <si>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</si>
  <si>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</si>
  <si>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</si>
  <si>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</si>
  <si>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</si>
  <si>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</si>
  <si>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</si>
  <si>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</si>
  <si>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</si>
  <si>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</si>
  <si>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</si>
  <si>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</si>
  <si>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</si>
  <si>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</si>
  <si>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</si>
  <si>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</si>
  <si>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</si>
  <si>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</si>
  <si>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</si>
  <si>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</si>
  <si>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</si>
  <si>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</si>
  <si>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</si>
  <si>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</si>
  <si>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</si>
  <si>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</si>
  <si>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</si>
  <si>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</si>
  <si>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</si>
  <si>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</si>
  <si>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</si>
  <si>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</si>
  <si>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</si>
  <si>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</si>
  <si>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</si>
  <si>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</si>
  <si>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</si>
  <si>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</si>
  <si>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</si>
  <si>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</si>
  <si>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</si>
  <si>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</si>
  <si>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</si>
  <si>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</si>
  <si>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</si>
  <si>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</si>
  <si>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</si>
  <si>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</si>
  <si>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</si>
  <si>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</si>
  <si>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</si>
  <si>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</si>
  <si>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</si>
  <si>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</si>
  <si>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</si>
  <si>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</si>
  <si>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</si>
  <si>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</si>
  <si>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</si>
  <si>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</si>
  <si>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</si>
  <si>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</si>
  <si>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</si>
  <si>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</si>
  <si>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</si>
  <si>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</si>
  <si>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</si>
  <si>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</si>
  <si>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</si>
  <si>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</si>
  <si>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</si>
  <si>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</si>
  <si>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</si>
  <si>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</si>
  <si>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</si>
  <si>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</si>
  <si>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</si>
  <si>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</si>
  <si>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</si>
  <si>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</si>
  <si>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</si>
  <si>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</si>
  <si>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</si>
  <si>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</si>
  <si>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</si>
  <si>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</si>
  <si>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</si>
  <si>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</si>
  <si>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</si>
  <si>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</si>
  <si>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</si>
  <si>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</si>
  <si>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</si>
  <si>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</si>
  <si>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</si>
  <si>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</si>
  <si>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</si>
  <si>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</si>
  <si>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</si>
  <si>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</si>
  <si>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</si>
  <si>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</si>
  <si>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</si>
  <si>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</si>
  <si>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</si>
  <si>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</si>
  <si>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</si>
  <si>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</si>
  <si>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</si>
  <si>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</si>
  <si>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</si>
  <si>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</si>
  <si>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</si>
  <si>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</si>
  <si>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</si>
  <si>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</si>
  <si>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</si>
  <si>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</si>
  <si>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</si>
  <si>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</si>
  <si>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</si>
  <si>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</si>
  <si>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</si>
  <si>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</si>
  <si>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</si>
  <si>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</si>
  <si>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</si>
  <si>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</si>
  <si>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</si>
  <si>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</si>
  <si>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</si>
  <si>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</si>
  <si>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</si>
  <si>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</si>
  <si>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</si>
  <si>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</si>
  <si>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</si>
  <si>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</si>
  <si>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</si>
  <si>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</si>
  <si>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</si>
  <si>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</si>
  <si>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</si>
  <si>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</si>
  <si>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</si>
  <si>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</si>
  <si>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</si>
  <si>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</si>
  <si>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</si>
  <si>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</si>
  <si>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</si>
  <si>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</si>
  <si>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</si>
  <si>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</si>
  <si>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</si>
  <si>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</si>
  <si>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</si>
  <si>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</si>
  <si>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</si>
  <si>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</si>
  <si>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</si>
  <si>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</si>
  <si>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</si>
  <si>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</si>
  <si>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</si>
  <si>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</si>
  <si>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</si>
  <si>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</si>
  <si>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</si>
  <si>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</si>
  <si>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</si>
  <si>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</si>
  <si>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</si>
  <si>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</si>
  <si>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</si>
  <si>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</si>
  <si>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</si>
  <si>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</si>
  <si>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</si>
  <si>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</si>
  <si>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</si>
  <si>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</si>
  <si>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</si>
  <si>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</si>
  <si>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</si>
  <si>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</si>
  <si>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</si>
  <si>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</si>
  <si>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</si>
  <si>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</si>
  <si>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</si>
  <si>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</si>
  <si>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</si>
  <si>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</si>
  <si>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</si>
  <si>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</si>
  <si>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</si>
  <si>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</si>
  <si>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</si>
  <si>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</si>
  <si>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</si>
  <si>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</si>
  <si>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</si>
  <si>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</si>
  <si>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</si>
  <si>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</si>
  <si>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</si>
  <si>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</si>
  <si>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</si>
  <si>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</si>
  <si>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</si>
  <si>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</si>
  <si>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</si>
  <si>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</si>
  <si>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</si>
  <si>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</si>
  <si>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</si>
  <si>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</si>
  <si>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</si>
  <si>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</si>
  <si>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</si>
  <si>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</si>
  <si>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</si>
  <si>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</si>
  <si>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</si>
  <si>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</si>
  <si>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</si>
  <si>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</si>
  <si>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</si>
  <si>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</si>
  <si>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</si>
  <si>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</si>
  <si>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</si>
  <si>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</si>
  <si>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</si>
  <si>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</si>
  <si>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</si>
  <si>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</si>
  <si>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</si>
  <si>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</si>
  <si>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</si>
  <si>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</si>
  <si>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</si>
  <si>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</si>
  <si>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</si>
  <si>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</si>
  <si>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</si>
  <si>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</si>
  <si>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</si>
  <si>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</si>
  <si>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</si>
  <si>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</si>
  <si>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</si>
  <si>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</si>
  <si>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</si>
  <si>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</si>
  <si>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</si>
  <si>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</si>
  <si>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</si>
  <si>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</si>
  <si>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</si>
  <si>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</si>
  <si>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</si>
  <si>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</si>
  <si>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</si>
  <si>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</si>
  <si>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</si>
  <si>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</si>
  <si>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</si>
  <si>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</si>
  <si>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</si>
  <si>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</si>
  <si>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</si>
  <si>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</si>
  <si>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</si>
  <si>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</si>
  <si>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</si>
  <si>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</si>
  <si>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</si>
  <si>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</si>
  <si>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</si>
  <si>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</si>
  <si>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</si>
  <si>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</si>
  <si>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</si>
  <si>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</si>
  <si>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</si>
  <si>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</si>
  <si>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</si>
  <si>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</si>
  <si>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</si>
  <si>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</si>
  <si>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</si>
  <si>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</si>
  <si>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</si>
  <si>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</si>
  <si>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</si>
  <si>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</si>
  <si>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</si>
  <si>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</si>
  <si>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</si>
  <si>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</si>
  <si>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</si>
  <si>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</si>
  <si>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</si>
  <si>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</si>
  <si>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</si>
  <si>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</si>
  <si>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</si>
  <si>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</si>
  <si>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</si>
  <si>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</si>
  <si>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</si>
  <si>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</si>
  <si>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</si>
  <si>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</si>
  <si>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</si>
  <si>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</si>
  <si>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</si>
  <si>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</si>
  <si>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</si>
  <si>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</si>
  <si>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</si>
  <si>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</si>
  <si>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</si>
  <si>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</si>
  <si>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</si>
  <si>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</si>
  <si>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</si>
  <si>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</si>
  <si>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</si>
  <si>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</si>
  <si>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</si>
  <si>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</si>
  <si>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</si>
  <si>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</si>
  <si>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</si>
  <si>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</si>
  <si>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</si>
  <si>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</si>
  <si>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</si>
  <si>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</si>
  <si>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</si>
  <si>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</si>
  <si>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</si>
  <si>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</si>
  <si>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</si>
  <si>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</si>
  <si>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</si>
  <si>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</si>
  <si>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</si>
  <si>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</si>
  <si>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</si>
  <si>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</si>
  <si>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</si>
  <si>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</si>
  <si>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</si>
  <si>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</si>
  <si>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</si>
  <si>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</si>
  <si>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</si>
  <si>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</si>
  <si>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</si>
  <si>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</si>
  <si>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</si>
  <si>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</si>
  <si>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</si>
  <si>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</si>
  <si>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</si>
  <si>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</si>
  <si>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</si>
  <si>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</si>
  <si>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</si>
  <si>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</si>
  <si>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</si>
  <si>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</si>
  <si>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</si>
  <si>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</si>
  <si>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</si>
  <si>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</si>
  <si>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</si>
  <si>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</si>
  <si>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</si>
  <si>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</si>
  <si>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</si>
  <si>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</si>
  <si>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</si>
  <si>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</si>
  <si>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</si>
  <si>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</si>
  <si>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</si>
  <si>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</si>
  <si>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</si>
  <si>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</si>
  <si>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</si>
  <si>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</si>
  <si>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</si>
  <si>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</si>
  <si>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</si>
  <si>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</si>
  <si>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</si>
  <si>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</si>
  <si>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</si>
  <si>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</si>
  <si>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</si>
  <si>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</si>
  <si>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</si>
  <si>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</si>
  <si>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</si>
  <si>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</si>
  <si>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</si>
  <si>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</si>
  <si>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</si>
  <si>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</si>
  <si>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</si>
  <si>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</si>
  <si>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</si>
  <si>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</si>
  <si>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</si>
  <si>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</si>
  <si>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</si>
  <si>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</si>
  <si>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</si>
  <si>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</si>
  <si>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</si>
  <si>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</si>
  <si>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</si>
  <si>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</si>
  <si>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</si>
  <si>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</si>
  <si>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</si>
  <si>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</si>
  <si>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</si>
  <si>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</si>
  <si>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</si>
  <si>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</si>
  <si>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</si>
  <si>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</si>
  <si>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</si>
  <si>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</si>
  <si>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</si>
  <si>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</si>
  <si>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</si>
  <si>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</si>
  <si>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</si>
  <si>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</si>
  <si>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</si>
  <si>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</si>
  <si>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</si>
  <si>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</si>
  <si>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</si>
  <si>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</si>
  <si>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</si>
  <si>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</si>
  <si>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</si>
  <si>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</si>
  <si>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</si>
  <si>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</si>
  <si>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</si>
  <si>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</si>
  <si>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</si>
  <si>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</si>
  <si>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</si>
  <si>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</si>
  <si>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</si>
  <si>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</si>
  <si>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</si>
  <si>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</si>
  <si>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</si>
  <si>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</si>
  <si>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</si>
  <si>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</si>
  <si>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</si>
  <si>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</si>
  <si>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</si>
  <si>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</si>
  <si>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</si>
  <si>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</si>
  <si>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</si>
  <si>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</si>
  <si>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</si>
  <si>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</si>
  <si>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</si>
  <si>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</si>
  <si>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</si>
  <si>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</si>
  <si>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</si>
  <si>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</si>
  <si>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</si>
  <si>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</si>
  <si>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</si>
  <si>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</si>
  <si>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</si>
  <si>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</si>
  <si>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</si>
  <si>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</si>
  <si>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</si>
  <si>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</si>
  <si>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</si>
  <si>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</si>
  <si>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</si>
  <si>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</si>
  <si>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</si>
  <si>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</si>
  <si>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</si>
  <si>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</si>
  <si>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</si>
  <si>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</si>
  <si>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</si>
  <si>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</si>
  <si>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</si>
  <si>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</si>
  <si>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</si>
  <si>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</si>
  <si>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</si>
  <si>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</si>
  <si>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</si>
  <si>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</si>
  <si>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</si>
  <si>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</si>
  <si>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</si>
  <si>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</si>
  <si>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</si>
  <si>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</si>
  <si>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</si>
  <si>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</si>
  <si>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</si>
  <si>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</si>
  <si>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</si>
  <si>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</si>
  <si>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</si>
  <si>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</si>
  <si>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</si>
  <si>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</si>
  <si>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</si>
  <si>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</si>
  <si>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</si>
  <si>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</si>
  <si>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</si>
  <si>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</si>
  <si>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</si>
  <si>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</si>
  <si>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</si>
  <si>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</si>
  <si>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</si>
  <si>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</si>
  <si>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</si>
  <si>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</si>
  <si>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</si>
  <si>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</si>
  <si>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</si>
  <si>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</si>
  <si>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</si>
  <si>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</si>
  <si>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</si>
  <si>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</si>
  <si>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</si>
  <si>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</si>
  <si>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</si>
  <si>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</si>
  <si>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</si>
  <si>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</si>
  <si>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</si>
  <si>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</si>
  <si>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</si>
  <si>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</si>
  <si>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</si>
  <si>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</si>
  <si>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</si>
  <si>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</si>
  <si>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</si>
  <si>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</si>
  <si>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</si>
  <si>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</si>
  <si>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</si>
  <si>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</si>
  <si>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</si>
  <si>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</si>
  <si>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</si>
  <si>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</si>
  <si>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</si>
  <si>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</si>
  <si>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</si>
  <si>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</si>
  <si>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</si>
  <si>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</si>
  <si>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</si>
  <si>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</si>
  <si>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</si>
  <si>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</si>
  <si>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</si>
  <si>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</si>
  <si>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</si>
  <si>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</si>
  <si>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</si>
  <si>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</si>
  <si>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</si>
  <si>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</si>
  <si>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</si>
  <si>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</si>
  <si>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</si>
  <si>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</si>
  <si>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</si>
  <si>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</si>
  <si>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</si>
  <si>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</si>
  <si>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</si>
  <si>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</si>
  <si>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</si>
  <si>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</si>
  <si>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</si>
  <si>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</si>
  <si>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</si>
  <si>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</si>
  <si>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</si>
  <si>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</si>
  <si>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</si>
  <si>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</si>
  <si>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</si>
  <si>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</si>
  <si>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</si>
  <si>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</si>
  <si>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</si>
  <si>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</si>
  <si>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</si>
  <si>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</si>
  <si>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</si>
  <si>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</si>
  <si>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</si>
  <si>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</si>
  <si>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</si>
  <si>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</si>
  <si>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</si>
  <si>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</si>
  <si>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</si>
  <si>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</si>
  <si>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</si>
  <si>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</si>
  <si>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</si>
  <si>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</si>
  <si>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</si>
  <si>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</si>
  <si>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</si>
  <si>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</si>
  <si>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</si>
  <si>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</si>
  <si>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</si>
  <si>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</si>
  <si>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</si>
  <si>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</si>
  <si>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</si>
  <si>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</si>
  <si>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</si>
  <si>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</si>
  <si>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</si>
  <si>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</si>
  <si>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</si>
  <si>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</si>
  <si>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</si>
  <si>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</si>
  <si>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</si>
  <si>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</si>
  <si>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</si>
  <si>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</si>
  <si>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</si>
  <si>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</si>
  <si>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</si>
  <si>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</si>
  <si>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</si>
  <si>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</si>
  <si>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</si>
  <si>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</si>
  <si>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</si>
  <si>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</si>
  <si>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</si>
  <si>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</si>
  <si>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</si>
  <si>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</si>
  <si>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</si>
  <si>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</si>
  <si>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</si>
  <si>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</si>
  <si>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</si>
  <si>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</si>
  <si>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</si>
  <si>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</si>
  <si>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</si>
  <si>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</si>
  <si>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</si>
  <si>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</si>
  <si>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</si>
  <si>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</si>
  <si>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</si>
  <si>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</si>
  <si>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</si>
  <si>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</si>
  <si>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</si>
  <si>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</si>
  <si>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</si>
  <si>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</si>
  <si>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</si>
  <si>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</si>
  <si>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</si>
  <si>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</si>
  <si>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</si>
  <si>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</si>
  <si>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</si>
  <si>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</si>
  <si>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</si>
  <si>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</si>
  <si>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</si>
  <si>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</si>
  <si>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</si>
  <si>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</si>
  <si>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</si>
  <si>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</si>
  <si>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</si>
  <si>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</si>
  <si>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</si>
  <si>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</si>
  <si>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</si>
  <si>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</si>
  <si>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</si>
  <si>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</si>
  <si>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</si>
  <si>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</si>
  <si>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</si>
  <si>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</si>
  <si>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</si>
  <si>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</si>
  <si>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</si>
  <si>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</si>
  <si>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</si>
  <si>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</si>
  <si>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</si>
  <si>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</si>
  <si>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</si>
  <si>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</si>
  <si>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</si>
  <si>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</si>
  <si>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</si>
  <si>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</si>
  <si>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</si>
  <si>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</si>
  <si>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</si>
  <si>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</si>
  <si>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</si>
  <si>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</si>
  <si>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</si>
  <si>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</si>
  <si>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</si>
  <si>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</si>
  <si>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</si>
  <si>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</si>
  <si>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</si>
  <si>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</si>
  <si>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</si>
  <si>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</si>
  <si>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</si>
  <si>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</si>
  <si>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</si>
  <si>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</si>
  <si>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</si>
  <si>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</si>
  <si>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</si>
  <si>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</si>
  <si>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</si>
  <si>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</si>
  <si>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</si>
  <si>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</si>
  <si>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</si>
  <si>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</si>
  <si>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</si>
  <si>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</si>
  <si>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</si>
  <si>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</si>
  <si>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</si>
  <si>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</si>
  <si>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</si>
  <si>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</si>
  <si>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</si>
  <si>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</si>
  <si>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</si>
  <si>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</si>
  <si>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</si>
  <si>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</si>
  <si>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</si>
  <si>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</si>
  <si>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</si>
  <si>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</si>
  <si>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</si>
  <si>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</si>
  <si>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</si>
  <si>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</si>
  <si>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</si>
  <si>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</si>
  <si>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</si>
  <si>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</si>
  <si>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</si>
  <si>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</si>
  <si>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</si>
  <si>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</si>
  <si>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</si>
  <si>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</si>
  <si>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</si>
  <si>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</si>
  <si>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</si>
  <si>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</si>
  <si>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</si>
  <si>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</si>
  <si>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</si>
  <si>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</si>
  <si>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</si>
  <si>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</si>
  <si>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</si>
  <si>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</si>
  <si>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</si>
  <si>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</si>
  <si>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</si>
  <si>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</si>
  <si>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</si>
  <si>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</si>
  <si>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</si>
  <si>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</si>
  <si>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</si>
  <si>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</si>
  <si>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</si>
  <si>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</si>
  <si>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</si>
  <si>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</si>
  <si>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</si>
  <si>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</si>
  <si>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</si>
  <si>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</si>
  <si>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</si>
  <si>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</si>
  <si>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</si>
  <si>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</si>
  <si>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</si>
  <si>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</si>
  <si>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</si>
  <si>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</si>
  <si>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</si>
  <si>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</si>
  <si>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</si>
  <si>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</si>
  <si>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</si>
  <si>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</si>
  <si>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</si>
  <si>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</si>
  <si>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</si>
  <si>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</si>
  <si>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</si>
  <si>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</si>
  <si>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</si>
  <si>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</si>
  <si>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</si>
  <si>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</si>
  <si>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</si>
  <si>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</si>
  <si>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</si>
  <si>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</si>
  <si>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</si>
  <si>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</si>
  <si>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</si>
  <si>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</si>
  <si>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</si>
  <si>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</si>
  <si>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</si>
  <si>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</si>
  <si>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</si>
  <si>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</si>
  <si>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</si>
  <si>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</si>
  <si>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</si>
  <si>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</si>
  <si>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</si>
  <si>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</si>
  <si>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</si>
  <si>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</si>
  <si>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</si>
  <si>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</si>
  <si>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</si>
  <si>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</si>
  <si>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</si>
  <si>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</si>
  <si>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</si>
  <si>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</si>
  <si>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</si>
  <si>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</si>
  <si>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</si>
  <si>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</si>
  <si>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</si>
  <si>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</si>
  <si>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</si>
  <si>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</si>
  <si>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</si>
  <si>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</si>
  <si>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</si>
  <si>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</si>
  <si>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</si>
  <si>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</si>
  <si>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</si>
  <si>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</si>
  <si>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</si>
  <si>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</si>
  <si>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</si>
  <si>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</si>
  <si>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</si>
  <si>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</si>
  <si>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</si>
  <si>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</si>
  <si>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</si>
  <si>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</si>
  <si>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</si>
  <si>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</si>
  <si>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</si>
  <si>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</si>
  <si>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</si>
  <si>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</si>
  <si>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</si>
  <si>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</si>
  <si>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</si>
  <si>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</si>
  <si>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</si>
  <si>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</si>
  <si>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</si>
  <si>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</si>
  <si>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</si>
  <si>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</si>
  <si>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</si>
  <si>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</si>
  <si>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</si>
  <si>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</si>
  <si>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</si>
  <si>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</si>
  <si>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</si>
  <si>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</si>
  <si>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</si>
  <si>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</si>
  <si>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</si>
  <si>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</si>
  <si>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</si>
  <si>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</si>
  <si>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</si>
  <si>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</si>
  <si>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</si>
  <si>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</si>
  <si>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</si>
  <si>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</si>
  <si>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</si>
  <si>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</si>
  <si>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</si>
  <si>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</si>
  <si>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</si>
  <si>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</si>
  <si>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</si>
  <si>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</si>
  <si>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</si>
  <si>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</si>
  <si>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</si>
  <si>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</si>
  <si>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</si>
  <si>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</si>
  <si>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</si>
  <si>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</si>
  <si>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</si>
  <si>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</si>
  <si>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</si>
  <si>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</si>
  <si>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</si>
  <si>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</si>
  <si>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</si>
  <si>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</si>
  <si>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</si>
  <si>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</si>
  <si>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</si>
  <si>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</si>
  <si>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</si>
  <si>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</si>
  <si>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</si>
  <si>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</si>
  <si>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</si>
  <si>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</si>
  <si>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</si>
  <si>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</si>
  <si>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</si>
  <si>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</si>
  <si>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</si>
  <si>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</si>
  <si>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</si>
  <si>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</si>
  <si>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</si>
  <si>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</si>
  <si>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</si>
  <si>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</si>
  <si>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</si>
  <si>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</si>
  <si>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</si>
  <si>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</si>
  <si>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</si>
  <si>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</si>
  <si>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</si>
  <si>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</si>
  <si>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</si>
  <si>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</si>
  <si>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</si>
  <si>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</si>
  <si>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</si>
  <si>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</si>
  <si>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</si>
  <si>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</si>
  <si>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</si>
  <si>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</si>
  <si>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</si>
  <si>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</si>
  <si>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</si>
  <si>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</si>
  <si>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</si>
  <si>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</si>
  <si>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</si>
  <si>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</si>
  <si>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</si>
  <si>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</si>
  <si>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</si>
  <si>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</si>
  <si>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</si>
  <si>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</si>
  <si>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</si>
  <si>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</si>
  <si>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</si>
  <si>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</si>
  <si>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</si>
  <si>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</si>
  <si>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</si>
  <si>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</si>
  <si>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</si>
  <si>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</si>
  <si>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</si>
  <si>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</si>
  <si>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</si>
  <si>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</si>
  <si>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</si>
  <si>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</si>
  <si>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</si>
  <si>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</si>
  <si>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</si>
  <si>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</si>
  <si>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</si>
  <si>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</si>
  <si>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</si>
  <si>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</si>
  <si>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</si>
  <si>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</si>
  <si>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</si>
  <si>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</si>
  <si>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</si>
  <si>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</si>
  <si>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</si>
  <si>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</si>
  <si>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</si>
  <si>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</si>
  <si>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</si>
  <si>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</si>
  <si>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</si>
  <si>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</si>
  <si>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</si>
  <si>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</si>
  <si>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</si>
  <si>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</si>
  <si>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</si>
  <si>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</si>
  <si>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</si>
  <si>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</si>
  <si>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</si>
  <si>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</si>
  <si>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</si>
  <si>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</si>
  <si>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</si>
  <si>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</si>
  <si>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</si>
  <si>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</si>
  <si>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</si>
  <si>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</si>
  <si>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</si>
  <si>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</si>
  <si>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</si>
  <si>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</si>
  <si>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</si>
  <si>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</si>
  <si>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</si>
  <si>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</si>
  <si>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</si>
  <si>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</si>
  <si>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</si>
  <si>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</si>
  <si>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</si>
  <si>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</si>
  <si>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</si>
  <si>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</si>
  <si>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</si>
  <si>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</si>
  <si>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</si>
  <si>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</si>
  <si>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</si>
  <si>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</si>
  <si>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</si>
  <si>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</si>
  <si>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</si>
  <si>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</si>
  <si>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</si>
  <si>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</si>
  <si>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</si>
  <si>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</si>
  <si>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</si>
  <si>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</si>
  <si>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</si>
  <si>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</si>
  <si>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</si>
  <si>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</si>
  <si>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</si>
  <si>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</si>
  <si>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</si>
  <si>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</si>
  <si>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</si>
  <si>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</si>
  <si>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</si>
  <si>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</si>
  <si>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</si>
  <si>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</si>
  <si>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</si>
  <si>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</si>
  <si>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</si>
  <si>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</si>
  <si>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</si>
  <si>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</si>
  <si>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</si>
  <si>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</si>
  <si>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</si>
  <si>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</si>
  <si>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</si>
  <si>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</si>
  <si>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</si>
  <si>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</si>
  <si>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</si>
  <si>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</si>
  <si>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</si>
  <si>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</si>
  <si>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</si>
  <si>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</si>
  <si>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</si>
  <si>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</si>
  <si>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</si>
  <si>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</si>
  <si>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</si>
  <si>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</si>
  <si>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</si>
  <si>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</si>
  <si>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</si>
  <si>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</si>
  <si>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</si>
  <si>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</si>
  <si>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</si>
  <si>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</si>
  <si>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</si>
  <si>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</si>
  <si>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</si>
  <si>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</si>
  <si>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</si>
  <si>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</si>
  <si>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</si>
  <si>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</si>
  <si>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</si>
  <si>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</si>
  <si>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</si>
  <si>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</si>
  <si>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</si>
  <si>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</si>
  <si>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</si>
  <si>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</si>
  <si>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</si>
  <si>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</si>
  <si>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</si>
  <si>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</si>
  <si>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</si>
  <si>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</si>
  <si>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</si>
  <si>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</si>
  <si>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</si>
  <si>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</si>
  <si>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</si>
  <si>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</si>
  <si>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</si>
  <si>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</si>
  <si>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</si>
  <si>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</si>
  <si>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</si>
  <si>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</si>
  <si>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</si>
  <si>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</si>
  <si>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</si>
  <si>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</si>
  <si>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</si>
  <si>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</si>
  <si>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</si>
  <si>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</si>
  <si>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</si>
  <si>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</si>
  <si>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</si>
  <si>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</si>
  <si>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</si>
  <si>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</si>
  <si>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</si>
  <si>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</si>
  <si>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</si>
  <si>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</si>
  <si>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</si>
  <si>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</si>
  <si>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</si>
  <si>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</si>
  <si>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</si>
  <si>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</si>
  <si>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</si>
  <si>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</si>
  <si>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</si>
  <si>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</si>
  <si>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</si>
  <si>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</si>
  <si>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</si>
  <si>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</si>
  <si>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</si>
  <si>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</si>
  <si>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</si>
  <si>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</si>
  <si>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</si>
  <si>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</si>
  <si>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</si>
  <si>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</si>
  <si>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</si>
  <si>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</si>
  <si>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</si>
  <si>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</si>
  <si>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</si>
  <si>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</si>
  <si>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</si>
  <si>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</si>
  <si>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</si>
  <si>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</si>
  <si>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</si>
  <si>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</si>
  <si>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</si>
  <si>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</si>
  <si>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</si>
  <si>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</si>
  <si>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</si>
  <si>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</si>
  <si>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</si>
  <si>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</si>
  <si>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</si>
  <si>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</si>
  <si>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</si>
  <si>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</si>
  <si>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</si>
  <si>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</si>
  <si>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</si>
  <si>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</si>
  <si>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</si>
  <si>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</si>
  <si>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</si>
  <si>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</si>
  <si>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</si>
  <si>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</si>
  <si>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</si>
  <si>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</si>
  <si>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</si>
  <si>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</si>
  <si>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</si>
  <si>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</si>
  <si>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</si>
  <si>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</si>
  <si>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</si>
  <si>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</si>
  <si>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</si>
  <si>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</si>
  <si>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</si>
  <si>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</si>
  <si>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</si>
  <si>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</si>
  <si>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</si>
  <si>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</si>
  <si>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</si>
  <si>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</si>
  <si>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</si>
  <si>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</si>
  <si>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</si>
  <si>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</si>
  <si>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</si>
  <si>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</si>
  <si>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</si>
  <si>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</si>
  <si>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</si>
  <si>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</si>
  <si>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</si>
  <si>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</si>
  <si>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</si>
  <si>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</si>
  <si>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</si>
  <si>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</si>
  <si>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</si>
  <si>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</si>
  <si>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</si>
  <si>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</si>
  <si>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</si>
  <si>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</si>
  <si>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</si>
  <si>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</si>
  <si>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</si>
  <si>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</si>
  <si>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</si>
  <si>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</si>
  <si>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</si>
  <si>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</si>
  <si>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</si>
  <si>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</si>
  <si>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</si>
  <si>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</si>
  <si>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</si>
  <si>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</si>
  <si>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</si>
  <si>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</si>
  <si>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</si>
  <si>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</si>
  <si>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</si>
  <si>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</si>
  <si>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</si>
  <si>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</si>
  <si>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</si>
  <si>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</si>
  <si>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</si>
  <si>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</si>
  <si>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</si>
  <si>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</si>
  <si>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</si>
  <si>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</si>
  <si>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</si>
  <si>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</si>
  <si>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</si>
  <si>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</si>
  <si>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</si>
  <si>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</si>
  <si>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</si>
  <si>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</si>
  <si>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</si>
  <si>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</si>
  <si>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</si>
  <si>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</si>
  <si>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</si>
  <si>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</si>
  <si>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</si>
  <si>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</si>
  <si>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</si>
  <si>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</si>
  <si>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</si>
  <si>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</si>
  <si>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</si>
  <si>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</si>
  <si>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</si>
  <si>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</si>
  <si>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</si>
  <si>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</si>
  <si>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</si>
  <si>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</si>
  <si>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</si>
  <si>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</si>
  <si>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</si>
  <si>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</si>
  <si>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</si>
  <si>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</si>
  <si>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</si>
  <si>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</si>
  <si>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</si>
  <si>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</si>
  <si>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</si>
  <si>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</si>
  <si>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</si>
  <si>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</si>
  <si>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</si>
  <si>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</si>
  <si>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</si>
  <si>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</si>
  <si>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</si>
  <si>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</si>
  <si>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</si>
  <si>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</si>
  <si>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</si>
  <si>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</si>
  <si>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</si>
  <si>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</si>
  <si>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</si>
  <si>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</si>
  <si>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</si>
  <si>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</si>
  <si>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</si>
  <si>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</si>
  <si>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</si>
  <si>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</si>
  <si>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</si>
  <si>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</si>
  <si>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</si>
  <si>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</si>
  <si>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</si>
  <si>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</si>
  <si>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</si>
  <si>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</si>
  <si>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</si>
  <si>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</si>
  <si>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</si>
  <si>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</si>
  <si>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</si>
  <si>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</si>
  <si>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</si>
  <si>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</si>
  <si>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</si>
  <si>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</si>
  <si>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</si>
  <si>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</si>
  <si>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</si>
  <si>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</si>
  <si>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</si>
  <si>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</si>
  <si>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</si>
  <si>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</si>
  <si>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</si>
  <si>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</si>
  <si>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</si>
  <si>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</si>
  <si>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</si>
  <si>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</si>
  <si>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</si>
  <si>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</si>
  <si>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</si>
  <si>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</si>
  <si>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</si>
  <si>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</si>
  <si>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</si>
  <si>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</si>
  <si>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</si>
  <si>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</si>
  <si>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</si>
  <si>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</si>
  <si>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</si>
  <si>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</si>
  <si>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</si>
  <si>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</si>
  <si>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</si>
  <si>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</si>
  <si>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</si>
  <si>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</si>
  <si>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</si>
  <si>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</si>
  <si>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</si>
  <si>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</si>
  <si>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</si>
  <si>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</si>
  <si>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</si>
  <si>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</si>
  <si>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</si>
  <si>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</si>
  <si>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</si>
  <si>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</si>
  <si>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</si>
  <si>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</si>
  <si>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</si>
  <si>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</si>
  <si>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</si>
  <si>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</si>
  <si>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</si>
  <si>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</si>
  <si>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</si>
  <si>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</si>
  <si>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</si>
  <si>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</si>
  <si>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</si>
  <si>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</si>
  <si>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</si>
  <si>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</si>
  <si>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</si>
  <si>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</si>
  <si>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</si>
  <si>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</si>
  <si>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</si>
  <si>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</si>
  <si>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</si>
  <si>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</si>
  <si>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</si>
  <si>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</si>
  <si>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</si>
  <si>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</si>
  <si>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</si>
  <si>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</si>
  <si>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</si>
  <si>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</si>
  <si>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</si>
  <si>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</si>
  <si>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</si>
  <si>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</si>
  <si>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</si>
  <si>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</si>
  <si>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</si>
  <si>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</si>
  <si>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</si>
  <si>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</si>
  <si>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</si>
  <si>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</si>
  <si>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</si>
  <si>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</si>
  <si>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</si>
  <si>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</si>
  <si>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</si>
  <si>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</si>
  <si>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</si>
  <si>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</si>
  <si>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</si>
  <si>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</si>
  <si>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</si>
  <si>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</si>
  <si>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</si>
  <si>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</si>
  <si>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</si>
  <si>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</si>
  <si>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</si>
  <si>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</si>
  <si>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</si>
  <si>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</si>
  <si>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</si>
  <si>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</si>
  <si>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</si>
  <si>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</si>
  <si>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</si>
  <si>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</si>
  <si>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</si>
  <si>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</si>
  <si>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</si>
  <si>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</si>
  <si>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</si>
  <si>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</si>
  <si>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</si>
  <si>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</si>
  <si>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</si>
  <si>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</si>
  <si>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</si>
  <si>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</si>
  <si>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</si>
  <si>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</si>
  <si>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</si>
  <si>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</si>
  <si>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</si>
  <si>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</si>
  <si>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</si>
  <si>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</si>
  <si>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</si>
  <si>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</si>
  <si>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</si>
  <si>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</si>
  <si>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</si>
  <si>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</si>
  <si>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</si>
  <si>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</si>
  <si>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</si>
  <si>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</si>
  <si>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</si>
  <si>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</si>
  <si>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</si>
  <si>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</si>
  <si>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</si>
  <si>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</si>
  <si>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</si>
  <si>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</si>
  <si>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</si>
  <si>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</si>
  <si>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</si>
  <si>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</si>
  <si>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</si>
  <si>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</si>
  <si>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</si>
  <si>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</si>
  <si>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</si>
  <si>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</si>
  <si>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</si>
  <si>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</si>
  <si>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</si>
  <si>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</si>
  <si>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</si>
  <si>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</si>
  <si>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</si>
  <si>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</si>
  <si>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</si>
  <si>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</si>
  <si>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</si>
  <si>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</si>
  <si>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</si>
  <si>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</si>
  <si>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</si>
  <si>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</si>
  <si>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</si>
  <si>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</si>
  <si>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</si>
  <si>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</si>
  <si>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</si>
  <si>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</si>
  <si>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</si>
  <si>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</si>
  <si>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</si>
  <si>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</si>
  <si>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</si>
  <si>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</si>
  <si>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</si>
  <si>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</si>
  <si>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</si>
  <si>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</si>
  <si>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</si>
  <si>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</si>
  <si>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</si>
  <si>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</si>
  <si>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</si>
  <si>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</si>
  <si>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</si>
  <si>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</si>
  <si>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</si>
  <si>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</si>
  <si>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</si>
  <si>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</si>
  <si>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</si>
  <si>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</si>
  <si>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</si>
  <si>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</si>
  <si>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</si>
  <si>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</si>
  <si>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</si>
  <si>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</si>
  <si>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</si>
  <si>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</si>
  <si>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</si>
  <si>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</si>
  <si>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</si>
  <si>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</si>
  <si>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</si>
  <si>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</si>
  <si>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</si>
  <si>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</si>
  <si>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</si>
  <si>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</si>
  <si>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</si>
  <si>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</si>
  <si>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</si>
  <si>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</si>
  <si>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</si>
  <si>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</si>
  <si>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</si>
  <si>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</si>
  <si>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</si>
  <si>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</si>
  <si>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</si>
  <si>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</si>
  <si>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</si>
  <si>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</si>
  <si>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</si>
  <si>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</si>
  <si>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</si>
  <si>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</si>
  <si>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</si>
  <si>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</si>
  <si>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</si>
  <si>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</si>
  <si>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</si>
  <si>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</si>
  <si>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</si>
  <si>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</si>
  <si>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</si>
  <si>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</si>
  <si>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</si>
  <si>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</si>
  <si>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</si>
  <si>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</si>
  <si>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</si>
  <si>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</si>
  <si>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</si>
  <si>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</si>
  <si>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</si>
  <si>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</si>
  <si>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</si>
  <si>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</si>
  <si>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</si>
  <si>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</si>
  <si>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</si>
  <si>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</si>
  <si>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</si>
  <si>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</si>
  <si>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</si>
  <si>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</si>
  <si>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</si>
  <si>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</si>
  <si>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</si>
  <si>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</si>
  <si>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</si>
  <si>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</si>
  <si>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</si>
  <si>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</si>
  <si>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</si>
  <si>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</si>
  <si>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</si>
  <si>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</si>
  <si>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</si>
  <si>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</si>
  <si>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</si>
  <si>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</si>
  <si>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</si>
  <si>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</si>
  <si>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</si>
  <si>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</si>
  <si>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</si>
  <si>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</si>
  <si>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</si>
  <si>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</si>
  <si>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</si>
  <si>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</si>
  <si>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</si>
  <si>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</si>
  <si>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</si>
  <si>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</si>
  <si>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</si>
  <si>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</si>
  <si>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</si>
  <si>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</si>
  <si>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</si>
  <si>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</si>
  <si>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</si>
  <si>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</si>
  <si>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</si>
  <si>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</si>
  <si>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</si>
  <si>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</si>
  <si>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</si>
  <si>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</si>
  <si>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</si>
  <si>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</si>
  <si>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</si>
  <si>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</si>
  <si>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</si>
  <si>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</si>
  <si>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</si>
  <si>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</si>
  <si>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</si>
  <si>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</si>
  <si>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</si>
  <si>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</si>
  <si>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</si>
  <si>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</si>
  <si>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</si>
  <si>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</si>
  <si>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</si>
  <si>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</si>
  <si>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</si>
  <si>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</si>
  <si>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</si>
  <si>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</si>
  <si>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</si>
  <si>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</si>
  <si>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</si>
  <si>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</si>
  <si>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</si>
  <si>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</si>
  <si>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</si>
  <si>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</si>
  <si>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</si>
  <si>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</si>
  <si>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</si>
  <si>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</si>
  <si>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</si>
  <si>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</si>
  <si>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</si>
  <si>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</si>
  <si>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</si>
  <si>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</si>
  <si>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</si>
  <si>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</si>
  <si>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</si>
  <si>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</si>
  <si>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</si>
  <si>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</si>
  <si>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</si>
  <si>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</si>
  <si>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</si>
  <si>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</si>
  <si>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</si>
  <si>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</si>
  <si>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</si>
  <si>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</si>
  <si>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</si>
  <si>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</si>
  <si>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</si>
  <si>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</si>
  <si>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</si>
  <si>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</si>
  <si>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</si>
  <si>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</si>
  <si>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</si>
  <si>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</si>
  <si>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</si>
  <si>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</si>
  <si>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</si>
  <si>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</si>
  <si>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</si>
  <si>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</si>
  <si>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</si>
  <si>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</si>
  <si>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</si>
  <si>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</si>
  <si>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</si>
  <si>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</si>
  <si>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</si>
  <si>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</si>
  <si>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</si>
  <si>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</si>
  <si>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</si>
  <si>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</si>
  <si>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</si>
  <si>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</si>
  <si>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</si>
  <si>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</si>
  <si>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</si>
  <si>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</si>
  <si>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</si>
  <si>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</si>
  <si>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</si>
  <si>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</si>
  <si>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</si>
  <si>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</si>
  <si>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</si>
  <si>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</si>
  <si>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</si>
  <si>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</si>
  <si>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</si>
  <si>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</si>
  <si>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</si>
  <si>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</si>
  <si>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</si>
  <si>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</si>
  <si>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</si>
  <si>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</si>
  <si>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</si>
  <si>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</si>
  <si>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</si>
  <si>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</si>
  <si>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</si>
  <si>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</si>
  <si>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</si>
  <si>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</si>
  <si>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</si>
  <si>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</si>
  <si>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</si>
  <si>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</si>
  <si>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</si>
  <si>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</si>
  <si>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</si>
  <si>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</si>
  <si>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</si>
  <si>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</si>
  <si>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</si>
  <si>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</si>
  <si>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</si>
  <si>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</si>
  <si>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</si>
  <si>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</si>
  <si>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</si>
  <si>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</si>
  <si>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</si>
  <si>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</si>
  <si>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</si>
  <si>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</si>
  <si>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</si>
  <si>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</si>
  <si>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</si>
  <si>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</si>
  <si>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</si>
  <si>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</si>
  <si>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</si>
  <si>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</si>
  <si>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</si>
  <si>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</si>
  <si>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</si>
  <si>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</si>
  <si>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</si>
  <si>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</si>
  <si>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</si>
  <si>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</si>
  <si>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</si>
  <si>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</si>
  <si>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</si>
  <si>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</si>
  <si>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</si>
  <si>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</si>
  <si>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</si>
  <si>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</si>
  <si>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</si>
  <si>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</si>
  <si>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</si>
  <si>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</si>
  <si>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</si>
  <si>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</si>
  <si>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</si>
  <si>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</si>
  <si>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</si>
  <si>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</si>
  <si>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</si>
  <si>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</si>
  <si>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</si>
  <si>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</si>
  <si>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</si>
  <si>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</si>
  <si>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</si>
  <si>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</si>
  <si>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</si>
  <si>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</si>
  <si>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</si>
  <si>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</si>
  <si>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</si>
  <si>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</si>
  <si>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</si>
  <si>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</si>
  <si>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</si>
  <si>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</si>
  <si>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</si>
  <si>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</si>
  <si>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</si>
  <si>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</si>
  <si>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</si>
  <si>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</si>
  <si>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</si>
  <si>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</si>
  <si>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</si>
  <si>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</si>
  <si>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</si>
  <si>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</si>
  <si>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</si>
  <si>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</si>
  <si>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</si>
  <si>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</si>
  <si>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</si>
  <si>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</si>
  <si>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</si>
  <si>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</si>
  <si>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</si>
  <si>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</si>
  <si>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</si>
  <si>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</si>
  <si>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</si>
  <si>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</si>
  <si>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</si>
  <si>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</si>
  <si>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</si>
  <si>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</si>
  <si>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</si>
  <si>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</si>
  <si>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</si>
  <si>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</si>
  <si>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</si>
  <si>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</si>
  <si>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</si>
  <si>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</si>
  <si>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</si>
  <si>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</si>
  <si>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</si>
  <si>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</si>
  <si>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</si>
  <si>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</si>
  <si>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</si>
  <si>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</si>
  <si>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</si>
  <si>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</si>
  <si>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</si>
  <si>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</si>
  <si>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</si>
  <si>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</si>
  <si>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</si>
  <si>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</si>
  <si>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</si>
  <si>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</si>
  <si>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</si>
  <si>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</si>
  <si>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</si>
  <si>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</si>
  <si>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</si>
  <si>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</si>
  <si>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</si>
  <si>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</si>
  <si>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</si>
  <si>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</si>
  <si>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</si>
  <si>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</si>
  <si>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</si>
  <si>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</si>
  <si>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</si>
  <si>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</si>
  <si>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</si>
  <si>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</si>
  <si>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</si>
  <si>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</si>
  <si>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</si>
  <si>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</si>
  <si>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</si>
  <si>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</si>
  <si>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</si>
  <si>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</si>
  <si>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</si>
  <si>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</si>
  <si>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</si>
  <si>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</si>
  <si>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</si>
  <si>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</si>
  <si>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</si>
  <si>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</si>
  <si>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</si>
  <si>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</si>
  <si>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</si>
  <si>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</si>
  <si>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</si>
  <si>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</si>
  <si>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</si>
  <si>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</si>
  <si>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</si>
  <si>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</si>
  <si>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</si>
  <si>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</si>
  <si>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</si>
  <si>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</si>
  <si>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</si>
  <si>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</si>
  <si>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</si>
  <si>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</si>
  <si>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</si>
  <si>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</si>
  <si>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</si>
  <si>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</si>
  <si>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</si>
  <si>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</si>
  <si>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</si>
  <si>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</si>
  <si>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</si>
  <si>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</si>
  <si>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</si>
  <si>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</si>
  <si>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</si>
  <si>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</si>
  <si>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</si>
  <si>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</si>
  <si>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</si>
  <si>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</si>
  <si>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</si>
  <si>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</si>
  <si>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</si>
  <si>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</si>
  <si>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</si>
  <si>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</si>
  <si>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</si>
  <si>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</si>
  <si>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</si>
  <si>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</si>
  <si>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</si>
  <si>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</si>
  <si>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</si>
  <si>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</si>
  <si>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</si>
  <si>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</si>
  <si>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</si>
  <si>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</si>
  <si>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</si>
  <si>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</si>
  <si>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</si>
  <si>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</si>
  <si>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</si>
  <si>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</si>
  <si>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</si>
  <si>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</si>
  <si>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</si>
  <si>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</si>
  <si>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</si>
  <si>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</si>
  <si>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</si>
  <si>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</si>
  <si>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</si>
  <si>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</si>
  <si>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</si>
  <si>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</si>
  <si>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</si>
  <si>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</si>
  <si>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</si>
  <si>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</si>
  <si>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</si>
  <si>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</si>
  <si>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</si>
  <si>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</si>
  <si>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</si>
  <si>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</si>
  <si>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</si>
  <si>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</si>
  <si>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</si>
  <si>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</si>
  <si>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</si>
  <si>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</si>
  <si>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</si>
  <si>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</si>
  <si>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</si>
  <si>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</si>
  <si>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</si>
  <si>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</si>
  <si>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</si>
  <si>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</si>
  <si>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</si>
  <si>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</si>
  <si>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</si>
  <si>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</si>
  <si>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</si>
  <si>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</si>
  <si>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</si>
  <si>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</si>
  <si>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</si>
  <si>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</si>
  <si>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</si>
  <si>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</si>
  <si>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</si>
  <si>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</si>
  <si>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</si>
  <si>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</si>
  <si>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</si>
  <si>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</si>
  <si>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</si>
  <si>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</si>
  <si>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</si>
  <si>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</si>
  <si>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</si>
  <si>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</si>
  <si>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</si>
  <si>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</si>
  <si>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</si>
  <si>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</si>
  <si>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</si>
  <si>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</si>
  <si>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</si>
  <si>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</si>
  <si>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</si>
  <si>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</si>
  <si>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</si>
  <si>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</si>
  <si>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</si>
  <si>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</si>
  <si>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</si>
  <si>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</si>
  <si>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</si>
  <si>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</si>
  <si>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</si>
  <si>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</si>
  <si>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</si>
  <si>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</si>
  <si>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</si>
  <si>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</si>
  <si>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</si>
  <si>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</si>
  <si>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</si>
  <si>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</si>
  <si>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</si>
  <si>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</si>
  <si>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</si>
  <si>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</si>
  <si>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</si>
  <si>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</si>
  <si>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</si>
  <si>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</si>
  <si>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</si>
  <si>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</si>
  <si>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</si>
  <si>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</si>
  <si>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</si>
  <si>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</si>
  <si>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</si>
  <si>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</si>
  <si>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</si>
  <si>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</si>
  <si>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</si>
  <si>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</si>
  <si>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</si>
  <si>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</si>
  <si>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</si>
  <si>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</si>
  <si>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</si>
  <si>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</si>
  <si>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</si>
  <si>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</si>
  <si>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</si>
  <si>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</si>
  <si>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</si>
  <si>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</si>
  <si>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</si>
  <si>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</si>
  <si>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</si>
  <si>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</si>
  <si>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</si>
  <si>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</si>
  <si>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</si>
  <si>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</si>
  <si>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</si>
  <si>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</si>
  <si>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</si>
  <si>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</si>
  <si>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</si>
  <si>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</si>
  <si>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</si>
  <si>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</si>
  <si>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</si>
  <si>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</si>
  <si>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</si>
  <si>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</si>
  <si>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</si>
  <si>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</si>
  <si>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</si>
  <si>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</si>
  <si>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</si>
  <si>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</si>
  <si>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</si>
  <si>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</si>
  <si>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</si>
  <si>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</si>
  <si>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</si>
  <si>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</si>
  <si>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</si>
  <si>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</si>
  <si>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</si>
  <si>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</si>
  <si>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</si>
  <si>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</si>
  <si>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</si>
  <si>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</si>
  <si>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</si>
  <si>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</si>
  <si>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</si>
  <si>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</si>
  <si>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</si>
  <si>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</si>
  <si>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</si>
  <si>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</si>
  <si>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</si>
  <si>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</si>
  <si>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</si>
  <si>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</si>
  <si>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</si>
  <si>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</si>
  <si>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</si>
  <si>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</si>
  <si>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</si>
  <si>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</si>
  <si>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</si>
  <si>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</si>
  <si>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</si>
  <si>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</si>
  <si>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</si>
  <si>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</si>
  <si>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</si>
  <si>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</si>
  <si>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</si>
  <si>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</si>
  <si>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</si>
  <si>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</si>
  <si>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</si>
  <si>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</si>
  <si>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</si>
  <si>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</si>
  <si>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</si>
  <si>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</si>
  <si>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</si>
  <si>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</si>
  <si>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</si>
  <si>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</si>
  <si>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</si>
  <si>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</si>
  <si>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</si>
  <si>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</si>
  <si>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</si>
  <si>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</si>
  <si>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</si>
  <si>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</si>
  <si>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</si>
  <si>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</si>
  <si>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</si>
  <si>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</si>
  <si>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</si>
  <si>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</si>
  <si>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</si>
  <si>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</si>
  <si>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</si>
  <si>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</si>
  <si>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</si>
  <si>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</si>
  <si>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</si>
  <si>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</si>
  <si>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</si>
  <si>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</si>
  <si>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</si>
  <si>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</si>
  <si>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</si>
  <si>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</si>
  <si>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</si>
  <si>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</si>
  <si>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</si>
  <si>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</si>
  <si>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</si>
  <si>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</si>
  <si>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</si>
  <si>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</si>
  <si>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</si>
  <si>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</si>
  <si>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</si>
  <si>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</si>
  <si>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</si>
  <si>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</si>
  <si>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</si>
  <si>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</si>
  <si>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</si>
  <si>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</si>
  <si>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</si>
  <si>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</si>
  <si>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</si>
  <si>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</si>
  <si>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</si>
  <si>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</si>
  <si>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</si>
  <si>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</si>
  <si>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</si>
  <si>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</si>
  <si>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地上</t>
  </si>
  <si>
    <t>是</t>
  </si>
  <si>
    <t>商业</t>
    <phoneticPr fontId="7" type="noConversion"/>
  </si>
  <si>
    <t>通路</t>
  </si>
  <si>
    <t>通电</t>
  </si>
  <si>
    <t>通讯</t>
  </si>
  <si>
    <t>通上水</t>
  </si>
  <si>
    <t>通下水</t>
  </si>
  <si>
    <t>平整</t>
  </si>
  <si>
    <t>自定义容积率</t>
  </si>
  <si>
    <t>不临65条商业街</t>
  </si>
  <si>
    <t>抵押</t>
  </si>
  <si>
    <t>房地产抵押价值</t>
  </si>
  <si>
    <t>北京市</t>
  </si>
  <si>
    <t>自然人</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</si>
  <si>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</si>
  <si>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</si>
  <si>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</si>
  <si>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</si>
  <si>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</si>
  <si>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</si>
  <si>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</si>
  <si>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好</t>
  </si>
  <si>
    <t>较好</t>
  </si>
  <si>
    <t>一般</t>
  </si>
  <si>
    <t>楼层修正</t>
  </si>
  <si>
    <t>与级别开发程度不一致</t>
  </si>
  <si>
    <t>成新度</t>
  </si>
  <si>
    <t>收益法 (元)</t>
  </si>
  <si>
    <t>利息：取LPR加浮动点数</t>
  </si>
  <si>
    <t>押一</t>
  </si>
  <si>
    <t>钢混</t>
  </si>
  <si>
    <t>非生产用房</t>
  </si>
  <si>
    <t>否</t>
  </si>
  <si>
    <t>现房</t>
  </si>
  <si>
    <t>项目全部</t>
  </si>
  <si>
    <t>成本法 (元)</t>
  </si>
  <si>
    <t>总价</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</si>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</sst>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168" fillId="0" borderId="10" xfId="0" applyNumberFormat="1" applyFont="1" applyBorder="1" applyAlignment="1" applyProtection="1">
      <alignment horizontal="left" vertical="center" wrapText="1"/>
      <protection locked="0"/>
    </xf>
    <xf numFmtId="49" fontId="168" fillId="0" borderId="24" xfId="0" applyNumberFormat="1" applyFont="1" applyBorder="1" applyAlignment="1" applyProtection="1">
      <alignment horizontal="left" vertical="center" wrapText="1"/>
      <protection locked="0"/>
    </xf>
    <xf numFmtId="0" fontId="168" fillId="0" borderId="24" xfId="0" applyFont="1" applyBorder="1" applyAlignment="1" applyProtection="1">
      <alignment horizontal="left" vertical="center" wrapText="1"/>
      <protection locked="0"/>
    </xf>
    <xf numFmtId="0" fontId="168" fillId="0" borderId="49" xfId="0" applyFont="1" applyBorder="1" applyAlignment="1" applyProtection="1">
      <alignment horizontal="left" vertical="center"/>
      <protection locked="0"/>
    </xf>
    <xf numFmtId="0" fontId="53" fillId="5" borderId="9" xfId="0" applyNumberFormat="1" applyFont="1" applyFill="1" applyBorder="1" applyAlignment="1" applyProtection="1">
      <alignment horizontal="left" vertical="center" wrapText="1"/>
      <protection locked="0"/>
    </xf>
    <xf numFmtId="0" fontId="53" fillId="5" borderId="28" xfId="0" applyNumberFormat="1" applyFont="1" applyFill="1" applyBorder="1" applyAlignment="1" applyProtection="1">
      <alignment horizontal="left" vertical="center" wrapText="1"/>
      <protection locked="0"/>
    </xf>
    <xf numFmtId="10" fontId="47" fillId="0" borderId="24" xfId="1" applyNumberFormat="1" applyFont="1" applyBorder="1" applyAlignment="1" applyProtection="1">
      <alignment horizontal="left" vertical="center"/>
      <protection locked="0"/>
    </xf>
    <xf numFmtId="10" fontId="47" fillId="12" borderId="0" xfId="17"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估价对象为北京市房地产，为所有。根据《国有土地使用证》[]，估价对象（分摊）出让国有建设用地使用权面积为0平方米，建筑面积为165.59平方米。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估价对象为北京市房地产,为开发建设的，该项目尚在开发建设中。根据《国有土地使用证》[]，估价对象（分摊）出让国有建设用地使用权面积为0平方米，规划建筑面积为165.59平方米。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2023年4月18日（评估专业人员实地查勘之日）</v>
      </c>
    </row>
    <row r="13" spans="1:2" s="1203" customFormat="1">
      <c r="A13" s="1201" t="s">
        <v>529</v>
      </c>
      <c r="B13" s="1202" t="str">
        <f>'预评函-1'!A18</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640</v>
      </c>
    </row>
    <row r="21" spans="1:2" s="1203" customFormat="1">
      <c r="A21" s="1201" t="s">
        <v>537</v>
      </c>
      <c r="B21" s="1202">
        <f ca="1">'预评函-2'!D7</f>
        <v>38650</v>
      </c>
    </row>
    <row r="22" spans="1:2" s="1203" customFormat="1">
      <c r="A22" s="1201" t="s">
        <v>538</v>
      </c>
      <c r="B22" s="1202" t="str">
        <f ca="1">'预评函-2'!D6</f>
        <v>陆佰肆拾万元整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640</v>
      </c>
    </row>
    <row r="31" spans="1:2" s="1203" customFormat="1">
      <c r="A31" s="1201" t="s">
        <v>576</v>
      </c>
      <c r="B31" s="1202">
        <f ca="1">'预评函-2'!D15</f>
        <v>38650</v>
      </c>
    </row>
    <row r="32" spans="1:2" s="1203" customFormat="1">
      <c r="A32" s="1201" t="s">
        <v>543</v>
      </c>
      <c r="B32" s="1202" t="str">
        <f ca="1">'预评函-2'!D14</f>
        <v>陆佰肆拾万元整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165.59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28</v>
      </c>
    </row>
    <row r="48" spans="1:2" s="1203" customFormat="1">
      <c r="A48" s="1201" t="s">
        <v>549</v>
      </c>
      <c r="B48" s="1202">
        <f ca="1">'预评函-3'!E4</f>
        <v>1691</v>
      </c>
    </row>
    <row r="49" spans="1:2" s="1203" customFormat="1">
      <c r="A49" s="1201" t="s">
        <v>550</v>
      </c>
      <c r="B49" s="1202" t="str">
        <f ca="1">'预评函-3'!D5</f>
        <v>贰拾捌万元整</v>
      </c>
    </row>
    <row r="50" spans="1:2" s="1203" customFormat="1">
      <c r="A50" s="1201" t="s">
        <v>574</v>
      </c>
      <c r="B50" s="1202" t="str">
        <f>'预评函-3'!F2</f>
        <v>在建建筑物价值</v>
      </c>
    </row>
    <row r="51" spans="1:2" s="1203" customFormat="1">
      <c r="A51" s="1201" t="s">
        <v>551</v>
      </c>
      <c r="B51" s="1202">
        <f ca="1">'预评函-3'!F4</f>
        <v>612</v>
      </c>
    </row>
    <row r="52" spans="1:2" s="1203" customFormat="1">
      <c r="A52" s="1201" t="s">
        <v>552</v>
      </c>
      <c r="B52" s="1202">
        <f ca="1">'预评函-3'!G4</f>
        <v>36959</v>
      </c>
    </row>
    <row r="53" spans="1:2" s="1203" customFormat="1">
      <c r="A53" s="1201" t="s">
        <v>580</v>
      </c>
      <c r="B53" s="1202" t="str">
        <f ca="1">'预评函-3'!F5</f>
        <v>陆佰壹拾贰万元整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2" t="s">
        <v>2592</v>
      </c>
      <c r="J1" s="3223"/>
      <c r="K1" s="3223"/>
      <c r="L1" s="3223"/>
      <c r="M1" s="3223"/>
      <c r="N1" s="3433"/>
      <c r="O1" s="3433"/>
      <c r="P1" s="3433"/>
      <c r="Q1" s="3433"/>
      <c r="R1" s="3433"/>
    </row>
    <row r="2" spans="1:18">
      <c r="A2" s="3014"/>
      <c r="B2" s="3015"/>
      <c r="C2" s="3015"/>
      <c r="D2" s="3015"/>
      <c r="E2" s="3015"/>
      <c r="F2" s="3016"/>
      <c r="I2" s="3494" t="s">
        <v>2579</v>
      </c>
      <c r="J2" s="3494"/>
      <c r="K2" s="3494"/>
      <c r="L2" s="3494"/>
      <c r="M2" s="3494"/>
      <c r="N2" s="3494"/>
      <c r="O2" s="3494"/>
      <c r="P2" s="3494"/>
      <c r="Q2" s="3494"/>
      <c r="R2" s="3494"/>
    </row>
    <row r="3" spans="1:18">
      <c r="A3" s="3017" t="s">
        <v>2500</v>
      </c>
      <c r="B3" s="3018">
        <f>项目基本情况!D3</f>
        <v>45034</v>
      </c>
      <c r="C3" s="3020"/>
      <c r="D3" s="3020"/>
      <c r="E3" s="3020"/>
      <c r="F3" s="3016"/>
      <c r="I3" s="3434"/>
      <c r="J3" s="3434" t="s">
        <v>2583</v>
      </c>
      <c r="K3" s="3434" t="s">
        <v>2584</v>
      </c>
      <c r="L3" s="3434" t="s">
        <v>2585</v>
      </c>
      <c r="M3" s="3434" t="s">
        <v>2586</v>
      </c>
      <c r="N3" s="3435" t="s">
        <v>2587</v>
      </c>
      <c r="O3" s="3435" t="s">
        <v>2588</v>
      </c>
      <c r="P3" s="3435" t="s">
        <v>2589</v>
      </c>
      <c r="Q3" s="3435" t="s">
        <v>2590</v>
      </c>
      <c r="R3" s="3435" t="s">
        <v>2591</v>
      </c>
    </row>
    <row r="4" spans="1:18">
      <c r="A4" s="3017" t="s">
        <v>2501</v>
      </c>
      <c r="B4" s="3020" t="s">
        <v>2502</v>
      </c>
      <c r="C4" s="3020" t="s">
        <v>2503</v>
      </c>
      <c r="D4" s="3020" t="s">
        <v>2504</v>
      </c>
      <c r="E4" s="3020" t="s">
        <v>2505</v>
      </c>
      <c r="F4" s="3016"/>
      <c r="I4" s="3434" t="s">
        <v>2580</v>
      </c>
      <c r="J4" s="3434">
        <v>80</v>
      </c>
      <c r="K4" s="3434">
        <v>70</v>
      </c>
      <c r="L4" s="3434">
        <v>20</v>
      </c>
      <c r="M4" s="3434">
        <v>30</v>
      </c>
      <c r="N4" s="3020">
        <v>45</v>
      </c>
      <c r="O4" s="3020">
        <v>60</v>
      </c>
      <c r="P4" s="3020">
        <v>50</v>
      </c>
      <c r="Q4" s="3020">
        <v>20</v>
      </c>
      <c r="R4" s="3020">
        <v>375</v>
      </c>
    </row>
    <row r="5" spans="1:18">
      <c r="A5" s="3021">
        <v>40</v>
      </c>
      <c r="B5" s="3018">
        <v>46375</v>
      </c>
      <c r="C5" s="3020">
        <f>ROUNDDOWN(MIN((B5-B3)/365,A5),2)</f>
        <v>3.67</v>
      </c>
      <c r="D5" s="3022">
        <f>IF(ISERROR(ROUND(POWER(1+E5,A5-C5)*(POWER(1+E5,C5)-1)/(POWER(1+E5,A5)-1),3)),0,ROUND(POWER(1+E5,A5-C5)*(POWER(1+E5,C5)-1)/(POWER(1+E5,A5)-1),4))</f>
        <v>0.16930000000000001</v>
      </c>
      <c r="E5" s="3023">
        <v>0.04</v>
      </c>
      <c r="F5" s="3016"/>
      <c r="I5" s="3434" t="s">
        <v>2581</v>
      </c>
      <c r="J5" s="3434">
        <v>70</v>
      </c>
      <c r="K5" s="3434">
        <v>60</v>
      </c>
      <c r="L5" s="3434">
        <v>15</v>
      </c>
      <c r="M5" s="3434">
        <v>25</v>
      </c>
      <c r="N5" s="3020">
        <v>40</v>
      </c>
      <c r="O5" s="3020">
        <v>50</v>
      </c>
      <c r="P5" s="3020">
        <v>40</v>
      </c>
      <c r="Q5" s="3020">
        <v>15</v>
      </c>
      <c r="R5" s="3020">
        <v>315</v>
      </c>
    </row>
    <row r="6" spans="1:18">
      <c r="A6" s="3021">
        <v>50</v>
      </c>
      <c r="B6" s="3018">
        <v>50028</v>
      </c>
      <c r="C6" s="3020">
        <f>ROUNDDOWN(MIN((B6-B3)/365,A6),2)</f>
        <v>13.68</v>
      </c>
      <c r="D6" s="3022">
        <f>IF(ISERROR(ROUND(POWER(1+E6,A6-C6)*(POWER(1+E6,C6)-1)/(POWER(1+E6,A6)-1),3)),0,ROUND(POWER(1+E6,A6-C6)*(POWER(1+E6,C6)-1)/(POWER(1+E6,A6)-1),4))</f>
        <v>0.48320000000000002</v>
      </c>
      <c r="E6" s="3023">
        <v>0.04</v>
      </c>
      <c r="F6" s="3016"/>
      <c r="I6" s="3434" t="s">
        <v>2582</v>
      </c>
      <c r="J6" s="3434">
        <v>60</v>
      </c>
      <c r="K6" s="3434">
        <v>50</v>
      </c>
      <c r="L6" s="3434">
        <v>10</v>
      </c>
      <c r="M6" s="3434">
        <v>20</v>
      </c>
      <c r="N6" s="3020">
        <v>35</v>
      </c>
      <c r="O6" s="3020">
        <v>40</v>
      </c>
      <c r="P6" s="3020">
        <v>30</v>
      </c>
      <c r="Q6" s="3020">
        <v>10</v>
      </c>
      <c r="R6" s="3020">
        <v>255</v>
      </c>
    </row>
    <row r="7" spans="1:18">
      <c r="A7" s="3021">
        <v>70</v>
      </c>
      <c r="B7" s="3018">
        <v>57333</v>
      </c>
      <c r="C7" s="3020">
        <f>ROUNDDOWN(MIN((B7-B3)/365,A7),2)</f>
        <v>33.69</v>
      </c>
      <c r="D7" s="3022">
        <f>IF(ISERROR(ROUND(POWER(1+E7,A7-C7)*(POWER(1+E7,C7)-1)/(POWER(1+E7,A7)-1),3)),0,ROUND(POWER(1+E7,A7-C7)*(POWER(1+E7,C7)-1)/(POWER(1+E7,A7)-1),4))</f>
        <v>0.78349999999999997</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6" sqref="F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45034</v>
      </c>
      <c r="C3" s="2374" t="s">
        <v>2171</v>
      </c>
      <c r="D3" s="2373">
        <v>45034</v>
      </c>
      <c r="E3" s="2660"/>
      <c r="F3" s="2660"/>
      <c r="G3" s="2660"/>
      <c r="H3" s="2660"/>
      <c r="I3" s="2660"/>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3374</v>
      </c>
      <c r="C4" s="2376">
        <f ca="1">SUMIF(注册房地产估价师,B4,估价师及机构信息!B3:B24)</f>
        <v>1120070131</v>
      </c>
      <c r="D4" s="2375" t="s">
        <v>3375</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9"/>
      <c r="K6" s="2612" t="str">
        <f>IF(COUNTIF(B6,"*上海银行*"),"上海银行","")</f>
        <v/>
      </c>
      <c r="L6" s="2610"/>
      <c r="M6" s="2610"/>
      <c r="N6" s="2439"/>
      <c r="O6" s="2450"/>
      <c r="P6" s="2439"/>
      <c r="Q6" s="2439"/>
      <c r="R6" s="2439"/>
    </row>
    <row r="7" spans="1:30">
      <c r="A7" s="2383" t="s">
        <v>2175</v>
      </c>
      <c r="B7" s="2387"/>
      <c r="C7" s="2385"/>
      <c r="D7" s="2386"/>
      <c r="E7" s="2659"/>
      <c r="F7" s="2661"/>
      <c r="G7" s="2661"/>
      <c r="H7" s="2661"/>
      <c r="I7" s="2661"/>
      <c r="J7" s="2439"/>
      <c r="K7" s="2613"/>
      <c r="L7" s="2610"/>
      <c r="M7" s="2610"/>
      <c r="N7" s="2439"/>
      <c r="O7" s="2450"/>
      <c r="P7" s="2439"/>
      <c r="Q7" s="2439"/>
      <c r="R7" s="2439"/>
    </row>
    <row r="8" spans="1:30">
      <c r="A8" s="2388" t="s">
        <v>2176</v>
      </c>
      <c r="B8" s="2389" t="s">
        <v>3387</v>
      </c>
      <c r="C8" s="2390"/>
      <c r="D8" s="3498" t="s">
        <v>2177</v>
      </c>
      <c r="E8" s="2391"/>
      <c r="F8" s="2392"/>
      <c r="G8" s="2660"/>
      <c r="H8" s="2660"/>
      <c r="I8" s="2660"/>
      <c r="J8" s="2439"/>
      <c r="K8" s="2611"/>
      <c r="L8" s="2610"/>
      <c r="M8" s="2610"/>
      <c r="N8" s="2439"/>
      <c r="O8" s="2450"/>
      <c r="P8" s="2439"/>
      <c r="Q8" s="2439"/>
      <c r="R8" s="2439"/>
    </row>
    <row r="9" spans="1:30" ht="13.5" thickBot="1">
      <c r="A9" s="2393" t="s">
        <v>2178</v>
      </c>
      <c r="B9" s="2394" t="s">
        <v>3388</v>
      </c>
      <c r="C9" s="2395"/>
      <c r="D9" s="3499"/>
      <c r="E9" s="2394"/>
      <c r="F9" s="2396"/>
      <c r="G9" s="2662"/>
      <c r="H9" s="2662"/>
      <c r="I9" s="2662"/>
      <c r="J9" s="2439"/>
      <c r="K9" s="2613"/>
      <c r="L9" s="2610"/>
      <c r="M9" s="2610"/>
      <c r="N9" s="2439"/>
      <c r="O9" s="2450"/>
      <c r="P9" s="2439"/>
      <c r="Q9" s="2439"/>
      <c r="R9" s="2439"/>
    </row>
    <row r="10" spans="1:30" ht="13.5" thickTop="1">
      <c r="A10" s="2397" t="s">
        <v>2179</v>
      </c>
      <c r="B10" s="2398" t="s">
        <v>3389</v>
      </c>
      <c r="C10" s="2399"/>
      <c r="D10" s="2382"/>
      <c r="E10" s="2400" t="s">
        <v>2180</v>
      </c>
      <c r="F10" s="2663"/>
      <c r="G10" s="2664"/>
      <c r="H10" s="2665"/>
      <c r="I10" s="2666"/>
      <c r="J10" s="2439"/>
      <c r="K10" s="2613"/>
      <c r="L10" s="2610"/>
      <c r="M10" s="2610"/>
      <c r="N10" s="2439"/>
      <c r="O10" s="2450"/>
      <c r="P10" s="2439"/>
      <c r="Q10" s="2439"/>
      <c r="R10" s="2439"/>
    </row>
    <row r="11" spans="1:30">
      <c r="A11" s="2401" t="s">
        <v>2181</v>
      </c>
      <c r="B11" s="2402" t="s">
        <v>3390</v>
      </c>
      <c r="C11" s="2403"/>
      <c r="D11" s="2404"/>
      <c r="E11" s="2370"/>
      <c r="F11" s="2370"/>
      <c r="G11" s="2370"/>
      <c r="H11" s="2370"/>
      <c r="I11" s="2370"/>
      <c r="J11" s="3058"/>
      <c r="K11" s="3057"/>
      <c r="L11" s="2610"/>
      <c r="M11" s="2610"/>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6" t="s">
        <v>2575</v>
      </c>
      <c r="J12" s="3059"/>
      <c r="K12" s="2610"/>
      <c r="L12" s="2610"/>
      <c r="M12" s="2439"/>
      <c r="N12" s="2450"/>
      <c r="O12" s="2439"/>
      <c r="P12" s="2439"/>
      <c r="Q12" s="2439"/>
      <c r="AD12" s="1745"/>
    </row>
    <row r="13" spans="1:30">
      <c r="A13" s="3418" t="s">
        <v>3335</v>
      </c>
      <c r="B13" s="2407" t="s">
        <v>2190</v>
      </c>
      <c r="C13" s="856"/>
      <c r="D13" s="856">
        <v>52702</v>
      </c>
      <c r="E13" s="856"/>
      <c r="F13" s="856"/>
      <c r="G13" s="856"/>
      <c r="H13" s="856"/>
      <c r="I13" s="856"/>
      <c r="J13" s="3059"/>
      <c r="K13" s="2610"/>
      <c r="L13" s="2610"/>
      <c r="M13" s="2439"/>
      <c r="N13" s="2450"/>
      <c r="O13" s="2439"/>
      <c r="P13" s="2439"/>
      <c r="Q13" s="2439"/>
      <c r="AD13" s="1745"/>
    </row>
    <row r="14" spans="1:30">
      <c r="A14" s="1081"/>
      <c r="B14" s="2407" t="s">
        <v>2191</v>
      </c>
      <c r="C14" s="2408"/>
      <c r="D14" s="2408">
        <v>40</v>
      </c>
      <c r="E14" s="2408"/>
      <c r="F14" s="2408"/>
      <c r="G14" s="2408"/>
      <c r="H14" s="2408"/>
      <c r="I14" s="2408"/>
      <c r="J14" s="3060"/>
      <c r="K14" s="2610"/>
      <c r="L14" s="2610"/>
      <c r="M14" s="2439"/>
      <c r="N14" s="2450"/>
      <c r="O14" s="2439"/>
      <c r="P14" s="2439"/>
      <c r="Q14" s="2439"/>
      <c r="AD14" s="1745"/>
    </row>
    <row r="15" spans="1:30">
      <c r="A15" s="320"/>
      <c r="B15" s="2409" t="s">
        <v>2192</v>
      </c>
      <c r="C15" s="2410" t="str">
        <f>IF(A13="出让",IF(C13="","",ROUNDDOWN(MIN((C13-$D$3)/365,C14),2)),C14)</f>
        <v/>
      </c>
      <c r="D15" s="2410">
        <f>IF(A13="出让",IF(D13="","",ROUNDDOWN(MIN((D13-$D$3)/365,D14),2)),D14)</f>
        <v>21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1"/>
      <c r="K15" s="2451"/>
      <c r="L15" s="2451"/>
      <c r="M15" s="2506"/>
      <c r="N15" s="2451"/>
      <c r="O15" s="2506"/>
      <c r="P15" s="2439"/>
      <c r="Q15" s="2439"/>
      <c r="AD15" s="1745"/>
    </row>
    <row r="16" spans="1:30">
      <c r="A16" s="2400" t="s">
        <v>2193</v>
      </c>
      <c r="B16" s="3505"/>
      <c r="C16" s="3506"/>
      <c r="D16" s="3507"/>
      <c r="E16" s="2413" t="s">
        <v>2194</v>
      </c>
      <c r="F16" s="3508"/>
      <c r="G16" s="3509"/>
      <c r="H16" s="3509"/>
      <c r="I16" s="3510"/>
      <c r="J16" s="2439"/>
      <c r="K16" s="2614"/>
      <c r="L16" s="2451"/>
      <c r="M16" s="2451"/>
      <c r="N16" s="2506"/>
      <c r="O16" s="2451"/>
      <c r="P16" s="2506"/>
      <c r="Q16" s="2439"/>
      <c r="R16" s="2439"/>
    </row>
    <row r="17" spans="1:28">
      <c r="A17" s="313" t="s">
        <v>2195</v>
      </c>
      <c r="B17" s="302" t="s">
        <v>2196</v>
      </c>
      <c r="C17" s="8">
        <f>'数据-汇总表'!E3</f>
        <v>165.59</v>
      </c>
      <c r="D17" s="2322" t="s">
        <v>2197</v>
      </c>
      <c r="E17" s="3511" t="s">
        <v>2198</v>
      </c>
      <c r="F17" s="3512"/>
      <c r="G17" s="3512"/>
      <c r="H17" s="3512"/>
      <c r="I17" s="3513"/>
      <c r="J17" s="2439"/>
      <c r="K17" s="2615"/>
      <c r="L17" s="2451"/>
      <c r="M17" s="2451"/>
      <c r="N17" s="2506"/>
      <c r="O17" s="2451"/>
      <c r="P17" s="2506"/>
      <c r="Q17" s="2439"/>
      <c r="R17" s="2439"/>
      <c r="S17" s="2439"/>
      <c r="T17" s="2439"/>
      <c r="U17" s="2439"/>
      <c r="V17" s="2439"/>
    </row>
    <row r="18" spans="1:28" ht="24.75" thickBot="1">
      <c r="A18" s="2414" t="s">
        <v>2199</v>
      </c>
      <c r="B18" s="1090" t="s">
        <v>2200</v>
      </c>
      <c r="C18" s="2415">
        <f>'数据-汇总表'!D3</f>
        <v>0</v>
      </c>
      <c r="D18" s="1092" t="s">
        <v>2201</v>
      </c>
      <c r="E18" s="3514" t="s">
        <v>2202</v>
      </c>
      <c r="F18" s="3515"/>
      <c r="G18" s="3515"/>
      <c r="H18" s="3515"/>
      <c r="I18" s="3516"/>
      <c r="J18" s="2439"/>
      <c r="K18" s="2615"/>
      <c r="L18" s="2451"/>
      <c r="M18" s="2451"/>
      <c r="N18" s="2506"/>
      <c r="O18" s="2451"/>
      <c r="P18" s="2506"/>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1"/>
      <c r="I19" s="2661"/>
      <c r="J19" s="2439"/>
      <c r="K19" s="2613"/>
      <c r="L19" s="2610"/>
      <c r="M19" s="2610"/>
      <c r="N19" s="2506"/>
      <c r="O19" s="2451"/>
      <c r="P19" s="2506"/>
      <c r="Q19" s="2439"/>
      <c r="R19" s="2439"/>
      <c r="S19" s="2439"/>
      <c r="T19" s="2439"/>
      <c r="U19" s="2439"/>
      <c r="V19" s="2439"/>
    </row>
    <row r="20" spans="1:28">
      <c r="A20" s="2629" t="s">
        <v>2205</v>
      </c>
      <c r="B20" s="3501" t="s">
        <v>2206</v>
      </c>
      <c r="C20" s="3502"/>
      <c r="D20" s="3503" t="s">
        <v>2207</v>
      </c>
      <c r="E20" s="3504"/>
      <c r="F20" s="2644" t="s">
        <v>1056</v>
      </c>
      <c r="G20" s="2661"/>
      <c r="H20" s="2661"/>
      <c r="I20" s="2661"/>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9"/>
      <c r="K23" s="2616"/>
      <c r="L23" s="2473"/>
      <c r="M23" s="2610"/>
      <c r="N23" s="2506"/>
      <c r="O23" s="2451"/>
      <c r="P23" s="2506"/>
      <c r="Q23" s="2439"/>
      <c r="R23" s="2439"/>
      <c r="S23" s="2439"/>
      <c r="T23" s="2439"/>
      <c r="U23" s="2439"/>
      <c r="V23" s="2439"/>
    </row>
    <row r="24" spans="1:28">
      <c r="A24" s="2634"/>
      <c r="B24" s="2499" t="s">
        <v>1059</v>
      </c>
      <c r="C24" s="2638"/>
      <c r="D24" s="2634" t="s">
        <v>1059</v>
      </c>
      <c r="E24" s="2639"/>
      <c r="F24" s="2660"/>
      <c r="G24" s="2661"/>
      <c r="H24" s="2661"/>
      <c r="I24" s="2661"/>
      <c r="J24" s="2439"/>
      <c r="K24" s="2616"/>
      <c r="L24" s="2473"/>
      <c r="M24" s="2610"/>
      <c r="N24" s="2506"/>
      <c r="O24" s="2451"/>
      <c r="P24" s="2506"/>
      <c r="Q24" s="2439"/>
      <c r="R24" s="2439"/>
      <c r="S24" s="2439"/>
      <c r="T24" s="2439"/>
      <c r="U24" s="2439"/>
      <c r="V24" s="2439"/>
    </row>
    <row r="25" spans="1:28">
      <c r="A25" s="2634"/>
      <c r="B25" s="2499" t="s">
        <v>1060</v>
      </c>
      <c r="C25" s="2638"/>
      <c r="D25" s="2634" t="s">
        <v>1060</v>
      </c>
      <c r="E25" s="2639"/>
      <c r="F25" s="2660"/>
      <c r="G25" s="2661"/>
      <c r="H25" s="2661"/>
      <c r="I25" s="2661"/>
      <c r="J25" s="2439"/>
      <c r="K25" s="2613"/>
      <c r="L25" s="2610"/>
      <c r="M25" s="2610"/>
      <c r="N25" s="2506"/>
      <c r="O25" s="2451"/>
      <c r="P25" s="2506"/>
      <c r="Q25" s="2439"/>
      <c r="R25" s="2439"/>
      <c r="S25" s="2439"/>
      <c r="T25" s="2439"/>
      <c r="U25" s="2439"/>
      <c r="V25" s="2439"/>
    </row>
    <row r="26" spans="1:28" ht="13.5" thickBot="1">
      <c r="A26" s="2640"/>
      <c r="B26" s="2641" t="s">
        <v>1061</v>
      </c>
      <c r="C26" s="2642"/>
      <c r="D26" s="2640" t="s">
        <v>1061</v>
      </c>
      <c r="E26" s="2643"/>
      <c r="F26" s="2662"/>
      <c r="G26" s="2662"/>
      <c r="H26" s="2662"/>
      <c r="I26" s="2662"/>
      <c r="J26" s="2439"/>
      <c r="K26" s="2613"/>
      <c r="L26" s="2610"/>
      <c r="M26" s="2610"/>
      <c r="N26" s="2506"/>
      <c r="O26" s="2451"/>
      <c r="P26" s="2506"/>
      <c r="Q26" s="2439"/>
      <c r="R26" s="2439"/>
      <c r="S26" s="2439"/>
      <c r="T26" s="2439"/>
      <c r="U26" s="2439"/>
      <c r="V26" s="2439"/>
    </row>
    <row r="27" spans="1:28" ht="13.5" thickTop="1">
      <c r="A27" s="3518" t="s">
        <v>2214</v>
      </c>
      <c r="B27" s="320" t="s">
        <v>2215</v>
      </c>
      <c r="C27" s="2416"/>
      <c r="D27" s="2417"/>
      <c r="E27" s="2661"/>
      <c r="F27" s="2661"/>
      <c r="G27" s="2661"/>
      <c r="H27" s="2661"/>
      <c r="I27" s="2661"/>
      <c r="J27" s="2439"/>
      <c r="K27" s="2614"/>
      <c r="L27" s="2451"/>
      <c r="M27" s="2451"/>
      <c r="N27" s="2506"/>
      <c r="O27" s="2451"/>
      <c r="P27" s="2506"/>
      <c r="Q27" s="2439"/>
      <c r="R27" s="2439"/>
      <c r="S27" s="2439"/>
      <c r="T27" s="2439"/>
      <c r="U27" s="2439"/>
      <c r="V27" s="2439"/>
    </row>
    <row r="28" spans="1:28">
      <c r="A28" s="3518"/>
      <c r="B28" s="302" t="s">
        <v>2216</v>
      </c>
      <c r="C28" s="2418"/>
      <c r="D28" s="2419"/>
      <c r="E28" s="2661"/>
      <c r="F28" s="2661"/>
      <c r="G28" s="2661"/>
      <c r="H28" s="2661"/>
      <c r="I28" s="2661"/>
      <c r="J28" s="2439"/>
      <c r="K28" s="2613"/>
      <c r="L28" s="2610"/>
      <c r="M28" s="2610"/>
      <c r="N28" s="2439"/>
      <c r="O28" s="2450"/>
      <c r="P28" s="2439"/>
      <c r="Q28" s="2439"/>
      <c r="R28" s="2439"/>
      <c r="S28" s="2439"/>
      <c r="T28" s="2439"/>
      <c r="U28" s="2439"/>
      <c r="V28" s="2439"/>
    </row>
    <row r="29" spans="1:28">
      <c r="A29" s="3518"/>
      <c r="B29" s="302" t="s">
        <v>2217</v>
      </c>
      <c r="C29" s="2420"/>
      <c r="D29" s="2421"/>
      <c r="E29" s="2661"/>
      <c r="F29" s="2661"/>
      <c r="G29" s="2661"/>
      <c r="H29" s="2661"/>
      <c r="I29" s="2661"/>
      <c r="J29" s="2439"/>
      <c r="K29" s="2613"/>
      <c r="L29" s="2610"/>
      <c r="M29" s="2610"/>
      <c r="N29" s="2439"/>
      <c r="O29" s="2450"/>
      <c r="P29" s="2439"/>
      <c r="Q29" s="2439"/>
      <c r="R29" s="2439"/>
      <c r="S29" s="2439"/>
      <c r="T29" s="2439"/>
      <c r="U29" s="2439"/>
      <c r="V29" s="2439"/>
    </row>
    <row r="30" spans="1:28">
      <c r="A30" s="3519"/>
      <c r="B30" s="302" t="s">
        <v>2218</v>
      </c>
      <c r="C30" s="3520"/>
      <c r="D30" s="3521"/>
      <c r="E30" s="2661"/>
      <c r="F30" s="2661"/>
      <c r="G30" s="2661"/>
      <c r="H30" s="2661"/>
      <c r="I30" s="2661"/>
      <c r="J30" s="2439"/>
      <c r="K30" s="2613"/>
      <c r="L30" s="2610"/>
      <c r="M30" s="2610"/>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1"/>
      <c r="G31" s="2661"/>
      <c r="H31" s="2661"/>
      <c r="I31" s="2661"/>
      <c r="J31" s="2439"/>
      <c r="K31" s="2612"/>
      <c r="L31" s="2610"/>
      <c r="M31" s="2610"/>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1"/>
      <c r="G32" s="2661"/>
      <c r="H32" s="2661"/>
      <c r="I32" s="2661"/>
      <c r="J32" s="2439"/>
      <c r="K32" s="2613"/>
      <c r="L32" s="2610"/>
      <c r="M32" s="2610"/>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1"/>
      <c r="G33" s="2661"/>
      <c r="H33" s="2661"/>
      <c r="I33" s="2661"/>
      <c r="J33" s="2439"/>
      <c r="K33" s="2613"/>
      <c r="L33" s="2610"/>
      <c r="M33" s="2610"/>
      <c r="N33" s="2439"/>
      <c r="O33" s="2450"/>
      <c r="P33" s="2439"/>
      <c r="Q33" s="2439"/>
      <c r="R33" s="2439"/>
      <c r="S33" s="2439"/>
      <c r="T33" s="2439"/>
      <c r="U33" s="2439"/>
      <c r="V33" s="2439"/>
    </row>
    <row r="34" spans="1:30">
      <c r="A34" s="302" t="s">
        <v>2220</v>
      </c>
      <c r="B34" s="2026" t="s">
        <v>3379</v>
      </c>
      <c r="C34" s="2026" t="s">
        <v>3380</v>
      </c>
      <c r="D34" s="2026" t="s">
        <v>3381</v>
      </c>
      <c r="E34" s="2026" t="s">
        <v>3382</v>
      </c>
      <c r="F34" s="2026" t="s">
        <v>3383</v>
      </c>
      <c r="G34" s="2026" t="s">
        <v>3384</v>
      </c>
      <c r="H34" s="2026"/>
      <c r="I34" s="2661"/>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1"/>
      <c r="H35" s="2661"/>
      <c r="I35" s="2661"/>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9"/>
      <c r="V35" s="2439"/>
    </row>
    <row r="36" spans="1:30">
      <c r="A36" s="2430"/>
      <c r="B36" s="664" t="s">
        <v>2185</v>
      </c>
      <c r="C36" s="664" t="s">
        <v>2186</v>
      </c>
      <c r="D36" s="664" t="s">
        <v>2184</v>
      </c>
      <c r="E36" s="664" t="s">
        <v>2189</v>
      </c>
      <c r="F36" s="3062" t="s">
        <v>2578</v>
      </c>
      <c r="G36" s="2661"/>
      <c r="H36" s="2661"/>
      <c r="I36" s="2661"/>
      <c r="J36" s="2439"/>
      <c r="K36" s="2613"/>
      <c r="L36" s="2610"/>
      <c r="M36" s="2610"/>
      <c r="N36" s="2439"/>
      <c r="O36" s="2450"/>
      <c r="P36" s="2439"/>
      <c r="Q36" s="2439"/>
      <c r="R36" s="2439"/>
      <c r="S36" s="2439"/>
      <c r="T36" s="2439"/>
      <c r="U36" s="2439"/>
      <c r="V36" s="2439"/>
    </row>
    <row r="37" spans="1:30">
      <c r="A37" s="2627" t="s">
        <v>2230</v>
      </c>
      <c r="B37" s="2431" t="s">
        <v>184</v>
      </c>
      <c r="C37" s="2431"/>
      <c r="D37" s="2431"/>
      <c r="E37" s="2431"/>
      <c r="F37" s="2431"/>
      <c r="G37" s="2661"/>
      <c r="H37" s="2661"/>
      <c r="I37" s="2661"/>
      <c r="J37" s="2439"/>
      <c r="K37" s="2613"/>
      <c r="L37" s="2610"/>
      <c r="M37" s="2610"/>
      <c r="N37" s="2439"/>
      <c r="O37" s="2450"/>
      <c r="P37" s="2439"/>
      <c r="Q37" s="2439"/>
      <c r="R37" s="2439"/>
      <c r="S37" s="2439"/>
      <c r="T37" s="2439"/>
      <c r="U37" s="2439"/>
      <c r="V37" s="2439"/>
    </row>
    <row r="38" spans="1:30" ht="13.5" thickBot="1">
      <c r="A38" s="2628" t="s">
        <v>2231</v>
      </c>
      <c r="B38" s="2432" t="s">
        <v>128</v>
      </c>
      <c r="C38" s="2432"/>
      <c r="D38" s="2432"/>
      <c r="E38" s="2432"/>
      <c r="F38" s="2432"/>
      <c r="G38" s="2662"/>
      <c r="H38" s="2662"/>
      <c r="I38" s="2662"/>
      <c r="J38" s="2439"/>
      <c r="K38" s="2613"/>
      <c r="L38" s="2610"/>
      <c r="M38" s="2610"/>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1"/>
      <c r="M40" s="2451"/>
      <c r="N40" s="2506"/>
      <c r="O40" s="2451"/>
      <c r="P40" s="2439"/>
      <c r="Q40" s="2439"/>
      <c r="R40" s="2439"/>
      <c r="S40" s="2439"/>
      <c r="T40" s="2439"/>
      <c r="U40" s="2439"/>
      <c r="V40" s="2439"/>
    </row>
    <row r="41" spans="1:30">
      <c r="A41" s="2436" t="s">
        <v>2233</v>
      </c>
      <c r="B41" s="1757"/>
      <c r="C41" s="1373"/>
      <c r="D41" s="2370"/>
      <c r="E41" s="2370"/>
      <c r="F41" s="2370"/>
      <c r="G41" s="2370"/>
      <c r="H41" s="2370"/>
      <c r="I41" s="1576"/>
      <c r="J41" s="2439"/>
      <c r="K41" s="2613"/>
      <c r="L41" s="2610"/>
      <c r="M41" s="2610"/>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165.59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165.59</v>
      </c>
      <c r="H5" s="13">
        <f t="shared" ref="H5:AT5" si="0">SUM(H13:H656)</f>
        <v>165.59</v>
      </c>
      <c r="I5" s="13">
        <f t="shared" si="0"/>
        <v>165.59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165.59</v>
      </c>
      <c r="BA5" s="15">
        <f t="shared" si="1"/>
        <v>165.59</v>
      </c>
      <c r="BB5" s="15">
        <f t="shared" si="1"/>
        <v>165.59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3377</v>
      </c>
      <c r="E13" s="13">
        <f>IF($C$3="是",ROUND($A$3*G13/$B$3,2),ROUND($A$3*(G13-AT13)/$B$3,2))</f>
        <v>0</v>
      </c>
      <c r="F13" s="29"/>
      <c r="G13" s="30">
        <f>H13+AC13+AT13</f>
        <v>165.59</v>
      </c>
      <c r="H13" s="17">
        <f>SUMIF(I$12:AB$12,"总值",I13:AB13)</f>
        <v>165.59</v>
      </c>
      <c r="I13" s="1626">
        <v>165.59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165.59</v>
      </c>
      <c r="BA13" s="13">
        <f>SUM(BB13:BK13)</f>
        <v>165.59</v>
      </c>
      <c r="BB13" s="13">
        <f>IF($D13="是",I13-J13,0)</f>
        <v>165.59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K13" sqref="K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6"/>
      <c r="G2" s="2647"/>
      <c r="H2" s="2648"/>
      <c r="I2" s="2325" t="s">
        <v>1132</v>
      </c>
      <c r="J2" s="2656"/>
      <c r="K2" s="2656"/>
      <c r="L2" s="2656"/>
      <c r="M2" s="2656"/>
      <c r="N2" s="2658"/>
      <c r="O2" s="2656"/>
      <c r="P2" s="2656"/>
    </row>
    <row r="3" spans="1:16" ht="15.75" thickBot="1">
      <c r="A3" s="3535" t="s">
        <v>1105</v>
      </c>
      <c r="B3" s="3535"/>
      <c r="C3" s="3535"/>
      <c r="D3" s="43">
        <f>'数据-基础表'!AY6</f>
        <v>0</v>
      </c>
      <c r="E3" s="43">
        <f>'数据-基础表'!AZ5</f>
        <v>165.59</v>
      </c>
      <c r="F3" s="2656"/>
      <c r="G3" s="1145"/>
      <c r="H3" s="1026" t="s">
        <v>1106</v>
      </c>
      <c r="I3" s="855" t="e">
        <f>ROUND('数据-基础表'!B3/'数据-基础表'!A3,2)</f>
        <v>#DIV/0!</v>
      </c>
      <c r="J3" s="2656"/>
      <c r="K3" s="2656"/>
      <c r="L3" s="2656"/>
      <c r="M3" s="2656"/>
      <c r="N3" s="2658"/>
      <c r="O3" s="2656"/>
      <c r="P3" s="2656"/>
    </row>
    <row r="4" spans="1:16" ht="15">
      <c r="A4" s="3536"/>
      <c r="B4" s="3537"/>
      <c r="C4" s="3538"/>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39" t="s">
        <v>1110</v>
      </c>
      <c r="C5" s="3539"/>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39" t="s">
        <v>1111</v>
      </c>
      <c r="C6" s="3539"/>
      <c r="D6" s="45">
        <f>ROUND($D$3*E6/$E$3,2)</f>
        <v>0</v>
      </c>
      <c r="E6" s="46">
        <f>E3-E5</f>
        <v>165.59</v>
      </c>
      <c r="F6" s="2656"/>
      <c r="G6" s="2650" t="s">
        <v>1112</v>
      </c>
      <c r="H6" s="1146" t="s">
        <v>1113</v>
      </c>
      <c r="I6" s="2651" t="e">
        <f>ROUND(F31/D31,2)</f>
        <v>#DIV/0!</v>
      </c>
      <c r="J6" s="2656"/>
      <c r="K6" s="2656"/>
      <c r="L6" s="2656"/>
      <c r="M6" s="2656"/>
      <c r="N6" s="2656"/>
      <c r="O6" s="2656"/>
      <c r="P6" s="2656"/>
    </row>
    <row r="7" spans="1:16" ht="15.75" thickBot="1">
      <c r="A7" s="3531"/>
      <c r="B7" s="3532"/>
      <c r="C7" s="3533"/>
      <c r="D7" s="1641" t="s">
        <v>1107</v>
      </c>
      <c r="E7" s="1645" t="s">
        <v>1114</v>
      </c>
      <c r="F7" s="2656"/>
      <c r="G7" s="2652" t="s">
        <v>1115</v>
      </c>
      <c r="H7" s="2653"/>
      <c r="I7" s="2654">
        <v>3.5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165.59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165.59</v>
      </c>
      <c r="F16" s="2656"/>
      <c r="G16" s="2657"/>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3378</v>
      </c>
      <c r="D19" s="45">
        <f>ROUND($D$3*E19/$E$3,2)</f>
        <v>0</v>
      </c>
      <c r="E19" s="53">
        <f t="shared" ref="E19:E26" si="1">SUM(F19:G19)</f>
        <v>165.59</v>
      </c>
      <c r="F19" s="2792">
        <f>'数据-基础表'!I13</f>
        <v>165.59</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165.59</v>
      </c>
    </row>
    <row r="20" spans="1:19">
      <c r="A20" s="1670"/>
      <c r="B20" s="47" t="s">
        <v>1153</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165.59</v>
      </c>
      <c r="F27" s="1140">
        <f>IF(SUM(F19:F26)=E8,SUM(F19:F26),"地上面积有误")</f>
        <v>165.59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165.59</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165.59</v>
      </c>
      <c r="F31" s="677">
        <f>F27+F30</f>
        <v>165.59</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45034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52702</v>
      </c>
      <c r="F6" s="64">
        <f>SUMIF(项目基本情况!C$12:I$12,C6,项目基本情况!C$15:I$15)</f>
        <v>21</v>
      </c>
      <c r="G6" s="65">
        <f>IF(ISERROR(ROUND(POWER(1+H6,D6-F6)*(POWER(1+H6,F6)-1)/(POWER(1+H6,D6)-1),3)),0,ROUND(POWER(1+H6,D6-F6)*(POWER(1+H6,F6)-1)/(POWER(1+H6,D6)-1),3))</f>
        <v>0.747</v>
      </c>
      <c r="H6" s="732">
        <v>0.05</v>
      </c>
      <c r="I6" s="732">
        <v>5.5E-2</v>
      </c>
      <c r="J6" s="66">
        <v>7.4999999999999997E-2</v>
      </c>
      <c r="K6" s="1030">
        <f>SUMIF('数据-汇总表'!C$19:C$33,A6,'数据-汇总表'!E$19:E$33)</f>
        <v>165.59</v>
      </c>
      <c r="L6" s="733">
        <v>4500</v>
      </c>
      <c r="M6" s="67">
        <f t="shared" ref="M6:M14" si="0">ROUND(K6*L6/10000,0)</f>
        <v>75</v>
      </c>
      <c r="N6" s="731">
        <f>N21</f>
        <v>0.76500000000000001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v>4.8</v>
      </c>
      <c r="V6" s="70">
        <v>0.03</v>
      </c>
      <c r="W6" s="70">
        <v>0.1</v>
      </c>
      <c r="X6" s="1040"/>
      <c r="Y6" s="71">
        <f>N6</f>
        <v>0.76500000000000001</v>
      </c>
      <c r="Z6" s="72"/>
      <c r="AA6" s="66"/>
      <c r="AB6" s="66"/>
      <c r="AC6" s="1040"/>
      <c r="AD6" s="73"/>
      <c r="AE6" s="1041">
        <f ca="1">IF(AN6="",0,SUMIF(INDIRECT("'"&amp;AN6&amp;"'"&amp;"!E:E"),$AE$5,INDIRECT("'"&amp;AN6&amp;"'"&amp;"!F:F")))</f>
        <v>21</v>
      </c>
      <c r="AF6" s="1348"/>
      <c r="AG6" s="138">
        <f>IF(AF6="",0,AE6-AF6)</f>
        <v>0</v>
      </c>
      <c r="AH6" s="74"/>
      <c r="AI6" s="76">
        <v>365</v>
      </c>
      <c r="AJ6" s="77"/>
      <c r="AK6" s="78">
        <v>0.01</v>
      </c>
      <c r="AL6" s="79">
        <v>1E-3</v>
      </c>
      <c r="AM6" s="80">
        <v>0.01</v>
      </c>
      <c r="AN6" s="1715" t="s">
        <v>3404</v>
      </c>
      <c r="AO6" s="52">
        <f ca="1">SUMIF(INDIRECT("'"&amp;AN6&amp;"'"&amp;"!A:A"),"总价",INDIRECT("'"&amp;AN6&amp;"'"&amp;"!B:B"))</f>
        <v>372.44159999999999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165.59</v>
      </c>
      <c r="L16" s="93">
        <f>ROUND(M16*10000/SUM(K6:K14),0)</f>
        <v>4529</v>
      </c>
      <c r="M16" s="93">
        <f>SUM(M6:M14)</f>
        <v>75</v>
      </c>
      <c r="N16" s="94">
        <f>ROUND(SUMPRODUCT(M6:M14,N6:N14)/M16,3)</f>
        <v>0.76500000000000001</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2006</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2668"/>
      <c r="N19" s="3451">
        <f>ROUND(1-(2022-N18)/60,2)</f>
        <v>0.73</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2668"/>
      <c r="N20" s="3451">
        <v>0.8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2668"/>
      <c r="N21" s="3452">
        <f>(N19+N20)/2</f>
        <v>0.76500000000000001</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0.03</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0.03</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3405</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4" sqref="L14"/>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7" customFormat="1" ht="18.75" thickBot="1">
      <c r="A1" s="3540" t="s">
        <v>2282</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2252</v>
      </c>
      <c r="C3" s="3445" t="s">
        <v>3391</v>
      </c>
      <c r="D3" s="2464"/>
      <c r="E3" s="2442" t="s">
        <v>2280</v>
      </c>
      <c r="F3" s="2465" t="s">
        <v>2253</v>
      </c>
      <c r="G3" s="2466" t="s">
        <v>2281</v>
      </c>
      <c r="H3" s="799"/>
      <c r="I3" s="799"/>
      <c r="J3" s="799"/>
      <c r="K3" s="799"/>
      <c r="L3" s="799"/>
      <c r="M3" s="799"/>
      <c r="N3" s="799"/>
      <c r="O3" s="799"/>
      <c r="P3" s="799"/>
      <c r="Q3" s="799"/>
      <c r="R3" s="799"/>
    </row>
    <row r="4" spans="1:29" ht="36.75">
      <c r="A4" s="2442"/>
      <c r="B4" s="323" t="s">
        <v>2254</v>
      </c>
      <c r="C4" s="3446" t="s">
        <v>3392</v>
      </c>
      <c r="D4" s="2464"/>
      <c r="E4" s="2467"/>
      <c r="F4" s="1373" t="s">
        <v>2255</v>
      </c>
      <c r="G4" s="2468" t="s">
        <v>2256</v>
      </c>
      <c r="H4" s="799"/>
      <c r="I4" s="799"/>
      <c r="J4" s="799"/>
      <c r="K4" s="799"/>
      <c r="L4" s="799"/>
      <c r="M4" s="799"/>
      <c r="N4" s="799"/>
      <c r="O4" s="799"/>
      <c r="P4" s="799"/>
      <c r="Q4" s="799"/>
      <c r="R4" s="799"/>
    </row>
    <row r="5" spans="1:29" ht="36.75">
      <c r="A5" s="2442"/>
      <c r="B5" s="323" t="s">
        <v>2257</v>
      </c>
      <c r="C5" s="3446" t="s">
        <v>3393</v>
      </c>
      <c r="D5" s="2464"/>
      <c r="E5" s="2467"/>
      <c r="F5" s="323" t="s">
        <v>2258</v>
      </c>
      <c r="G5" s="2468" t="s">
        <v>2259</v>
      </c>
      <c r="H5" s="799"/>
      <c r="I5" s="799"/>
      <c r="J5" s="799"/>
      <c r="K5" s="799"/>
      <c r="L5" s="799"/>
      <c r="M5" s="799"/>
      <c r="N5" s="799"/>
      <c r="O5" s="799"/>
      <c r="P5" s="799"/>
      <c r="Q5" s="799"/>
      <c r="R5" s="799"/>
    </row>
    <row r="6" spans="1:29" ht="36">
      <c r="A6" s="2442"/>
      <c r="B6" s="323" t="s">
        <v>2260</v>
      </c>
      <c r="C6" s="3447" t="s">
        <v>3394</v>
      </c>
      <c r="D6" s="2464"/>
      <c r="E6" s="2467"/>
      <c r="F6" s="323" t="s">
        <v>2261</v>
      </c>
      <c r="G6" s="2468" t="s">
        <v>2262</v>
      </c>
      <c r="H6" s="799"/>
      <c r="I6" s="799"/>
      <c r="J6" s="799"/>
      <c r="K6" s="799"/>
      <c r="L6" s="799"/>
      <c r="M6" s="799"/>
      <c r="N6" s="799"/>
      <c r="O6" s="799"/>
      <c r="P6" s="799"/>
      <c r="Q6" s="799"/>
      <c r="R6" s="799"/>
    </row>
    <row r="7" spans="1:29" ht="24.75" thickBot="1">
      <c r="A7" s="2442"/>
      <c r="B7" s="323" t="s">
        <v>2258</v>
      </c>
      <c r="C7" s="3447" t="s">
        <v>3395</v>
      </c>
      <c r="D7" s="2469"/>
      <c r="E7" s="2470"/>
      <c r="F7" s="2471" t="s">
        <v>2263</v>
      </c>
      <c r="G7" s="2472" t="s">
        <v>2264</v>
      </c>
      <c r="H7" s="799"/>
      <c r="I7" s="799"/>
      <c r="J7" s="799"/>
      <c r="K7" s="799"/>
      <c r="L7" s="799"/>
      <c r="M7" s="799"/>
      <c r="N7" s="799"/>
      <c r="O7" s="799"/>
      <c r="P7" s="799"/>
      <c r="Q7" s="799"/>
      <c r="R7" s="799"/>
    </row>
    <row r="8" spans="1:29">
      <c r="A8" s="2442"/>
      <c r="B8" s="323" t="s">
        <v>2261</v>
      </c>
      <c r="C8" s="3447" t="s">
        <v>3396</v>
      </c>
      <c r="D8" s="2469"/>
      <c r="E8" s="2469"/>
      <c r="F8" s="2473"/>
      <c r="G8" s="2473"/>
      <c r="H8" s="799"/>
      <c r="I8" s="799"/>
      <c r="J8" s="799"/>
      <c r="K8" s="799"/>
      <c r="L8" s="799"/>
      <c r="M8" s="799"/>
      <c r="N8" s="799"/>
      <c r="O8" s="799"/>
      <c r="P8" s="799"/>
      <c r="Q8" s="799"/>
      <c r="R8" s="799"/>
    </row>
    <row r="9" spans="1:29" ht="24">
      <c r="A9" s="2442"/>
      <c r="B9" s="323" t="s">
        <v>2265</v>
      </c>
      <c r="C9" s="3446" t="s">
        <v>3397</v>
      </c>
      <c r="D9" s="2464"/>
      <c r="E9" s="2469"/>
      <c r="F9" s="2473"/>
      <c r="G9" s="2473"/>
      <c r="H9" s="799"/>
      <c r="I9" s="799"/>
      <c r="J9" s="799"/>
      <c r="K9" s="799"/>
      <c r="L9" s="799"/>
      <c r="M9" s="799"/>
      <c r="N9" s="799"/>
      <c r="O9" s="799"/>
      <c r="P9" s="799"/>
      <c r="Q9" s="799"/>
      <c r="R9" s="799"/>
    </row>
    <row r="10" spans="1:29" s="2478" customFormat="1" ht="15" thickBot="1">
      <c r="A10" s="2443"/>
      <c r="B10" s="2474" t="s">
        <v>2266</v>
      </c>
      <c r="C10" s="3448"/>
      <c r="D10" s="2464"/>
      <c r="E10" s="2464"/>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7" customFormat="1" ht="18">
      <c r="A12" s="2479"/>
      <c r="B12" s="2469"/>
      <c r="C12" s="2464"/>
      <c r="D12" s="2481"/>
      <c r="E12" s="2464"/>
      <c r="F12" s="2469"/>
      <c r="G12" s="2480"/>
      <c r="H12" s="2482"/>
      <c r="I12" s="2483"/>
      <c r="J12" s="2482"/>
      <c r="K12" s="2482"/>
      <c r="L12" s="2484"/>
      <c r="M12" s="2482"/>
      <c r="N12" s="2485"/>
      <c r="O12" s="2486"/>
      <c r="P12" s="2485"/>
      <c r="Q12" s="2485"/>
      <c r="R12" s="2455"/>
      <c r="S12" s="2456"/>
      <c r="T12" s="2456"/>
      <c r="U12" s="2456"/>
      <c r="V12" s="2456"/>
      <c r="W12" s="2456"/>
      <c r="X12" s="2456"/>
      <c r="Y12" s="2456"/>
      <c r="Z12" s="2456"/>
      <c r="AA12" s="2456"/>
      <c r="AB12" s="2456"/>
      <c r="AC12" s="2456"/>
    </row>
    <row r="13" spans="1:29" ht="15.75" thickBot="1">
      <c r="A13" s="2487" t="s">
        <v>2283</v>
      </c>
      <c r="B13" s="2481"/>
      <c r="C13" s="2481"/>
      <c r="D13" s="2479"/>
      <c r="E13" s="2481"/>
      <c r="F13" s="2481"/>
      <c r="G13" s="2481"/>
    </row>
    <row r="14" spans="1:29" ht="15" thickBot="1">
      <c r="A14" s="2491"/>
      <c r="B14" s="2491"/>
      <c r="C14" s="2492" t="s">
        <v>2267</v>
      </c>
      <c r="D14" s="2464"/>
      <c r="E14" s="2493"/>
      <c r="F14" s="2493"/>
      <c r="G14" s="2460" t="s">
        <v>2268</v>
      </c>
    </row>
    <row r="15" spans="1:29" ht="51">
      <c r="A15" s="2444" t="s">
        <v>2269</v>
      </c>
      <c r="B15" s="2494" t="s">
        <v>2252</v>
      </c>
      <c r="C15" s="2495" t="str">
        <f>C3</f>
        <v>估价对象周边居住用地比例、居住小区规模和社区发展完善程度，综合评价居住社区成熟度一般</v>
      </c>
      <c r="D15" s="2464"/>
      <c r="E15" s="2445" t="s">
        <v>2270</v>
      </c>
      <c r="F15" s="2494" t="s">
        <v>2271</v>
      </c>
      <c r="G15" s="2496" t="str">
        <f>G3</f>
        <v>估价对象位于XX开发区，园区建设成熟度XX，产业集聚程度XX</v>
      </c>
    </row>
    <row r="16" spans="1:29" ht="38.25">
      <c r="A16" s="2446"/>
      <c r="B16" s="2497" t="s">
        <v>2254</v>
      </c>
      <c r="C16" s="2498" t="str">
        <f>C4</f>
        <v>估价对象位于XX商圈，周边商业氛围成熟，人流量大，商业繁华度好</v>
      </c>
      <c r="D16" s="2464"/>
      <c r="E16" s="2447"/>
      <c r="F16" s="2499" t="s">
        <v>2255</v>
      </c>
      <c r="G16" s="2500" t="str">
        <f>G4</f>
        <v>估价对象周边道路状况、公共交通通达情况、停车便捷程度，综合评价交通便捷度较好</v>
      </c>
    </row>
    <row r="17" spans="1:18" ht="38.25">
      <c r="A17" s="2446"/>
      <c r="B17" s="2497" t="s">
        <v>2257</v>
      </c>
      <c r="C17" s="2498" t="str">
        <f>C5</f>
        <v>估价对象位于XX商圈，周边办公楼项目较多，入驻率高，办公集聚程度较好</v>
      </c>
      <c r="D17" s="2469"/>
      <c r="E17" s="2447"/>
      <c r="F17" s="2499" t="s">
        <v>2272</v>
      </c>
      <c r="G17" s="2501"/>
    </row>
    <row r="18" spans="1:18" ht="38.25">
      <c r="A18" s="2446"/>
      <c r="B18" s="2499" t="s">
        <v>2260</v>
      </c>
      <c r="C18" s="2500" t="str">
        <f>C6</f>
        <v>估价对象周边道路状况、公共交通通达情况、停车便捷程度，综合评价交通便捷度较好</v>
      </c>
      <c r="D18" s="2469"/>
      <c r="E18" s="2447"/>
      <c r="F18" s="2499" t="s">
        <v>2263</v>
      </c>
      <c r="G18" s="2500" t="str">
        <f>G7</f>
        <v>该园区内是否有污染型企业，绿化情况，卫生条件，整体环境状况判断</v>
      </c>
    </row>
    <row r="19" spans="1:18" ht="25.5">
      <c r="A19" s="2446"/>
      <c r="B19" s="2499" t="s">
        <v>2273</v>
      </c>
      <c r="C19" s="2501"/>
      <c r="D19" s="2464"/>
      <c r="E19" s="2447"/>
      <c r="F19" s="323" t="s">
        <v>2258</v>
      </c>
      <c r="G19" s="2500" t="str">
        <f>G5</f>
        <v>估价对象所在区域公共配套设施齐备情况</v>
      </c>
    </row>
    <row r="20" spans="1:18" ht="25.5">
      <c r="A20" s="2446"/>
      <c r="B20" s="2499" t="s">
        <v>2274</v>
      </c>
      <c r="C20" s="2498" t="str">
        <f>C9</f>
        <v>区域自然环境：；人文环境；综合评价环境状况一般</v>
      </c>
      <c r="D20" s="2469"/>
      <c r="E20" s="2447"/>
      <c r="F20" s="323" t="s">
        <v>2261</v>
      </c>
      <c r="G20" s="2500" t="str">
        <f>G6</f>
        <v>估价对象所在区域基础设施水平</v>
      </c>
    </row>
    <row r="21" spans="1:18" ht="25.5">
      <c r="A21" s="2446"/>
      <c r="B21" s="323" t="s">
        <v>2258</v>
      </c>
      <c r="C21" s="2500" t="str">
        <f>C7</f>
        <v>估价对象所在区域公共配套设施齐备情况</v>
      </c>
      <c r="D21" s="2464"/>
      <c r="E21" s="2447"/>
      <c r="F21" s="2499" t="s">
        <v>2275</v>
      </c>
      <c r="G21" s="2502"/>
    </row>
    <row r="22" spans="1:18" ht="13.5" customHeight="1">
      <c r="A22" s="2446"/>
      <c r="B22" s="323" t="s">
        <v>2261</v>
      </c>
      <c r="C22" s="2500" t="str">
        <f>C8</f>
        <v>估价对象所在区域基础设施水平</v>
      </c>
      <c r="D22" s="2464"/>
      <c r="E22" s="2447"/>
      <c r="F22" s="2499" t="s">
        <v>2266</v>
      </c>
      <c r="G22" s="2501"/>
    </row>
    <row r="23" spans="1:18" s="799" customFormat="1" ht="15" thickBot="1">
      <c r="A23" s="2446"/>
      <c r="B23" s="2499" t="s">
        <v>2275</v>
      </c>
      <c r="C23" s="2502"/>
      <c r="D23" s="1741"/>
      <c r="E23" s="2448"/>
      <c r="F23" s="2503" t="s">
        <v>2276</v>
      </c>
      <c r="G23" s="2504"/>
      <c r="H23" s="2488"/>
      <c r="I23" s="2489"/>
      <c r="J23" s="2488"/>
      <c r="K23" s="2488"/>
      <c r="L23" s="2489"/>
      <c r="M23" s="2488"/>
      <c r="N23" s="2488"/>
      <c r="O23" s="2489"/>
      <c r="P23" s="2488"/>
      <c r="Q23" s="2488"/>
      <c r="R23" s="2490"/>
    </row>
    <row r="24" spans="1:18" s="799" customFormat="1" ht="15" thickBot="1">
      <c r="A24" s="2449"/>
      <c r="B24" s="2503" t="s">
        <v>2277</v>
      </c>
      <c r="C24" s="2505">
        <f>C10</f>
        <v>0</v>
      </c>
      <c r="D24" s="1741"/>
      <c r="E24" s="2439"/>
      <c r="F24" s="2439"/>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165.59</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45034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640</v>
      </c>
      <c r="C5" s="2509">
        <f ca="1">IF(B5=D14,结果表!H102,ROUND(B5*10000/$B$1,0))</f>
        <v>38650</v>
      </c>
      <c r="D5" s="2509" t="e">
        <f ca="1">ROUND(B5*10000/$B$2,0)</f>
        <v>#DIV/0!</v>
      </c>
      <c r="E5" s="2683"/>
      <c r="F5" s="2684"/>
      <c r="G5" s="2684"/>
      <c r="H5" s="2685"/>
      <c r="I5" s="2685"/>
      <c r="J5" s="2685"/>
      <c r="K5" s="2685"/>
    </row>
    <row r="6" spans="1:11" ht="16.5">
      <c r="A6" s="2509" t="s">
        <v>656</v>
      </c>
      <c r="B6" s="2509">
        <f ca="1">SUM(G14:G23)</f>
        <v>640</v>
      </c>
      <c r="C6" s="2509">
        <f ca="1">IF(B6=G14,结果表!H108,ROUND(B6*10000/$B$1,0))</f>
        <v>38650</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3358</v>
      </c>
      <c r="D10" s="2509" t="s">
        <v>3359</v>
      </c>
      <c r="E10" s="3436"/>
      <c r="F10" s="3440" t="s">
        <v>3360</v>
      </c>
      <c r="G10" s="3437"/>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165.59</v>
      </c>
      <c r="C14" s="2515"/>
      <c r="D14" s="2515">
        <f ca="1">结果表!H118</f>
        <v>640</v>
      </c>
      <c r="E14" s="2515">
        <f ca="1">ROUND(D14*10000/B14,0)</f>
        <v>38650</v>
      </c>
      <c r="F14" s="2515" t="e">
        <f ca="1">ROUND(D14*10000/C14,0)</f>
        <v>#DIV/0!</v>
      </c>
      <c r="G14" s="2515">
        <f ca="1">D14</f>
        <v>640</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F35" sqref="F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3410</v>
      </c>
      <c r="H1" s="1750" t="str">
        <f>IF(G1="现房","——","估价对象范围")</f>
        <v>——</v>
      </c>
      <c r="I1" s="1751" t="s">
        <v>3411</v>
      </c>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3412</v>
      </c>
      <c r="D4" s="1756" t="s">
        <v>3404</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7</v>
      </c>
      <c r="D14" s="3603">
        <v>3</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4" t="s">
        <v>2131</v>
      </c>
      <c r="F18" s="3635"/>
      <c r="G18" s="3635"/>
      <c r="H18" s="3635"/>
      <c r="I18" s="3635"/>
      <c r="K18" s="302" t="s">
        <v>1289</v>
      </c>
      <c r="L18" s="302">
        <f>IF(C1="",'数据-汇总表'!E3,SUMIF(项目类型,C1,'数据-汇总表'!E17:E26)+SUMIF(项目类型,C1,'数据-汇总表'!I17:I26))</f>
        <v>165.59</v>
      </c>
      <c r="M18" s="302">
        <f>IF(C1="",'数据-汇总表'!E3,SUMIF(项目类型,C1,'数据-汇总表'!E17:E26))</f>
        <v>165.59</v>
      </c>
    </row>
    <row r="19" spans="1:36" ht="15">
      <c r="A19" s="1761" t="s">
        <v>1290</v>
      </c>
      <c r="B19" s="1762" t="s">
        <v>1291</v>
      </c>
      <c r="C19" s="134">
        <f ca="1">SUMIF(INDIRECT("'"&amp;C4&amp;"'"&amp;"!A:A"),结果表!B19,INDIRECT("'"&amp;C4&amp;"'"&amp;"!B:B"))</f>
        <v>754.70180000000005</v>
      </c>
      <c r="D19" s="135">
        <f ca="1">SUMIF(INDIRECT("'"&amp;D4&amp;"'"&amp;"!A:A"),结果表!B19,INDIRECT("'"&amp;D4&amp;"'"&amp;"!B:B"))</f>
        <v>372.44159999999999</v>
      </c>
      <c r="E19" s="1761" t="s">
        <v>1292</v>
      </c>
      <c r="F19" s="1762" t="s">
        <v>1291</v>
      </c>
      <c r="G19" s="136">
        <f ca="1">ROUND(C19*$C$18+D19*$D$18,0)</f>
        <v>640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45577</v>
      </c>
      <c r="D20" s="138">
        <f ca="1">SUMIF(INDIRECT("'"&amp;D4&amp;"'"&amp;"!A:A"),结果表!B20,INDIRECT("'"&amp;D4&amp;"'"&amp;"!B:B"))</f>
        <v>22492</v>
      </c>
      <c r="E20" s="1764"/>
      <c r="F20" s="1026" t="s">
        <v>1295</v>
      </c>
      <c r="G20" s="139">
        <f ca="1">ROUND(C20*$C$18+D20*$D$18,0)</f>
        <v>38652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1.0263627908375437</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640</v>
      </c>
      <c r="D32" s="1775" t="s">
        <v>3413</v>
      </c>
      <c r="E32" s="129"/>
      <c r="F32" s="129"/>
      <c r="G32" s="129"/>
      <c r="H32" s="129"/>
      <c r="I32" s="129"/>
    </row>
    <row r="33" spans="1:15" ht="15">
      <c r="A33" s="786" t="s">
        <v>1306</v>
      </c>
      <c r="B33" s="1776"/>
      <c r="C33" s="1777" t="s">
        <v>3414</v>
      </c>
      <c r="D33" s="1778" t="s">
        <v>3415</v>
      </c>
      <c r="E33" s="1779" t="s">
        <v>1307</v>
      </c>
      <c r="F33" s="1780" t="str">
        <f>IF(D32="楼面单价","取值（单价）","取值（总价）")</f>
        <v>取值（总价）</v>
      </c>
      <c r="G33" s="129"/>
      <c r="H33" s="129"/>
      <c r="I33" s="129"/>
    </row>
    <row r="34" spans="1:15" ht="15">
      <c r="A34" s="1781"/>
      <c r="B34" s="1782" t="s">
        <v>1308</v>
      </c>
      <c r="C34" s="148">
        <f ca="1">IF(C33="自定义",F34,C32-C35)</f>
        <v>28</v>
      </c>
      <c r="D34" s="861">
        <f ca="1">IF(C33="自定义",ROUND(C34/C32,3),IF(C33="收益比率",SUMIF(INDIRECT("'"&amp;D33&amp;"'"&amp;"!b:b"),"土地收益比率",INDIRECT("'"&amp;D33&amp;"'"&amp;"!c:c")),SUMIF(INDIRECT("'"&amp;D33&amp;"'"&amp;"!b:b"),"土地成本比率",INDIRECT("'"&amp;D33&amp;"'"&amp;"!c:c"))))</f>
        <v>4.3000000000000038E-2</v>
      </c>
      <c r="E34" s="1783" t="s">
        <v>1309</v>
      </c>
      <c r="F34" s="1330"/>
      <c r="G34" s="129"/>
      <c r="H34" s="129"/>
      <c r="I34" s="129"/>
    </row>
    <row r="35" spans="1:15" ht="15.75" thickBot="1">
      <c r="A35" s="1784"/>
      <c r="B35" s="1785" t="s">
        <v>1310</v>
      </c>
      <c r="C35" s="1170">
        <f ca="1">IF(C33="自定义",F35,ROUND(C32*D35,0))</f>
        <v>612</v>
      </c>
      <c r="D35" s="1171">
        <f ca="1">IF(C33="自定义",ROUND(C35/C32,3),IF(C33="收益比率",SUMIF(INDIRECT("'"&amp;D33&amp;"'"&amp;"!b:b"),"建筑物收益比率",INDIRECT("'"&amp;D33&amp;"'"&amp;"!c:c")),SUMIF(INDIRECT("'"&amp;D33&amp;"'"&amp;"!b:b"),"建筑物成本比率",INDIRECT("'"&amp;D33&amp;"'"&amp;"!c:c"))))</f>
        <v>0.95699999999999996</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640</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0">
        <v>1</v>
      </c>
      <c r="K46" s="3545" t="s">
        <v>1331</v>
      </c>
      <c r="L46" s="3545"/>
      <c r="M46" s="3546"/>
      <c r="N46" s="3546"/>
      <c r="O46" s="3546"/>
    </row>
    <row r="47" spans="1:15" ht="12" customHeight="1">
      <c r="A47" s="160" t="s">
        <v>1332</v>
      </c>
      <c r="B47" s="161"/>
      <c r="C47" s="162"/>
      <c r="D47" s="1087" t="s">
        <v>1333</v>
      </c>
      <c r="E47" s="302" t="s">
        <v>1334</v>
      </c>
      <c r="F47" s="163" t="s">
        <v>1335</v>
      </c>
      <c r="G47" s="2543" t="s">
        <v>1336</v>
      </c>
      <c r="H47" s="2544"/>
      <c r="I47" s="159"/>
      <c r="J47" s="2520">
        <v>2</v>
      </c>
      <c r="K47" s="3545" t="s">
        <v>1337</v>
      </c>
      <c r="L47" s="3545"/>
      <c r="M47" s="3547">
        <f>'数据-取费表'!B2</f>
        <v>45034</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45" t="s">
        <v>1340</v>
      </c>
      <c r="L48" s="3545"/>
      <c r="M48" s="3548">
        <f ca="1">H101</f>
        <v>640</v>
      </c>
      <c r="N48" s="3548"/>
      <c r="O48" s="3548"/>
    </row>
    <row r="49" spans="1:35" ht="25.5" customHeight="1">
      <c r="A49" s="2333" t="s">
        <v>1341</v>
      </c>
      <c r="B49" s="3593" t="s">
        <v>1342</v>
      </c>
      <c r="C49" s="3593"/>
      <c r="D49" s="1590">
        <v>0</v>
      </c>
      <c r="E49" s="324" t="s">
        <v>1343</v>
      </c>
      <c r="F49" s="2424" t="s">
        <v>28</v>
      </c>
      <c r="G49" s="3576"/>
      <c r="H49" s="2310" t="s">
        <v>2134</v>
      </c>
      <c r="I49" s="2311"/>
      <c r="J49" s="2520">
        <v>4</v>
      </c>
      <c r="K49" s="3545" t="str">
        <f>IF(项目基本情况!E8="房地产抵押价值","房地产抵押价值","抵押担保权已注销时的房地产抵押价值")</f>
        <v>抵押担保权已注销时的房地产抵押价值</v>
      </c>
      <c r="L49" s="3545"/>
      <c r="M49" s="3548" t="str">
        <f>IF(项目基本情况!E8="房地产抵押价值",H107,H109)</f>
        <v>——</v>
      </c>
      <c r="N49" s="3548"/>
      <c r="O49" s="3548"/>
    </row>
    <row r="50" spans="1:35" ht="25.5" customHeight="1">
      <c r="A50" s="2548"/>
      <c r="B50" s="3593" t="s">
        <v>1344</v>
      </c>
      <c r="C50" s="3593"/>
      <c r="D50" s="2549"/>
      <c r="E50" s="332"/>
      <c r="F50" s="2424"/>
      <c r="G50" s="3577"/>
      <c r="H50" s="2312" t="s">
        <v>2135</v>
      </c>
      <c r="I50" s="2311"/>
      <c r="J50" s="3544" t="s">
        <v>1345</v>
      </c>
      <c r="K50" s="3544"/>
      <c r="L50" s="3544"/>
      <c r="M50" s="3544"/>
      <c r="N50" s="3544"/>
      <c r="O50" s="3544"/>
    </row>
    <row r="51" spans="1:35" ht="20.45" customHeight="1">
      <c r="A51" s="2550"/>
      <c r="B51" s="3593" t="s">
        <v>1346</v>
      </c>
      <c r="C51" s="3593"/>
      <c r="D51" s="1087"/>
      <c r="E51" s="327"/>
      <c r="F51" s="2424"/>
      <c r="G51" s="3578"/>
      <c r="H51" s="2312" t="s">
        <v>2136</v>
      </c>
      <c r="I51" s="2311"/>
      <c r="J51" s="2521" t="s">
        <v>1347</v>
      </c>
      <c r="K51" s="3545" t="s">
        <v>1348</v>
      </c>
      <c r="L51" s="3545"/>
      <c r="M51" s="2521" t="s">
        <v>1349</v>
      </c>
      <c r="N51" s="2521" t="s">
        <v>1350</v>
      </c>
      <c r="O51" s="2521" t="s">
        <v>1351</v>
      </c>
    </row>
    <row r="52" spans="1:35" ht="24" customHeight="1">
      <c r="A52" s="2335" t="s">
        <v>1352</v>
      </c>
      <c r="B52" s="3593" t="s">
        <v>1353</v>
      </c>
      <c r="C52" s="3593"/>
      <c r="D52" s="1087">
        <f ca="1">ROUND(D45*'数据-取费表'!B41/(1+'数据-取费表'!C42),0)</f>
        <v>34</v>
      </c>
      <c r="E52" s="2334" t="s">
        <v>1354</v>
      </c>
      <c r="F52" s="2551">
        <f>'数据-取费表'!B41</f>
        <v>5.6000000000000001E-2</v>
      </c>
      <c r="G52" s="2552"/>
      <c r="H52" s="2541"/>
      <c r="I52" s="1807"/>
      <c r="J52" s="2520">
        <v>1</v>
      </c>
      <c r="K52" s="3570" t="s">
        <v>1355</v>
      </c>
      <c r="L52" s="3570"/>
      <c r="M52" s="2522" t="b">
        <f>D48</f>
        <v>0</v>
      </c>
      <c r="N52" s="2520" t="str">
        <f>E48</f>
        <v>销售额×税（费）率</v>
      </c>
      <c r="O52" s="2523">
        <f>F48</f>
        <v>5.6000000000000001E-2</v>
      </c>
    </row>
    <row r="53" spans="1:35" ht="12" customHeight="1">
      <c r="A53" s="2335" t="s">
        <v>1356</v>
      </c>
      <c r="B53" s="3594" t="s">
        <v>2287</v>
      </c>
      <c r="C53" s="3595"/>
      <c r="D53" s="1087">
        <f ca="1">ROUND(D45*'数据-取费表'!B41/(1+'数据-取费表'!C42),0)</f>
        <v>34</v>
      </c>
      <c r="E53" s="2334" t="s">
        <v>1354</v>
      </c>
      <c r="F53" s="2551">
        <f>'数据-取费表'!B41</f>
        <v>5.6000000000000001E-2</v>
      </c>
      <c r="G53" s="2552"/>
      <c r="H53" s="2541"/>
      <c r="I53" s="1807"/>
      <c r="J53" s="2520">
        <v>2</v>
      </c>
      <c r="K53" s="3570" t="s">
        <v>1357</v>
      </c>
      <c r="L53" s="3570"/>
      <c r="M53" s="2522">
        <f t="shared" ref="M53:O54" ca="1" si="0">D55</f>
        <v>0</v>
      </c>
      <c r="N53" s="2520" t="str">
        <f t="shared" si="0"/>
        <v>销售额×税（费）率</v>
      </c>
      <c r="O53" s="2523" t="str">
        <f t="shared" si="0"/>
        <v>免征</v>
      </c>
    </row>
    <row r="54" spans="1:35" ht="12" customHeight="1">
      <c r="A54" s="2335" t="s">
        <v>1358</v>
      </c>
      <c r="B54" s="3594" t="s">
        <v>2288</v>
      </c>
      <c r="C54" s="3595"/>
      <c r="D54" s="1087">
        <f ca="1">C68</f>
        <v>34</v>
      </c>
      <c r="E54" s="327" t="s">
        <v>1359</v>
      </c>
      <c r="F54" s="2551">
        <f>'数据-取费表'!B41</f>
        <v>5.6000000000000001E-2</v>
      </c>
      <c r="G54" s="2552"/>
      <c r="H54" s="2553"/>
      <c r="I54" s="1807"/>
      <c r="J54" s="2520">
        <v>3</v>
      </c>
      <c r="K54" s="3570" t="s">
        <v>1360</v>
      </c>
      <c r="L54" s="3570"/>
      <c r="M54" s="2522">
        <f t="shared" ca="1" si="0"/>
        <v>362</v>
      </c>
      <c r="N54" s="2520" t="str">
        <f t="shared" si="0"/>
        <v>增值额×税（费）率</v>
      </c>
      <c r="O54" s="2524" t="str">
        <f t="shared" si="0"/>
        <v>免征</v>
      </c>
    </row>
    <row r="55" spans="1:35" ht="24" customHeight="1">
      <c r="A55" s="3630" t="s">
        <v>1361</v>
      </c>
      <c r="B55" s="3608"/>
      <c r="C55" s="3608"/>
      <c r="D55" s="2324">
        <f ca="1">IF(H55="个人住宅",0,ROUND(D45*I55,0))</f>
        <v>0</v>
      </c>
      <c r="E55" s="2334" t="s">
        <v>1362</v>
      </c>
      <c r="F55" s="2551" t="str">
        <f>IF(H55="正常",I55,"免征")</f>
        <v>免征</v>
      </c>
      <c r="G55" s="2552"/>
      <c r="H55" s="2547"/>
      <c r="I55" s="165">
        <f>'数据-取费表'!B49</f>
        <v>5.0000000000000001E-4</v>
      </c>
      <c r="J55" s="2520">
        <f>IF(H59="非个人房产","",4)</f>
        <v>4</v>
      </c>
      <c r="K55" s="3570" t="str">
        <f>IF(H59="非个人房产","——","个人所得税")</f>
        <v>个人所得税</v>
      </c>
      <c r="L55" s="3570"/>
      <c r="M55" s="2525">
        <f ca="1">D59</f>
        <v>6</v>
      </c>
      <c r="N55" s="2040" t="str">
        <f>E59</f>
        <v>差额计税</v>
      </c>
      <c r="O55" s="2526">
        <f>F59</f>
        <v>0.01</v>
      </c>
    </row>
    <row r="56" spans="1:35" ht="24.75">
      <c r="A56" s="3630" t="s">
        <v>1363</v>
      </c>
      <c r="B56" s="3608"/>
      <c r="C56" s="3608"/>
      <c r="D56" s="2324">
        <f ca="1">IF(H56="个人住宅",D57,D58)</f>
        <v>362</v>
      </c>
      <c r="E56" s="2334" t="s">
        <v>1364</v>
      </c>
      <c r="F56" s="2551" t="str">
        <f>IF(H56="正常",F58,"免征")</f>
        <v>免征</v>
      </c>
      <c r="G56" s="2554" t="s">
        <v>1365</v>
      </c>
      <c r="H56" s="2555"/>
      <c r="I56" s="1808"/>
      <c r="J56" s="2520" t="str">
        <f>IF(项目基本情况!K6="上海银行",IF(J55="",4,J55+1),"")</f>
        <v/>
      </c>
      <c r="K56" s="3551" t="str">
        <f>IF(项目基本情况!K6="上海银行","其他处置费用","")</f>
        <v/>
      </c>
      <c r="L56" s="3552"/>
      <c r="M56" s="2522"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2"/>
      <c r="H57" s="2556"/>
      <c r="I57" s="1808"/>
      <c r="J57" s="3570">
        <f>IF(AND(J55="",J56=""),4,IF(项目基本情况!K6="上海银行",结果表!J56+1,结果表!J55+1))</f>
        <v>5</v>
      </c>
      <c r="K57" s="3570" t="s">
        <v>1367</v>
      </c>
      <c r="L57" s="2527" t="s">
        <v>1368</v>
      </c>
      <c r="M57" s="2528"/>
      <c r="N57" s="2529">
        <f ca="1">SUMIF(M52:M56,"&lt;9e307")</f>
        <v>368</v>
      </c>
      <c r="O57" s="2530"/>
      <c r="P57" s="2687" t="e">
        <f ca="1">N57/M49</f>
        <v>#VALUE!</v>
      </c>
    </row>
    <row r="58" spans="1:35" ht="24.75">
      <c r="A58" s="2335" t="s">
        <v>1352</v>
      </c>
      <c r="B58" s="3594" t="s">
        <v>1369</v>
      </c>
      <c r="C58" s="3593"/>
      <c r="D58" s="2324">
        <f ca="1">IF(H58="转让取得",C81,C97)</f>
        <v>362</v>
      </c>
      <c r="E58" s="2334" t="s">
        <v>1364</v>
      </c>
      <c r="F58" s="302" t="s">
        <v>28</v>
      </c>
      <c r="G58" s="2552"/>
      <c r="H58" s="2555"/>
      <c r="I58" s="1808"/>
      <c r="J58" s="3570"/>
      <c r="K58" s="3570"/>
      <c r="L58" s="2527" t="s">
        <v>1370</v>
      </c>
      <c r="M58" s="2531"/>
      <c r="N58" s="2532" t="str">
        <f ca="1">NUMBERSTRING(INT(N57*10000),2)&amp;"元整"</f>
        <v>叁佰陆拾捌万元整</v>
      </c>
      <c r="O58" s="2533"/>
    </row>
    <row r="59" spans="1:35" ht="24.75" thickBot="1">
      <c r="A59" s="3574" t="s">
        <v>1371</v>
      </c>
      <c r="B59" s="3575"/>
      <c r="C59" s="3575"/>
      <c r="D59" s="2557">
        <f ca="1">IF(H59="非个人房产","——",IF(H59="个人住宅（满五唯一有凭证）",0,IF(H59="个人其他（无凭证）",ROUND(D45*F59,0),ROUND(C67*F59,0))))</f>
        <v>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72">
        <f>J57+1</f>
        <v>6</v>
      </c>
      <c r="K59" s="3570" t="s">
        <v>1372</v>
      </c>
      <c r="L59" s="2520" t="s">
        <v>1368</v>
      </c>
      <c r="M59" s="2534"/>
      <c r="N59" s="2535" t="e">
        <f ca="1">M49-N57</f>
        <v>#VALUE!</v>
      </c>
      <c r="O59" s="2536"/>
    </row>
    <row r="60" spans="1:35" ht="12" customHeight="1">
      <c r="A60" s="1809"/>
      <c r="B60" s="1747"/>
      <c r="C60" s="1747"/>
      <c r="D60" s="1747"/>
      <c r="E60" s="1578"/>
      <c r="F60" s="1808"/>
      <c r="G60" s="1808"/>
      <c r="H60" s="1810"/>
      <c r="I60" s="129"/>
      <c r="J60" s="3573"/>
      <c r="K60" s="3570"/>
      <c r="L60" s="2527" t="s">
        <v>1370</v>
      </c>
      <c r="M60" s="2531"/>
      <c r="N60" s="2532" t="e">
        <f ca="1">NUMBERSTRING(INT(N59*10000),2)&amp;"元整"</f>
        <v>#VALUE!</v>
      </c>
      <c r="O60" s="2533"/>
    </row>
    <row r="61" spans="1:35" ht="13.5" thickBot="1">
      <c r="A61" s="3629" t="s">
        <v>1373</v>
      </c>
      <c r="B61" s="3629"/>
      <c r="C61" s="3629"/>
      <c r="D61" s="3629"/>
      <c r="E61" s="3629"/>
      <c r="F61" s="1808"/>
      <c r="G61" s="1808"/>
      <c r="H61" s="1810"/>
      <c r="I61" s="129"/>
      <c r="J61" s="2520">
        <f>J59+1</f>
        <v>7</v>
      </c>
      <c r="K61" s="3570" t="s">
        <v>1374</v>
      </c>
      <c r="L61" s="3570"/>
      <c r="M61" s="2537"/>
      <c r="N61" s="2538" t="e">
        <f ca="1">ROUND(N59*10000/'数据-汇总表'!E3,0)</f>
        <v>#VALUE!</v>
      </c>
      <c r="O61" s="2539"/>
    </row>
    <row r="62" spans="1:35" ht="12.75">
      <c r="A62" s="3589" t="s">
        <v>1375</v>
      </c>
      <c r="B62" s="3590"/>
      <c r="C62" s="2021"/>
      <c r="D62" s="2021" t="s">
        <v>1376</v>
      </c>
      <c r="E62" s="166" t="s">
        <v>1377</v>
      </c>
      <c r="F62" s="1808"/>
      <c r="G62" s="1808"/>
      <c r="H62" s="1810"/>
      <c r="I62" s="129"/>
    </row>
    <row r="63" spans="1:35" ht="12.75">
      <c r="A63" s="173" t="s">
        <v>330</v>
      </c>
      <c r="B63" s="167" t="s">
        <v>1378</v>
      </c>
      <c r="C63" s="2561">
        <f ca="1">ROUND((C64+C65)/(1+'数据-取费表'!C42),0)</f>
        <v>610</v>
      </c>
      <c r="D63" s="167"/>
      <c r="E63" s="168"/>
      <c r="F63" s="1808"/>
      <c r="G63" s="1808"/>
      <c r="H63" s="1810"/>
      <c r="I63" s="129"/>
      <c r="J63" s="3553"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f ca="1">D45</f>
        <v>640</v>
      </c>
      <c r="D64" s="170" t="s">
        <v>26</v>
      </c>
      <c r="E64" s="172"/>
      <c r="F64" s="1808"/>
      <c r="G64" s="1808"/>
      <c r="H64" s="1810"/>
      <c r="I64" s="129"/>
      <c r="J64" s="355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553"/>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553"/>
      <c r="K66" s="1332" t="s">
        <v>1387</v>
      </c>
      <c r="L66" s="1332" t="e">
        <f>M49*0.5%</f>
        <v>#VALUE!</v>
      </c>
      <c r="M66" s="302" t="e">
        <f>IF(L66&gt;0.5,0.5,ROUND(L66,0))</f>
        <v>#VALUE!</v>
      </c>
      <c r="N66" s="2541" t="s">
        <v>1388</v>
      </c>
      <c r="Z66" s="1752"/>
      <c r="AI66" s="1753"/>
    </row>
    <row r="67" spans="1:35" ht="14.25" customHeight="1">
      <c r="A67" s="173" t="s">
        <v>328</v>
      </c>
      <c r="B67" s="174" t="s">
        <v>1389</v>
      </c>
      <c r="C67" s="2565">
        <f ca="1">C63-C66</f>
        <v>610</v>
      </c>
      <c r="D67" s="170" t="s">
        <v>26</v>
      </c>
      <c r="E67" s="172"/>
      <c r="F67" s="1808"/>
      <c r="G67" s="1808"/>
      <c r="H67" s="1810"/>
      <c r="I67" s="129"/>
      <c r="J67" s="355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f ca="1">IF(C67&lt;=0,0,ROUND(C67*D68,0))</f>
        <v>34</v>
      </c>
      <c r="D68" s="2567">
        <f>'数据-取费表'!B41</f>
        <v>5.6000000000000001E-2</v>
      </c>
      <c r="E68" s="178"/>
      <c r="F68" s="1808"/>
      <c r="G68" s="1808"/>
      <c r="H68" s="1810"/>
      <c r="I68" s="129"/>
      <c r="J68" s="3553"/>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553"/>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610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4</v>
      </c>
      <c r="D78" s="2574">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606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151.5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362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610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4</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55" t="s">
        <v>2129</v>
      </c>
      <c r="H90" s="3556"/>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86" t="s">
        <v>1422</v>
      </c>
      <c r="F92" s="3587"/>
      <c r="G92" s="3587"/>
      <c r="H92" s="3588"/>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4</v>
      </c>
      <c r="D93" s="2574">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606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151.5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362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2" t="str">
        <f>C4</f>
        <v>成本法 (元)</v>
      </c>
      <c r="D101" s="2583" t="str">
        <f>D4</f>
        <v>收益法 (元)</v>
      </c>
      <c r="E101" s="3549" t="s">
        <v>1431</v>
      </c>
      <c r="F101" s="3550"/>
      <c r="G101" s="1827" t="s">
        <v>1432</v>
      </c>
      <c r="H101" s="2592">
        <f ca="1">H118</f>
        <v>640</v>
      </c>
      <c r="I101" s="129"/>
    </row>
    <row r="102" spans="1:35" ht="18.75" customHeight="1">
      <c r="A102" s="3581" t="s">
        <v>1433</v>
      </c>
      <c r="B102" s="2581" t="s">
        <v>1432</v>
      </c>
      <c r="C102" s="2582">
        <f ca="1">IF(D32="楼面单价",ROUND(C19,0),C19)</f>
        <v>754.70180000000005</v>
      </c>
      <c r="D102" s="2583">
        <f ca="1">IF(D32="楼面单价",ROUND(D19,0),D19)</f>
        <v>372.44159999999999</v>
      </c>
      <c r="E102" s="3549"/>
      <c r="F102" s="3550"/>
      <c r="G102" s="1827" t="s">
        <v>1434</v>
      </c>
      <c r="H102" s="2552">
        <f ca="1">I118</f>
        <v>38650</v>
      </c>
      <c r="I102" s="129"/>
    </row>
    <row r="103" spans="1:35" ht="42.75" customHeight="1">
      <c r="A103" s="3581"/>
      <c r="B103" s="2581" t="s">
        <v>1434</v>
      </c>
      <c r="C103" s="2584">
        <f ca="1">C20</f>
        <v>45577</v>
      </c>
      <c r="D103" s="2585">
        <f ca="1">D20</f>
        <v>22492</v>
      </c>
      <c r="E103" s="3542" t="s">
        <v>1435</v>
      </c>
      <c r="F103" s="3543"/>
      <c r="G103" s="1828" t="s">
        <v>1436</v>
      </c>
      <c r="H103" s="2592">
        <f>IF(D36="正常操作",H104+H105+H106,H105+H106)</f>
        <v>0</v>
      </c>
      <c r="I103" s="129"/>
    </row>
    <row r="104" spans="1:35" ht="18.75" customHeight="1">
      <c r="A104" s="3581" t="s">
        <v>1437</v>
      </c>
      <c r="B104" s="2586" t="s">
        <v>1432</v>
      </c>
      <c r="C104" s="2587">
        <f ca="1">H118</f>
        <v>640</v>
      </c>
      <c r="D104" s="2588"/>
      <c r="E104" s="1674" t="s">
        <v>1438</v>
      </c>
      <c r="F104" s="1666"/>
      <c r="G104" s="1828" t="s">
        <v>1436</v>
      </c>
      <c r="H104" s="2593">
        <f>IF(D36="同一抵押权人同一抵押物续贷",C36&amp;"（续贷，未扣减，详见特别提示）",C36)</f>
        <v>0</v>
      </c>
      <c r="I104" s="129"/>
    </row>
    <row r="105" spans="1:35" ht="18.75" customHeight="1" thickBot="1">
      <c r="A105" s="3591"/>
      <c r="B105" s="2589" t="s">
        <v>1434</v>
      </c>
      <c r="C105" s="2590">
        <f ca="1">I118</f>
        <v>38650</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2" t="str">
        <f>IF(项目基本情况!E8="已注销","——","3.房地产抵押价值")</f>
        <v>3.房地产抵押价值</v>
      </c>
      <c r="F107" s="3550"/>
      <c r="G107" s="1827" t="s">
        <v>1432</v>
      </c>
      <c r="H107" s="2592">
        <f ca="1">IF(E107="——","——",H101-H103)</f>
        <v>640</v>
      </c>
      <c r="I107" s="129"/>
    </row>
    <row r="108" spans="1:35" ht="18.75" customHeight="1">
      <c r="A108" s="129"/>
      <c r="B108" s="129"/>
      <c r="C108" s="129"/>
      <c r="D108" s="129"/>
      <c r="E108" s="3582"/>
      <c r="F108" s="3550"/>
      <c r="G108" s="1827" t="s">
        <v>1434</v>
      </c>
      <c r="H108" s="2552">
        <f ca="1">IF(H107=H101,H102,ROUND(H107*10000/'数据-汇总表'!E3,0))</f>
        <v>38650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5" t="str">
        <f>IF(E109="——","——",H101-H105-H106)</f>
        <v>——</v>
      </c>
      <c r="I109" s="129"/>
    </row>
    <row r="110" spans="1:35" ht="18.75" customHeight="1">
      <c r="A110" s="129"/>
      <c r="B110" s="129"/>
      <c r="C110" s="129"/>
      <c r="D110" s="129"/>
      <c r="E110" s="3582"/>
      <c r="F110" s="3550"/>
      <c r="G110" s="1827" t="s">
        <v>1434</v>
      </c>
      <c r="H110" s="2552"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2" t="str">
        <f>IF(E111="——","——",N59)</f>
        <v>——</v>
      </c>
      <c r="I111" s="129"/>
    </row>
    <row r="112" spans="1:35" ht="18.75" customHeight="1" thickBot="1">
      <c r="A112" s="129"/>
      <c r="B112" s="129"/>
      <c r="C112" s="129"/>
      <c r="D112" s="129"/>
      <c r="E112" s="3584"/>
      <c r="F112" s="3585"/>
      <c r="G112" s="1830" t="s">
        <v>1434</v>
      </c>
      <c r="H112" s="2596"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597" t="str">
        <f>项目基本情况!S2</f>
        <v>北京市房地产</v>
      </c>
      <c r="B118" s="2329">
        <f>M18</f>
        <v>165.59</v>
      </c>
      <c r="C118" s="2329">
        <f>M19</f>
        <v>0</v>
      </c>
      <c r="D118" s="2329">
        <f ca="1">ROUND(IF(D32="总价",C34,E118*B118/10000),0)</f>
        <v>28</v>
      </c>
      <c r="E118" s="2329">
        <f ca="1">ROUND(IF(C33="自定义",IF(D32="楼面单价",C34,D118*10000/B118),I118-G118),0)</f>
        <v>1691</v>
      </c>
      <c r="F118" s="2329">
        <f ca="1">ROUND(IF(D32="总价",C35,G118*B118/10000),0)</f>
        <v>612</v>
      </c>
      <c r="G118" s="2329">
        <f ca="1">ROUND(IF(D32="楼面单价",C35,F118*10000/B118),0)</f>
        <v>36959</v>
      </c>
      <c r="H118" s="2329">
        <f ca="1">ROUND(IF(D32="总价",C32,I118*B118/10000),0)</f>
        <v>640</v>
      </c>
      <c r="I118" s="2329">
        <f ca="1">ROUND(IF(D32="楼面单价",C32,H118*10000/B118),0)</f>
        <v>38650</v>
      </c>
    </row>
    <row r="119" spans="1:27" ht="18.75" customHeight="1">
      <c r="A119" s="3557" t="s">
        <v>1452</v>
      </c>
      <c r="B119" s="3557"/>
      <c r="C119" s="3557"/>
      <c r="D119" s="3563" t="str">
        <f ca="1">NUMBERSTRING(INT(D118*10000),2)&amp;"元整"</f>
        <v>贰拾捌万元整</v>
      </c>
      <c r="E119" s="3564"/>
      <c r="F119" s="3563" t="str">
        <f ca="1">NUMBERSTRING(INT(F118*10000),2)&amp;"元整"</f>
        <v>陆佰壹拾贰万元整</v>
      </c>
      <c r="G119" s="3564"/>
      <c r="H119" s="3563" t="str">
        <f ca="1">NUMBERSTRING(INT(H118*10000),2)&amp;"元整"</f>
        <v>陆佰肆拾万元整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640</v>
      </c>
      <c r="E122" s="3559"/>
      <c r="F122" s="3559"/>
      <c r="G122" s="3559"/>
      <c r="H122" s="3559"/>
      <c r="I122" s="3560"/>
      <c r="AA122" s="725"/>
    </row>
    <row r="123" spans="1:27" ht="18.75" customHeight="1">
      <c r="A123" s="3557" t="s">
        <v>1452</v>
      </c>
      <c r="B123" s="3557"/>
      <c r="C123" s="3557"/>
      <c r="D123" s="3563" t="str">
        <f ca="1">NUMBERSTRING(INT(D122*10000),2)&amp;"元整"</f>
        <v>陆佰肆拾万元整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5556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165.59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165.59</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165.59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1.1999999999999999E-3</v>
      </c>
      <c r="D44" s="238"/>
      <c r="E44" s="238"/>
      <c r="F44" s="239"/>
      <c r="G44" s="3638"/>
    </row>
    <row r="45" spans="1:7" s="214" customFormat="1" ht="13.5" customHeight="1">
      <c r="A45" s="255" t="s">
        <v>1547</v>
      </c>
      <c r="B45" s="244" t="s">
        <v>1513</v>
      </c>
      <c r="C45" s="245">
        <f ca="1">C46</f>
        <v>17</v>
      </c>
      <c r="D45" s="235">
        <f ca="1">C47</f>
        <v>6.0000000000000001E-3</v>
      </c>
      <c r="E45" s="236" t="s">
        <v>1539</v>
      </c>
      <c r="F45" s="246">
        <f ca="1">F27</f>
        <v>0.2</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115</v>
      </c>
      <c r="D49" s="232"/>
      <c r="E49" s="232"/>
      <c r="F49" s="264"/>
      <c r="G49" s="234" t="s">
        <v>1554</v>
      </c>
    </row>
    <row r="50" spans="1:7" s="258" customFormat="1" ht="24">
      <c r="A50" s="255" t="s">
        <v>1555</v>
      </c>
      <c r="B50" s="210" t="s">
        <v>1556</v>
      </c>
      <c r="C50" s="232"/>
      <c r="D50" s="232"/>
      <c r="E50" s="232"/>
      <c r="F50" s="264">
        <f>IF('数据-取费表'!B24=0,'数据-取费表'!N16,1)</f>
        <v>0.76500000000000001</v>
      </c>
      <c r="G50" s="247" t="s">
        <v>1557</v>
      </c>
    </row>
    <row r="51" spans="1:7" ht="16.5" customHeight="1">
      <c r="A51" s="255" t="s">
        <v>1558</v>
      </c>
      <c r="B51" s="210" t="s">
        <v>1559</v>
      </c>
      <c r="C51" s="232">
        <f ca="1">ROUND(C49*F50,0)</f>
        <v>88</v>
      </c>
      <c r="D51" s="232"/>
      <c r="E51" s="232"/>
      <c r="F51" s="264"/>
      <c r="G51" s="234" t="s">
        <v>1560</v>
      </c>
    </row>
    <row r="52" spans="1:7" s="208" customFormat="1" ht="16.5" thickBot="1">
      <c r="A52" s="265" t="s">
        <v>1561</v>
      </c>
      <c r="B52" s="266"/>
      <c r="C52" s="267">
        <f ca="1">C31+C51</f>
        <v>92</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F36" sqref="F3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165.59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7"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Ⅱ—02</v>
      </c>
      <c r="J2" s="2002"/>
      <c r="K2" s="1119"/>
      <c r="L2" s="2003" t="s">
        <v>1939</v>
      </c>
      <c r="M2" s="864">
        <f>SUMPRODUCT((区片价!B10:B29=I2)*(区片价!C3:G3=E2)*(区片价!C10:G29))</f>
        <v>31590</v>
      </c>
      <c r="N2" s="866">
        <f>SUMPRODUCT((因素修正幅度!B10:B29=I2)*(因素修正幅度!C3:G3=E2)*(因素修正幅度!C10:G29))</f>
        <v>0.05</v>
      </c>
      <c r="O2" s="1119"/>
      <c r="P2" s="1119"/>
      <c r="Q2" s="1119"/>
      <c r="R2" s="1212">
        <v>1</v>
      </c>
      <c r="S2" s="3356">
        <f>ROUND(SUMPRODUCT((B106:B110=R2)*(C105:N105=G2)*(C106:N110)),4)</f>
        <v>1.5206</v>
      </c>
      <c r="T2" s="3356">
        <f t="shared" ref="T2:T16" si="0">ROUND($C$5*$C$22*$C$23*$C$24*S2*$C$28,0)</f>
        <v>38848</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5" t="s">
        <v>2438</v>
      </c>
      <c r="F3" s="2004" t="s">
        <v>3385</v>
      </c>
      <c r="G3" s="752">
        <f>IF(F3="宗地容积率",'数据-汇总表'!I4,IF(F3="估价对象容积率",'数据-汇总表'!I6,'数据-汇总表'!I7))</f>
        <v>3.5</v>
      </c>
      <c r="H3" s="170" t="s">
        <v>1943</v>
      </c>
      <c r="I3" s="775">
        <v>3</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30842</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646"/>
      <c r="B4" s="3647"/>
      <c r="C4" s="3647"/>
      <c r="D4" s="3648"/>
      <c r="E4" s="3648"/>
      <c r="F4" s="3648"/>
      <c r="G4" s="3648"/>
      <c r="H4" s="3648"/>
      <c r="I4" s="3648"/>
      <c r="J4" s="36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26649</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31559</v>
      </c>
      <c r="D5" s="1339">
        <f>ROUND(C6*C17+C20,0)</f>
        <v>31559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24115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31590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22983</v>
      </c>
      <c r="U6" s="1213"/>
      <c r="V6" s="3356">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1955</v>
      </c>
      <c r="X7" s="1214" t="str">
        <f>G2</f>
        <v>二级</v>
      </c>
      <c r="Y7" s="1214" t="s">
        <v>1956</v>
      </c>
      <c r="Z7" s="1215">
        <f>G3</f>
        <v>3.5</v>
      </c>
      <c r="AA7" s="1216"/>
      <c r="AB7" s="1216"/>
      <c r="AC7" s="1217"/>
      <c r="AD7" s="1218"/>
      <c r="AE7" s="1218"/>
      <c r="AF7" s="1218"/>
      <c r="AG7" s="1218"/>
      <c r="AH7" s="1218"/>
      <c r="AI7" s="1218"/>
      <c r="AJ7" s="1219"/>
    </row>
    <row r="8" spans="1:36" ht="25.5">
      <c r="A8" s="3296"/>
      <c r="B8" s="170" t="s">
        <v>1957</v>
      </c>
      <c r="C8" s="2026" t="s">
        <v>3386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643" t="s">
        <v>1960</v>
      </c>
      <c r="X8" s="36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45"/>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4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6">
        <f t="shared" si="0"/>
        <v>0</v>
      </c>
      <c r="U13" s="1213"/>
      <c r="V13" s="3356">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6"/>
      <c r="AE16" s="2786"/>
      <c r="AF16" s="2786"/>
      <c r="AG16" s="2786"/>
      <c r="AH16" s="2786"/>
      <c r="AI16" s="2786"/>
      <c r="AJ16" s="2787"/>
    </row>
    <row r="17" spans="1:37">
      <c r="A17" s="3325" t="s">
        <v>3248</v>
      </c>
      <c r="B17" s="3318" t="s">
        <v>3249</v>
      </c>
      <c r="C17" s="3326">
        <f>ROUND(IF(OR(E2="工业",E2="公共服务"),1,IF(AND(E18=0,E19=0),1,IF(AND(E18=J24,E19=G19),0.8,IF(E19=0,1+E17*(-0.2),1+E17*G17*(-0.2))))),4)</f>
        <v>1</v>
      </c>
      <c r="D17" s="3319" t="s">
        <v>3250</v>
      </c>
      <c r="E17" s="3326">
        <f>ROUND(G18/I18,2)</f>
        <v>0</v>
      </c>
      <c r="F17" s="3319" t="s">
        <v>3253</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7"/>
      <c r="C18" s="3323"/>
      <c r="D18" s="3320" t="s">
        <v>3251</v>
      </c>
      <c r="E18" s="3324"/>
      <c r="F18" s="3321" t="s">
        <v>3254</v>
      </c>
      <c r="G18" s="3323">
        <f>ROUND(1-(1/(POWER(1+G24,E18))),4)</f>
        <v>0</v>
      </c>
      <c r="H18" s="3321" t="s">
        <v>3256</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0"/>
      <c r="B19" s="3331"/>
      <c r="C19" s="3332"/>
      <c r="D19" s="3332" t="s">
        <v>3252</v>
      </c>
      <c r="E19" s="3333"/>
      <c r="F19" s="3334" t="s">
        <v>3255</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50" t="s">
        <v>3257</v>
      </c>
      <c r="B20" s="167" t="s">
        <v>1994</v>
      </c>
      <c r="C20" s="3322">
        <f>ROUND(IF(F21="与级别开发程度一致",0,(G21-E21)/C21),0)</f>
        <v>-31</v>
      </c>
      <c r="D20" s="3336" t="s">
        <v>1998</v>
      </c>
      <c r="E20" s="3337"/>
      <c r="F20" s="3656" t="s">
        <v>1995</v>
      </c>
      <c r="G20" s="3657"/>
      <c r="H20" s="3449" t="s">
        <v>3379</v>
      </c>
      <c r="I20" s="3449" t="s">
        <v>3380</v>
      </c>
      <c r="J20" s="3450" t="s">
        <v>3381</v>
      </c>
      <c r="K20" s="3449" t="s">
        <v>3382</v>
      </c>
      <c r="L20" s="3449" t="s">
        <v>3383</v>
      </c>
      <c r="M20" s="3449" t="s">
        <v>3384</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5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3402</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45034</v>
      </c>
      <c r="H23" s="3338" t="s">
        <v>3259</v>
      </c>
      <c r="I23" s="3339" t="str">
        <f>IF(H23="季度增幅（自定义）",SUMIF(N25:N28,E2,O25:O28),"")</f>
        <v/>
      </c>
      <c r="J23" s="3441" t="s">
        <v>3258</v>
      </c>
      <c r="K23" s="1125"/>
      <c r="L23" s="2055" t="s">
        <v>2004</v>
      </c>
      <c r="M23" s="1328">
        <f>ROUND(SUMIF(地价!B2:G2,E2,地价!B16:G16),0)</f>
        <v>350</v>
      </c>
      <c r="N23" s="2056" t="s">
        <v>2005</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0.76500000000000001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3401</v>
      </c>
      <c r="C25" s="771">
        <f>IF(B25="容积率修正",IF(G3&lt;10,D26,J26),C27)</f>
        <v>1.0430999999999999</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0" t="s">
        <v>3260</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1.0430999999999999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1.0323</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6" t="s">
        <v>1936</v>
      </c>
      <c r="M30" s="3347" t="s">
        <v>1990</v>
      </c>
      <c r="N30" s="3347" t="s">
        <v>1991</v>
      </c>
      <c r="O30" s="3347" t="s">
        <v>1992</v>
      </c>
      <c r="P30" s="3347" t="s">
        <v>1993</v>
      </c>
      <c r="Q30" s="3350"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8" t="s">
        <v>1996</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9" t="s">
        <v>1999</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26649</v>
      </c>
      <c r="D33" s="2098">
        <f>'数据-基础表'!I13</f>
        <v>165.59</v>
      </c>
      <c r="E33" s="773">
        <f>ROUND(C33*D33/10000,0)</f>
        <v>441</v>
      </c>
      <c r="F33" s="3341" t="s">
        <v>3263</v>
      </c>
      <c r="G33" s="2099"/>
      <c r="H33" s="2099"/>
      <c r="I33" s="2099"/>
      <c r="J33" s="2100"/>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2"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2" t="s">
        <v>3268</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4"/>
      <c r="B37" s="2113" t="s">
        <v>2036</v>
      </c>
      <c r="C37" s="175">
        <f>ROUND(D5*C22*C23*C24*C28*F37,0)</f>
        <v>17884</v>
      </c>
      <c r="D37" s="2098"/>
      <c r="E37" s="171">
        <f>ROUND(C37*D37/10000,0)</f>
        <v>0</v>
      </c>
      <c r="F37" s="171">
        <f>SUMIF(修正!A57:A68,G2,修正!B57:B68)</f>
        <v>0.7</v>
      </c>
      <c r="G37" s="171">
        <f>ROUND(IF(E2="工业",C37*$M$42,C37*$M$41),0)</f>
        <v>4471</v>
      </c>
      <c r="H37" s="171">
        <f>D37</f>
        <v>0</v>
      </c>
      <c r="I37" s="171">
        <f>ROUND(G37*H37/10000,0)</f>
        <v>0</v>
      </c>
      <c r="J37" s="3009"/>
      <c r="K37" s="3354" t="s">
        <v>3269</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5"/>
      <c r="B38" s="2041" t="s">
        <v>2037</v>
      </c>
      <c r="C38" s="175">
        <f>ROUND(D5*C22*C23*C24*C28*F38,0)</f>
        <v>10219</v>
      </c>
      <c r="D38" s="2098"/>
      <c r="E38" s="171">
        <f t="shared" ref="E38:E42" si="4">ROUND(C38*D38/10000,0)</f>
        <v>0</v>
      </c>
      <c r="F38" s="171">
        <f>SUMIF(修正!A57:A68,G2,修正!C57:C68)</f>
        <v>0.4</v>
      </c>
      <c r="G38" s="171">
        <f>ROUND(IF(E2="工业",C38*$M$42,C38*$M$41),0)</f>
        <v>2555</v>
      </c>
      <c r="H38" s="171">
        <f t="shared" ref="H38:H42" si="5">D38</f>
        <v>0</v>
      </c>
      <c r="I38" s="171">
        <f t="shared" ref="I38:I42" si="6">ROUND(G38*H38/10000,0)</f>
        <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655"/>
      <c r="B39" s="2041" t="s">
        <v>3262</v>
      </c>
      <c r="C39" s="175">
        <f>ROUND(D5*C22*C23*C24*C28*F39,0)</f>
        <v>7664</v>
      </c>
      <c r="D39" s="2098"/>
      <c r="E39" s="171">
        <f t="shared" si="4"/>
        <v>0</v>
      </c>
      <c r="F39" s="171">
        <f>SUMIF(修正!A57:A68,G2,修正!D57:D68)</f>
        <v>0.3</v>
      </c>
      <c r="G39" s="171">
        <f>ROUND(IF(E2="工业",C39*$M$42,C39*$M$41),0)</f>
        <v>1916</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7664</v>
      </c>
      <c r="D40" s="2098"/>
      <c r="E40" s="171">
        <f t="shared" si="4"/>
        <v>0</v>
      </c>
      <c r="F40" s="175">
        <f>SUMIF(修正!A57:A68,G2,修正!E57:E68)</f>
        <v>0.3</v>
      </c>
      <c r="G40" s="171">
        <f>ROUND(IF(E2="工业",C40*$M$42,C40*$M$41),0)</f>
        <v>1916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1.4999999999999999E-2</v>
      </c>
      <c r="E50" s="744">
        <f>ROUND(SUM(D50:D58),4)</f>
        <v>3.2300000000000002E-2</v>
      </c>
      <c r="F50" s="1814">
        <f>IF(E2="商业",SUMIF(L1:L12,G2,N1:N12),"——")</f>
        <v>0.05</v>
      </c>
      <c r="G50" s="1063">
        <v>7.4999999999999997E-3</v>
      </c>
      <c r="H50" s="1066">
        <f t="shared" ref="H50:H58" si="8">IFERROR(ROUNDDOWN($F$50*I50/2,4),"——")</f>
        <v>7.4999999999999997E-3</v>
      </c>
      <c r="I50" s="3362">
        <v>0.3</v>
      </c>
      <c r="J50" s="1064">
        <f t="shared" ref="J50:J58" si="9">K50+$G50</f>
        <v>1.4999999999999999E-2</v>
      </c>
      <c r="K50" s="1064">
        <f t="shared" ref="K50:K58" si="10">$L50+$G50</f>
        <v>7.4999999999999997E-3</v>
      </c>
      <c r="L50" s="1064">
        <v>0</v>
      </c>
      <c r="M50" s="1064">
        <f t="shared" ref="M50:N58" si="11">L50-$G50</f>
        <v>-7.4999999999999997E-3</v>
      </c>
      <c r="N50" s="1064">
        <f t="shared" si="11"/>
        <v>-1.4999999999999999E-2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3399</v>
      </c>
      <c r="D51" s="1065">
        <f t="shared" si="7"/>
        <v>5.4999999999999997E-3</v>
      </c>
      <c r="E51" s="745"/>
      <c r="F51" s="1814"/>
      <c r="G51" s="1063">
        <v>5.4999999999999997E-3</v>
      </c>
      <c r="H51" s="1066">
        <f t="shared" si="8"/>
        <v>5.4999999999999997E-3</v>
      </c>
      <c r="I51" s="3362">
        <v>0.22</v>
      </c>
      <c r="J51" s="1064">
        <f t="shared" si="9"/>
        <v>1.0999999999999999E-2</v>
      </c>
      <c r="K51" s="1064">
        <f t="shared" si="10"/>
        <v>5.4999999999999997E-3</v>
      </c>
      <c r="L51" s="1064">
        <v>0</v>
      </c>
      <c r="M51" s="1064">
        <f t="shared" si="11"/>
        <v>-5.4999999999999997E-3</v>
      </c>
      <c r="N51" s="1064">
        <f t="shared" si="11"/>
        <v>-1.0999999999999999E-2</v>
      </c>
      <c r="AA51" s="1120"/>
      <c r="AB51" s="1120"/>
      <c r="AC51" s="1120"/>
      <c r="AD51" s="1120"/>
      <c r="AE51" s="1120"/>
      <c r="AF51" s="1120"/>
      <c r="AG51" s="1120"/>
      <c r="AH51" s="1120"/>
      <c r="AI51" s="1120"/>
      <c r="AJ51" s="1120"/>
      <c r="AK51" s="1120"/>
    </row>
    <row r="52" spans="1:37" s="1119" customFormat="1" ht="36">
      <c r="A52" s="3364" t="s">
        <v>3272</v>
      </c>
      <c r="B52" s="2134">
        <f>估价对象房地状况!C19</f>
        <v>0</v>
      </c>
      <c r="C52" s="2044" t="s">
        <v>3399</v>
      </c>
      <c r="D52" s="1065">
        <f t="shared" si="7"/>
        <v>3.0000000000000001E-3</v>
      </c>
      <c r="E52" s="745"/>
      <c r="F52" s="1814"/>
      <c r="G52" s="1063">
        <v>3.0000000000000001E-3</v>
      </c>
      <c r="H52" s="1066">
        <f t="shared" si="8"/>
        <v>3.0000000000000001E-3</v>
      </c>
      <c r="I52" s="3362">
        <v>0.12</v>
      </c>
      <c r="J52" s="1064">
        <f t="shared" si="9"/>
        <v>6.0000000000000001E-3</v>
      </c>
      <c r="K52" s="1064">
        <f t="shared" si="10"/>
        <v>3.0000000000000001E-3</v>
      </c>
      <c r="L52" s="1064">
        <v>0</v>
      </c>
      <c r="M52" s="1064">
        <f t="shared" si="11"/>
        <v>-3.0000000000000001E-3</v>
      </c>
      <c r="N52" s="1064">
        <f t="shared" si="11"/>
        <v>-6.0000000000000001E-3</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1.1999999999999999E-3</v>
      </c>
      <c r="E53" s="745"/>
      <c r="F53" s="1814"/>
      <c r="G53" s="1063">
        <v>1.1999999999999999E-3</v>
      </c>
      <c r="H53" s="1066">
        <f t="shared" si="8"/>
        <v>1.1999999999999999E-3</v>
      </c>
      <c r="I53" s="3362">
        <v>0.05</v>
      </c>
      <c r="J53" s="1064">
        <f t="shared" si="9"/>
        <v>2.3999999999999998E-3</v>
      </c>
      <c r="K53" s="1064">
        <f t="shared" si="10"/>
        <v>1.1999999999999999E-3</v>
      </c>
      <c r="L53" s="1064">
        <v>0</v>
      </c>
      <c r="M53" s="1064">
        <f t="shared" si="11"/>
        <v>-1.1999999999999999E-3</v>
      </c>
      <c r="N53" s="1064">
        <f t="shared" si="11"/>
        <v>-2.3999999999999998E-3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3400</v>
      </c>
      <c r="D54" s="1065">
        <f t="shared" si="7"/>
        <v>0</v>
      </c>
      <c r="E54" s="745"/>
      <c r="F54" s="1814"/>
      <c r="G54" s="1063">
        <v>2E-3</v>
      </c>
      <c r="H54" s="1066">
        <f t="shared" si="8"/>
        <v>2E-3</v>
      </c>
      <c r="I54" s="3362">
        <v>0.08</v>
      </c>
      <c r="J54" s="1064">
        <f t="shared" si="9"/>
        <v>4.0000000000000001E-3</v>
      </c>
      <c r="K54" s="1064">
        <f t="shared" si="10"/>
        <v>2E-3</v>
      </c>
      <c r="L54" s="1064">
        <v>0</v>
      </c>
      <c r="M54" s="1064">
        <f t="shared" si="11"/>
        <v>-2E-3</v>
      </c>
      <c r="N54" s="1064">
        <f t="shared" si="11"/>
        <v>-4.0000000000000001E-3</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1.1999999999999999E-3</v>
      </c>
      <c r="E55" s="745"/>
      <c r="F55" s="1814"/>
      <c r="G55" s="1063">
        <v>1.1999999999999999E-3</v>
      </c>
      <c r="H55" s="1066">
        <f t="shared" si="8"/>
        <v>1.1999999999999999E-3</v>
      </c>
      <c r="I55" s="3362">
        <v>0.05</v>
      </c>
      <c r="J55" s="1064">
        <f t="shared" si="9"/>
        <v>2.3999999999999998E-3</v>
      </c>
      <c r="K55" s="1064">
        <f t="shared" si="10"/>
        <v>1.1999999999999999E-3</v>
      </c>
      <c r="L55" s="1064">
        <v>0</v>
      </c>
      <c r="M55" s="1064">
        <f t="shared" si="11"/>
        <v>-1.1999999999999999E-3</v>
      </c>
      <c r="N55" s="1064">
        <f t="shared" si="11"/>
        <v>-2.3999999999999998E-3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3399</v>
      </c>
      <c r="D56" s="1065">
        <f t="shared" si="7"/>
        <v>1.1999999999999999E-3</v>
      </c>
      <c r="E56" s="745"/>
      <c r="F56" s="1814"/>
      <c r="G56" s="1063">
        <v>1.1999999999999999E-3</v>
      </c>
      <c r="H56" s="1066">
        <f t="shared" si="8"/>
        <v>1.1999999999999999E-3</v>
      </c>
      <c r="I56" s="3362">
        <v>0.05</v>
      </c>
      <c r="J56" s="1064">
        <f t="shared" si="9"/>
        <v>2.3999999999999998E-3</v>
      </c>
      <c r="K56" s="1064">
        <f t="shared" si="10"/>
        <v>1.1999999999999999E-3</v>
      </c>
      <c r="L56" s="1064">
        <v>0</v>
      </c>
      <c r="M56" s="1064">
        <f t="shared" si="11"/>
        <v>-1.1999999999999999E-3</v>
      </c>
      <c r="N56" s="1064">
        <f t="shared" si="11"/>
        <v>-2.3999999999999998E-3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3398</v>
      </c>
      <c r="D57" s="1065">
        <f t="shared" si="7"/>
        <v>4.0000000000000001E-3</v>
      </c>
      <c r="E57" s="745"/>
      <c r="F57" s="1814"/>
      <c r="G57" s="1063">
        <v>2E-3</v>
      </c>
      <c r="H57" s="1066">
        <f t="shared" si="8"/>
        <v>2E-3</v>
      </c>
      <c r="I57" s="3362">
        <v>0.08</v>
      </c>
      <c r="J57" s="1064">
        <f t="shared" si="9"/>
        <v>4.0000000000000001E-3</v>
      </c>
      <c r="K57" s="1064">
        <f t="shared" si="10"/>
        <v>2E-3</v>
      </c>
      <c r="L57" s="1064">
        <v>0</v>
      </c>
      <c r="M57" s="1064">
        <f t="shared" si="11"/>
        <v>-2E-3</v>
      </c>
      <c r="N57" s="1064">
        <f t="shared" si="11"/>
        <v>-4.0000000000000001E-3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3399</v>
      </c>
      <c r="D58" s="1065">
        <f t="shared" si="7"/>
        <v>1.1999999999999999E-3</v>
      </c>
      <c r="E58" s="746"/>
      <c r="F58" s="1814"/>
      <c r="G58" s="1063">
        <v>1.1999999999999999E-3</v>
      </c>
      <c r="H58" s="1066">
        <f t="shared" si="8"/>
        <v>1.1999999999999999E-3</v>
      </c>
      <c r="I58" s="3363">
        <v>0.05</v>
      </c>
      <c r="J58" s="1064">
        <f t="shared" si="9"/>
        <v>2.3999999999999998E-3</v>
      </c>
      <c r="K58" s="1064">
        <f t="shared" si="10"/>
        <v>1.1999999999999999E-3</v>
      </c>
      <c r="L58" s="1064">
        <v>0</v>
      </c>
      <c r="M58" s="1064">
        <f t="shared" si="11"/>
        <v>-1.1999999999999999E-3</v>
      </c>
      <c r="N58" s="1064">
        <f t="shared" si="11"/>
        <v>-2.3999999999999998E-3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3272</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3272</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3273</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2611</v>
      </c>
      <c r="B91" s="3373">
        <f>1+E93</f>
        <v>1</v>
      </c>
      <c r="C91" s="3366"/>
      <c r="D91" s="3367"/>
      <c r="E91" s="1814"/>
      <c r="F91" s="1814"/>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52" t="s">
        <v>3297</v>
      </c>
      <c r="B103" s="3652"/>
      <c r="C103" s="3652"/>
      <c r="D103" s="3652"/>
      <c r="E103" s="3652"/>
      <c r="F103" s="3652"/>
      <c r="G103" s="3652"/>
      <c r="H103" s="3652"/>
      <c r="I103" s="3652"/>
      <c r="J103" s="3652"/>
      <c r="K103" s="3385"/>
      <c r="L103" s="3385"/>
      <c r="M103" s="3385"/>
      <c r="N103" s="3385"/>
    </row>
    <row r="104" spans="1:14">
      <c r="A104" s="3653" t="s">
        <v>3298</v>
      </c>
      <c r="B104" s="3653" t="s">
        <v>3299</v>
      </c>
      <c r="C104" s="3386" t="s">
        <v>3300</v>
      </c>
      <c r="D104" s="3387"/>
      <c r="E104" s="3387"/>
      <c r="F104" s="3387"/>
      <c r="G104" s="3387"/>
      <c r="H104" s="3387"/>
      <c r="I104" s="3387"/>
      <c r="J104" s="3388"/>
      <c r="K104" s="3389"/>
      <c r="L104" s="3389"/>
      <c r="M104" s="3389"/>
      <c r="N104" s="3389"/>
    </row>
    <row r="105" spans="1:14">
      <c r="A105" s="3653"/>
      <c r="B105" s="3653"/>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639"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4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4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4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4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40"/>
      <c r="B111" s="3390" t="s">
        <v>3271</v>
      </c>
      <c r="C111" s="3391">
        <f>$I$3</f>
        <v>3</v>
      </c>
      <c r="D111" s="3391">
        <f t="shared" ref="D111:M111" si="32">$I$3</f>
        <v>3</v>
      </c>
      <c r="E111" s="3391">
        <f t="shared" si="32"/>
        <v>3</v>
      </c>
      <c r="F111" s="3391">
        <f t="shared" si="32"/>
        <v>3</v>
      </c>
      <c r="G111" s="3391">
        <f t="shared" si="32"/>
        <v>3</v>
      </c>
      <c r="H111" s="3391">
        <f t="shared" si="32"/>
        <v>3</v>
      </c>
      <c r="I111" s="3391">
        <f t="shared" si="32"/>
        <v>3</v>
      </c>
      <c r="J111" s="3391">
        <f t="shared" si="32"/>
        <v>3</v>
      </c>
      <c r="K111" s="3391">
        <f t="shared" si="32"/>
        <v>3</v>
      </c>
      <c r="L111" s="3391">
        <f t="shared" si="32"/>
        <v>3</v>
      </c>
      <c r="M111" s="3391">
        <f t="shared" si="32"/>
        <v>3</v>
      </c>
      <c r="N111" s="3391">
        <f>$I$3</f>
        <v>3</v>
      </c>
    </row>
    <row r="112" spans="1:14">
      <c r="A112" s="3641"/>
      <c r="B112" s="3390">
        <v>6</v>
      </c>
      <c r="C112" s="3383">
        <f>(-0.5556*(C111^2)-0.2719*C111+8944)*(10^(-4))</f>
        <v>0.89381839000000007</v>
      </c>
      <c r="D112" s="3383">
        <f>(-0.5556*(D111^2)-0.2719*D111+8944)*(10^(-4))</f>
        <v>0.89381839000000007</v>
      </c>
      <c r="E112" s="3383">
        <f>(-0.7912*(E111^2)-11.3794*E111+8482)*(10^(-4))</f>
        <v>0.84407410000000005</v>
      </c>
      <c r="F112" s="3383">
        <f t="shared" ref="F112:I112" si="33">(-0.7912*(F111^2)-11.3794*F111+8482)*(10^(-4))</f>
        <v>0.84407410000000005</v>
      </c>
      <c r="G112" s="3383">
        <f t="shared" si="33"/>
        <v>0.84407410000000005</v>
      </c>
      <c r="H112" s="3383">
        <f t="shared" si="33"/>
        <v>0.84407410000000005</v>
      </c>
      <c r="I112" s="3383">
        <f t="shared" si="33"/>
        <v>0.84407410000000005</v>
      </c>
      <c r="J112" s="3383">
        <f>(-0.989*(J111^2)-63.78*J111+7771)*(10^(-4))</f>
        <v>0.75707590000000002</v>
      </c>
      <c r="K112" s="3383">
        <f t="shared" ref="K112:N112" si="34">(-0.989*(K111^2)-63.78*K111+7771)*(10^(-4))</f>
        <v>0.75707590000000002</v>
      </c>
      <c r="L112" s="3383">
        <f t="shared" si="34"/>
        <v>0.75707590000000002</v>
      </c>
      <c r="M112" s="3383">
        <f t="shared" si="34"/>
        <v>0.75707590000000002</v>
      </c>
      <c r="N112" s="3383">
        <f t="shared" si="34"/>
        <v>0.75707590000000002</v>
      </c>
    </row>
    <row r="113" spans="1:14">
      <c r="A113" s="3642" t="s">
        <v>3314</v>
      </c>
      <c r="B113" s="3642"/>
      <c r="C113" s="3642"/>
      <c r="D113" s="3642"/>
      <c r="E113" s="3642"/>
      <c r="F113" s="3642"/>
      <c r="G113" s="3642"/>
      <c r="H113" s="3642"/>
      <c r="I113" s="3642"/>
      <c r="J113" s="364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3.5</v>
      </c>
      <c r="C116" s="3395" t="s">
        <v>3316</v>
      </c>
      <c r="D116" s="3396">
        <f>SUMPRODUCT((A118:A122=F116)*(B117:M117=H116)*B118:M122)</f>
        <v>0.95830000000000004</v>
      </c>
      <c r="E116" s="2000" t="s">
        <v>3317</v>
      </c>
      <c r="F116" s="3397" t="str">
        <f>E2</f>
        <v>商业</v>
      </c>
      <c r="G116" s="2000" t="s">
        <v>3318</v>
      </c>
      <c r="H116" s="3397" t="str">
        <f>G2</f>
        <v>二级</v>
      </c>
      <c r="I116" s="2000"/>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0.95830000000000004</v>
      </c>
      <c r="C118" s="3383">
        <f>B118</f>
        <v>0.95830000000000004</v>
      </c>
      <c r="D118" s="3383">
        <f>ROUND(0.949-0.014*B116,4)</f>
        <v>0.9</v>
      </c>
      <c r="E118" s="3383">
        <f>D118</f>
        <v>0.9</v>
      </c>
      <c r="F118" s="3383">
        <f>E118</f>
        <v>0.9</v>
      </c>
      <c r="G118" s="3383">
        <f>F118</f>
        <v>0.9</v>
      </c>
      <c r="H118" s="3383">
        <f>G118</f>
        <v>0.9</v>
      </c>
      <c r="I118" s="3383">
        <f>ROUND(0.8486-0.018*B116,4)</f>
        <v>0.78559999999999997</v>
      </c>
      <c r="J118" s="3383">
        <f t="shared" ref="J118:M122" si="35">I118</f>
        <v>0.78559999999999997</v>
      </c>
      <c r="K118" s="3383">
        <f t="shared" si="35"/>
        <v>0.78559999999999997</v>
      </c>
      <c r="L118" s="3383">
        <f t="shared" si="35"/>
        <v>0.78559999999999997</v>
      </c>
      <c r="M118" s="3406">
        <f t="shared" si="35"/>
        <v>0.78559999999999997</v>
      </c>
      <c r="N118" s="3393"/>
    </row>
    <row r="119" spans="1:14">
      <c r="A119" s="3405" t="s">
        <v>3332</v>
      </c>
      <c r="B119" s="3383">
        <f>ROUND(0.993-0.0112*B116,4)</f>
        <v>0.95379999999999998</v>
      </c>
      <c r="C119" s="3383">
        <f>B119</f>
        <v>0.95379999999999998</v>
      </c>
      <c r="D119" s="3383">
        <f>ROUND(0.9415-0.0142*B116,4)</f>
        <v>0.89180000000000004</v>
      </c>
      <c r="E119" s="3383">
        <f t="shared" ref="E119:H120" si="36">D119</f>
        <v>0.89180000000000004</v>
      </c>
      <c r="F119" s="3383">
        <f t="shared" si="36"/>
        <v>0.89180000000000004</v>
      </c>
      <c r="G119" s="3383">
        <f t="shared" si="36"/>
        <v>0.89180000000000004</v>
      </c>
      <c r="H119" s="3383">
        <f t="shared" si="36"/>
        <v>0.89180000000000004</v>
      </c>
      <c r="I119" s="3383">
        <f>ROUND(0.838-0.0182*B116,4)</f>
        <v>0.77429999999999999</v>
      </c>
      <c r="J119" s="3383">
        <f t="shared" si="35"/>
        <v>0.77429999999999999</v>
      </c>
      <c r="K119" s="3383">
        <f t="shared" si="35"/>
        <v>0.77429999999999999</v>
      </c>
      <c r="L119" s="3383">
        <f t="shared" si="35"/>
        <v>0.77429999999999999</v>
      </c>
      <c r="M119" s="3406">
        <f t="shared" si="35"/>
        <v>0.77429999999999999</v>
      </c>
      <c r="N119" s="3393"/>
    </row>
    <row r="120" spans="1:14">
      <c r="A120" s="3405" t="s">
        <v>3333</v>
      </c>
      <c r="B120" s="3383">
        <f>ROUND(0.9448-0.0115*B116,4)</f>
        <v>0.90459999999999996</v>
      </c>
      <c r="C120" s="3383">
        <f>B120</f>
        <v>0.90459999999999996</v>
      </c>
      <c r="D120" s="3383">
        <f>ROUND(0.937-0.0145*B116,4)</f>
        <v>0.88629999999999998</v>
      </c>
      <c r="E120" s="3383">
        <f t="shared" si="36"/>
        <v>0.88629999999999998</v>
      </c>
      <c r="F120" s="3383">
        <f t="shared" si="36"/>
        <v>0.88629999999999998</v>
      </c>
      <c r="G120" s="3383">
        <f t="shared" si="36"/>
        <v>0.88629999999999998</v>
      </c>
      <c r="H120" s="3383">
        <f t="shared" si="36"/>
        <v>0.88629999999999998</v>
      </c>
      <c r="I120" s="3383">
        <f>ROUND(0.7965-0.0185*B116,4)</f>
        <v>0.73180000000000001</v>
      </c>
      <c r="J120" s="3383">
        <f t="shared" si="35"/>
        <v>0.73180000000000001</v>
      </c>
      <c r="K120" s="3383">
        <f t="shared" si="35"/>
        <v>0.73180000000000001</v>
      </c>
      <c r="L120" s="3383">
        <f t="shared" si="35"/>
        <v>0.73180000000000001</v>
      </c>
      <c r="M120" s="3406">
        <f t="shared" si="35"/>
        <v>0.73180000000000001</v>
      </c>
      <c r="N120" s="3393"/>
    </row>
    <row r="121" spans="1:14" ht="13.5" thickBot="1">
      <c r="A121" s="3407" t="s">
        <v>3334</v>
      </c>
      <c r="B121" s="3408">
        <f>ROUND(0.7836-0.012*B116,4)</f>
        <v>0.74160000000000004</v>
      </c>
      <c r="C121" s="3408">
        <f>B121</f>
        <v>0.74160000000000004</v>
      </c>
      <c r="D121" s="3408">
        <f>ROUND(0.753-0.015*B116,4)</f>
        <v>0.70050000000000001</v>
      </c>
      <c r="E121" s="3408">
        <f>D121</f>
        <v>0.70050000000000001</v>
      </c>
      <c r="F121" s="3408">
        <f>E121</f>
        <v>0.70050000000000001</v>
      </c>
      <c r="G121" s="3408">
        <f>ROUND(0.6612-0.018*B116,4)</f>
        <v>0.59819999999999995</v>
      </c>
      <c r="H121" s="3408">
        <f>G121</f>
        <v>0.59819999999999995</v>
      </c>
      <c r="I121" s="3408">
        <f>ROUND(0.5905-0.019*B116,4)</f>
        <v>0.52400000000000002</v>
      </c>
      <c r="J121" s="3408">
        <f t="shared" si="35"/>
        <v>0.52400000000000002</v>
      </c>
      <c r="K121" s="3408">
        <f t="shared" si="35"/>
        <v>0.52400000000000002</v>
      </c>
      <c r="L121" s="3408">
        <f t="shared" si="35"/>
        <v>0.52400000000000002</v>
      </c>
      <c r="M121" s="3409">
        <f t="shared" si="35"/>
        <v>0.52400000000000002</v>
      </c>
      <c r="N121" s="3393"/>
    </row>
    <row r="122" spans="1:14">
      <c r="A122" s="3410" t="s">
        <v>2611</v>
      </c>
      <c r="B122" s="3383">
        <f>ROUND(0.9404-0.0106*B116,4)</f>
        <v>0.90329999999999999</v>
      </c>
      <c r="C122" s="3383">
        <f>B122</f>
        <v>0.90329999999999999</v>
      </c>
      <c r="D122" s="3383">
        <f>ROUND(0.8955-0.0135*B116,4)</f>
        <v>0.84830000000000005</v>
      </c>
      <c r="E122" s="3383">
        <f t="shared" ref="E122:H122" si="37">D122</f>
        <v>0.84830000000000005</v>
      </c>
      <c r="F122" s="3383">
        <f t="shared" si="37"/>
        <v>0.84830000000000005</v>
      </c>
      <c r="G122" s="3383">
        <f t="shared" si="37"/>
        <v>0.84830000000000005</v>
      </c>
      <c r="H122" s="3383">
        <f t="shared" si="37"/>
        <v>0.84830000000000005</v>
      </c>
      <c r="I122" s="3383">
        <f>ROUND(0.7632-0.0166*B116,4)</f>
        <v>0.70509999999999995</v>
      </c>
      <c r="J122" s="3383">
        <f t="shared" si="35"/>
        <v>0.70509999999999995</v>
      </c>
      <c r="K122" s="3383">
        <f t="shared" si="35"/>
        <v>0.70509999999999995</v>
      </c>
      <c r="L122" s="3383">
        <f t="shared" si="35"/>
        <v>0.70509999999999995</v>
      </c>
      <c r="M122" s="3406">
        <f t="shared" si="35"/>
        <v>0.70509999999999995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6" sqref="K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754.70180000000005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45577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4547399</v>
      </c>
      <c r="D5" s="211" t="s">
        <v>1469</v>
      </c>
      <c r="E5" s="212" t="s">
        <v>1470</v>
      </c>
      <c r="F5" s="212" t="s">
        <v>1471</v>
      </c>
      <c r="G5" s="213"/>
    </row>
    <row r="6" spans="1:8" s="214" customFormat="1" ht="13.5" customHeight="1">
      <c r="A6" s="778" t="s">
        <v>1472</v>
      </c>
      <c r="B6" s="215" t="s">
        <v>1473</v>
      </c>
      <c r="C6" s="216">
        <f>ROUND(基准地价修正!C33*基准地价修正!D33,0)</f>
        <v>4412808</v>
      </c>
      <c r="D6" s="217"/>
      <c r="E6" s="218"/>
      <c r="F6" s="218"/>
      <c r="G6" s="219"/>
    </row>
    <row r="7" spans="1:8" s="214" customFormat="1" ht="13.5" customHeight="1">
      <c r="A7" s="778" t="s">
        <v>1474</v>
      </c>
      <c r="B7" s="215" t="s">
        <v>1475</v>
      </c>
      <c r="C7" s="220">
        <f>ROUND(C6*F7,0)</f>
        <v>134591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165.59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33118</v>
      </c>
      <c r="D19" s="849">
        <f ca="1">D9+D10</f>
        <v>165.59</v>
      </c>
      <c r="E19" s="211">
        <f>'数据-取费表'!B31</f>
        <v>200</v>
      </c>
      <c r="F19" s="231"/>
      <c r="G19" s="1856"/>
    </row>
    <row r="20" spans="1:7" s="214" customFormat="1" ht="13.5" customHeight="1">
      <c r="A20" s="255" t="s">
        <v>1574</v>
      </c>
      <c r="B20" s="210" t="s">
        <v>1575</v>
      </c>
      <c r="C20" s="232">
        <f ca="1">ROUND((C5+C19)*F20,0)</f>
        <v>137416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393775</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385266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2806</v>
      </c>
      <c r="D24" s="238"/>
      <c r="E24" s="238"/>
      <c r="F24" s="239"/>
      <c r="G24" s="240" t="s">
        <v>1586</v>
      </c>
    </row>
    <row r="25" spans="1:7" s="214" customFormat="1" ht="24">
      <c r="A25" s="780" t="s">
        <v>1476</v>
      </c>
      <c r="B25" s="215" t="s">
        <v>1587</v>
      </c>
      <c r="C25" s="1128">
        <f ca="1">ROUND(IF('数据-取费表'!B22&lt;=1,C20*F22*'数据-取费表'!B22/2,C20*(POWER((1+F22),'数据-取费表'!B22/2)-1)),0)</f>
        <v>5703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943587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943587</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6657828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826708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745155</v>
      </c>
      <c r="D34" s="217"/>
      <c r="E34" s="220"/>
      <c r="F34" s="257"/>
      <c r="G34" s="219"/>
    </row>
    <row r="35" spans="1:7" ht="13.5" customHeight="1">
      <c r="A35" s="780" t="s">
        <v>351</v>
      </c>
      <c r="B35" s="215" t="s">
        <v>1527</v>
      </c>
      <c r="C35" s="220">
        <f ca="1">ROUND(C34*F35,0)</f>
        <v>37258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33118</v>
      </c>
      <c r="D37" s="217">
        <f ca="1">D19</f>
        <v>165.59</v>
      </c>
      <c r="E37" s="249">
        <f>'数据-取费表'!B35</f>
        <v>200</v>
      </c>
      <c r="F37" s="259"/>
      <c r="G37" s="261"/>
    </row>
    <row r="38" spans="1:7" ht="13.5" customHeight="1">
      <c r="A38" s="780" t="s">
        <v>354</v>
      </c>
      <c r="B38" s="215" t="s">
        <v>1533</v>
      </c>
      <c r="C38" s="220">
        <f ca="1">ROUND(C34*F38,0)</f>
        <v>11177</v>
      </c>
      <c r="D38" s="220"/>
      <c r="E38" s="220"/>
      <c r="F38" s="259">
        <f>'数据-取费表'!B36</f>
        <v>1.4999999999999999E-2</v>
      </c>
      <c r="G38" s="219" t="s">
        <v>1528</v>
      </c>
    </row>
    <row r="39" spans="1:7" s="214" customFormat="1" ht="13.5" customHeight="1">
      <c r="A39" s="255" t="s">
        <v>1534</v>
      </c>
      <c r="B39" s="210" t="s">
        <v>1535</v>
      </c>
      <c r="C39" s="232">
        <f ca="1">ROUND(C33*F20,0)</f>
        <v>24801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35337</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34308</v>
      </c>
      <c r="D42" s="238"/>
      <c r="E42" s="238"/>
      <c r="F42" s="239"/>
      <c r="G42" s="3636" t="s">
        <v>1591</v>
      </c>
    </row>
    <row r="43" spans="1:7" ht="13.5" customHeight="1">
      <c r="A43" s="780" t="s">
        <v>347</v>
      </c>
      <c r="B43" s="215" t="s">
        <v>1545</v>
      </c>
      <c r="C43" s="238">
        <f ca="1">ROUND(IF('数据-取费表'!B22&lt;=1,C39*F22*'数据-取费表'!B20/2,C39*(POWER((1+F22),'数据-取费表'!B20/2)-1)),0)</f>
        <v>1029</v>
      </c>
      <c r="D43" s="238"/>
      <c r="E43" s="238"/>
      <c r="F43" s="239"/>
      <c r="G43" s="3637"/>
    </row>
    <row r="44" spans="1:7" ht="13.5" customHeight="1">
      <c r="A44" s="780" t="s">
        <v>348</v>
      </c>
      <c r="B44" s="215" t="s">
        <v>1546</v>
      </c>
      <c r="C44" s="238">
        <f ca="1">ROUND(IF('数据-取费表'!B22&lt;=1,C40*F22*'数据-取费表'!B20/2,C40*(POWER((1+F22),'数据-取费表'!B20/2)-1)),4)</f>
        <v>1.1999999999999999E-3</v>
      </c>
      <c r="D44" s="238"/>
      <c r="E44" s="238"/>
      <c r="F44" s="239"/>
      <c r="G44" s="3638"/>
    </row>
    <row r="45" spans="1:7" s="214" customFormat="1" ht="13.5" customHeight="1">
      <c r="A45" s="255" t="s">
        <v>1547</v>
      </c>
      <c r="B45" s="244" t="s">
        <v>1513</v>
      </c>
      <c r="C45" s="245">
        <f ca="1">C46</f>
        <v>170302</v>
      </c>
      <c r="D45" s="235">
        <f ca="1">C47</f>
        <v>6.0000000000000001E-3</v>
      </c>
      <c r="E45" s="236" t="s">
        <v>1539</v>
      </c>
      <c r="F45" s="246">
        <f ca="1">F27</f>
        <v>0.2</v>
      </c>
      <c r="G45" s="247" t="s">
        <v>1548</v>
      </c>
    </row>
    <row r="46" spans="1:7" s="214" customFormat="1" ht="13.5" customHeight="1">
      <c r="A46" s="780" t="s">
        <v>346</v>
      </c>
      <c r="B46" s="248" t="s">
        <v>1549</v>
      </c>
      <c r="C46" s="249">
        <f ca="1">ROUND((C33+C39)*F27,0)</f>
        <v>170302</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1162340</v>
      </c>
      <c r="D49" s="232"/>
      <c r="E49" s="232"/>
      <c r="F49" s="264"/>
      <c r="G49" s="234" t="s">
        <v>1554</v>
      </c>
    </row>
    <row r="50" spans="1:7" s="258" customFormat="1">
      <c r="A50" s="255" t="s">
        <v>1555</v>
      </c>
      <c r="B50" s="210" t="s">
        <v>1556</v>
      </c>
      <c r="C50" s="232"/>
      <c r="D50" s="232"/>
      <c r="E50" s="232"/>
      <c r="F50" s="264">
        <f>IF('数据-取费表'!B24=0,'数据-取费表'!N16,1)</f>
        <v>0.76500000000000001</v>
      </c>
      <c r="G50" s="247"/>
    </row>
    <row r="51" spans="1:7" ht="16.5" customHeight="1">
      <c r="A51" s="255" t="s">
        <v>1558</v>
      </c>
      <c r="B51" s="210" t="s">
        <v>1593</v>
      </c>
      <c r="C51" s="232">
        <f ca="1">ROUND(C49*F50,0)</f>
        <v>889190</v>
      </c>
      <c r="D51" s="232"/>
      <c r="E51" s="232"/>
      <c r="F51" s="264"/>
      <c r="G51" s="234" t="s">
        <v>1560</v>
      </c>
    </row>
    <row r="52" spans="1:7" s="208" customFormat="1" ht="16.5" thickBot="1">
      <c r="A52" s="265" t="s">
        <v>1561</v>
      </c>
      <c r="B52" s="266"/>
      <c r="C52" s="267">
        <f ca="1">C31+C51</f>
        <v>7547018</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165.59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165.59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165.59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0" t="s">
        <v>694</v>
      </c>
      <c r="C6" s="1074">
        <f ca="1">ROUND(F6*F8*F7*(1-F9)/10000,0)</f>
        <v>0</v>
      </c>
      <c r="D6" s="155" t="s">
        <v>2109</v>
      </c>
      <c r="E6" s="302" t="s">
        <v>696</v>
      </c>
      <c r="F6" s="303">
        <f ca="1">INDIRECT("'数据-取费表'!u"&amp;$G$1)</f>
        <v>0</v>
      </c>
      <c r="G6" s="1384"/>
      <c r="H6" s="1069" t="s">
        <v>398</v>
      </c>
      <c r="I6" s="3660" t="s">
        <v>694</v>
      </c>
      <c r="J6" s="301">
        <f ca="1">ROUND(M6*M8*M7*(1-M9)/10000,0)</f>
        <v>0</v>
      </c>
      <c r="K6" s="155" t="s">
        <v>2108</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2306</v>
      </c>
      <c r="I31" s="1398"/>
      <c r="J31" s="1399"/>
      <c r="K31" s="2473"/>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372.44159999999999</v>
      </c>
      <c r="C2" s="1387" t="s">
        <v>879</v>
      </c>
      <c r="D2" s="1471">
        <f ca="1">C40+J29+L46</f>
        <v>3724416</v>
      </c>
      <c r="E2" s="1388" t="s">
        <v>880</v>
      </c>
      <c r="F2" s="1389"/>
      <c r="G2" s="2703"/>
      <c r="H2" s="2692"/>
      <c r="I2" s="2692"/>
      <c r="J2" s="2692"/>
      <c r="K2" s="2693"/>
      <c r="L2" s="2692"/>
      <c r="M2" s="2692"/>
    </row>
    <row r="3" spans="1:37" ht="18" customHeight="1" thickBot="1">
      <c r="A3" s="1390" t="s">
        <v>881</v>
      </c>
      <c r="B3" s="1391">
        <f ca="1">IF(ISERROR(D2/F43),0,ROUND(D2/F43,0))</f>
        <v>22492</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261428</v>
      </c>
      <c r="D5" s="1364" t="s">
        <v>889</v>
      </c>
      <c r="E5" s="1071"/>
      <c r="F5" s="1072"/>
      <c r="G5" s="1384"/>
      <c r="H5" s="299">
        <v>1</v>
      </c>
      <c r="I5" s="300" t="s">
        <v>888</v>
      </c>
      <c r="J5" s="1070">
        <f ca="1">J6+J10+J12</f>
        <v>0</v>
      </c>
      <c r="K5" s="1364" t="s">
        <v>889</v>
      </c>
      <c r="L5" s="1071"/>
      <c r="M5" s="1072"/>
    </row>
    <row r="6" spans="1:37" ht="18" customHeight="1">
      <c r="A6" s="1069" t="s">
        <v>398</v>
      </c>
      <c r="B6" s="3660" t="s">
        <v>694</v>
      </c>
      <c r="C6" s="1074">
        <f ca="1">ROUND(F6*F8*F7*(1-F9),0)</f>
        <v>261102</v>
      </c>
      <c r="D6" s="155" t="s">
        <v>2106</v>
      </c>
      <c r="E6" s="302" t="s">
        <v>696</v>
      </c>
      <c r="F6" s="303">
        <f ca="1">INDIRECT("'数据-取费表'!u"&amp;$G$1)</f>
        <v>4.8</v>
      </c>
      <c r="G6" s="1384"/>
      <c r="H6" s="1069" t="s">
        <v>398</v>
      </c>
      <c r="I6" s="3660" t="s">
        <v>694</v>
      </c>
      <c r="J6" s="301">
        <f ca="1">ROUND(M6*M8*M7*(1-M9),0)</f>
        <v>0</v>
      </c>
      <c r="K6" s="1376" t="s">
        <v>2107</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165.59</v>
      </c>
      <c r="G7" s="1384"/>
      <c r="H7" s="304"/>
      <c r="I7" s="3661"/>
      <c r="J7" s="306"/>
      <c r="K7" s="307"/>
      <c r="L7" s="302" t="s">
        <v>697</v>
      </c>
      <c r="M7" s="303">
        <f ca="1">F7</f>
        <v>165.59</v>
      </c>
    </row>
    <row r="8" spans="1:37" ht="18" customHeight="1">
      <c r="A8" s="304"/>
      <c r="B8" s="3661"/>
      <c r="C8" s="306"/>
      <c r="D8" s="307"/>
      <c r="E8" s="302" t="s">
        <v>698</v>
      </c>
      <c r="F8" s="303">
        <f ca="1">INDIRECT("'数据-取费表'!ai"&amp;$G$1)</f>
        <v>365</v>
      </c>
      <c r="G8" s="1384"/>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326</v>
      </c>
      <c r="D10" s="1366" t="s">
        <v>2116</v>
      </c>
      <c r="E10" s="313" t="s">
        <v>701</v>
      </c>
      <c r="F10" s="1116" t="s">
        <v>3406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889190</v>
      </c>
      <c r="D13" s="1081" t="s">
        <v>705</v>
      </c>
      <c r="E13" s="1081" t="s">
        <v>706</v>
      </c>
      <c r="F13" s="1082">
        <f ca="1">INDIRECT("'数据-取费表'!y"&amp;$G$1)</f>
        <v>0.76500000000000001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745155</v>
      </c>
      <c r="D14" s="1345" t="s">
        <v>708</v>
      </c>
      <c r="E14" s="1342"/>
      <c r="F14" s="319"/>
      <c r="G14" s="1384"/>
      <c r="H14" s="982" t="s">
        <v>398</v>
      </c>
      <c r="I14" s="302" t="s">
        <v>709</v>
      </c>
      <c r="J14" s="21">
        <f ca="1">C29</f>
        <v>1162340</v>
      </c>
      <c r="K14" s="12"/>
      <c r="L14" s="807"/>
      <c r="M14" s="808"/>
    </row>
    <row r="15" spans="1:37" s="1397" customFormat="1" ht="18" customHeight="1" thickBot="1">
      <c r="A15" s="982" t="s">
        <v>399</v>
      </c>
      <c r="B15" s="302" t="s">
        <v>710</v>
      </c>
      <c r="C15" s="21">
        <f ca="1">ROUND(C14*F15,0)</f>
        <v>37258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11623</v>
      </c>
      <c r="K16" s="1087" t="s">
        <v>715</v>
      </c>
      <c r="L16" s="1088"/>
      <c r="M16" s="1072"/>
    </row>
    <row r="17" spans="1:37" s="1397" customFormat="1" ht="18" customHeight="1">
      <c r="A17" s="982" t="s">
        <v>681</v>
      </c>
      <c r="B17" s="302" t="s">
        <v>716</v>
      </c>
      <c r="C17" s="21">
        <f ca="1">ROUND(F17*(F43+INDIRECT("'数据-取费表'!S"&amp;$G$1)),0)</f>
        <v>33118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11177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826708</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24801</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11623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35337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-11623</v>
      </c>
      <c r="K25" s="1095" t="s">
        <v>753</v>
      </c>
      <c r="L25" s="1096"/>
      <c r="M25" s="1097"/>
    </row>
    <row r="26" spans="1:37" ht="18" customHeight="1">
      <c r="A26" s="982" t="s">
        <v>397</v>
      </c>
      <c r="B26" s="302" t="s">
        <v>754</v>
      </c>
      <c r="C26" s="21">
        <f ca="1">ROUND((C19+C20)*F26,0)</f>
        <v>170302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1162340</v>
      </c>
      <c r="D29" s="1092"/>
      <c r="E29" s="1090"/>
      <c r="F29" s="1093"/>
      <c r="G29" s="1396"/>
      <c r="H29" s="334" t="s">
        <v>396</v>
      </c>
      <c r="I29" s="335" t="s">
        <v>768</v>
      </c>
      <c r="J29" s="336">
        <f ca="1">ROUND(J26/(1+F40)^F41,0)</f>
        <v>0</v>
      </c>
      <c r="K29" s="337" t="s">
        <v>769</v>
      </c>
      <c r="L29" s="338"/>
      <c r="M29" s="339">
        <f ca="1">INDIRECT("'数据-取费表'!k"&amp;$G$1)</f>
        <v>165.59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32533</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17407</v>
      </c>
      <c r="D31" s="1345" t="s">
        <v>720</v>
      </c>
      <c r="E31" s="1344" t="s">
        <v>770</v>
      </c>
      <c r="F31" s="2315">
        <f ca="1">IF(项目基本情况!B11="企业","——",IF(M47="住宅",IF(F6*F7*F8/12/(1+'数据-取费表'!F30)&gt;100000,4%,2.5%),IF(F6*F7*F8/12/(1+'数据-取费表'!F30)&gt;100000,12%,7%)))</f>
        <v>7.0000000000000007E-2</v>
      </c>
      <c r="G31" s="1384"/>
      <c r="H31" s="2805" t="s">
        <v>2306</v>
      </c>
      <c r="I31" s="1398"/>
      <c r="J31" s="1399"/>
      <c r="K31" s="2473"/>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3"/>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11623</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ROUND(C13*F37,0)</f>
        <v>889</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ROUND(C5*F38,0)</f>
        <v>2614</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228895</v>
      </c>
      <c r="D39" s="1095" t="s">
        <v>773</v>
      </c>
      <c r="E39" s="1096"/>
      <c r="F39" s="1097"/>
      <c r="G39" s="1384"/>
      <c r="H39" s="2697"/>
      <c r="I39" s="1398"/>
      <c r="J39" s="1399"/>
      <c r="K39" s="2701"/>
      <c r="L39" s="2697"/>
      <c r="M39" s="2697"/>
    </row>
    <row r="40" spans="1:18" ht="18" customHeight="1">
      <c r="A40" s="299" t="s">
        <v>395</v>
      </c>
      <c r="B40" s="300" t="s">
        <v>774</v>
      </c>
      <c r="C40" s="301">
        <f ca="1">ROUND(C39*(1-((1+F42)/(1+F40))^F41)/(F40-F42),0)</f>
        <v>3622600</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21</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21877</v>
      </c>
      <c r="D43" s="337" t="s">
        <v>777</v>
      </c>
      <c r="E43" s="338" t="s">
        <v>778</v>
      </c>
      <c r="F43" s="339">
        <f ca="1">INDIRECT("'数据-取费表'!k"&amp;$G$1)</f>
        <v>165.59</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3354</v>
      </c>
      <c r="B45" s="1400"/>
      <c r="C45" s="1472">
        <f ca="1">ROUND((C68-C40)/10000,4)</f>
        <v>-377.61880000000002</v>
      </c>
      <c r="D45" s="3427" t="s">
        <v>3355</v>
      </c>
      <c r="E45" s="1400"/>
      <c r="F45" s="1400"/>
      <c r="O45" s="1403" t="s">
        <v>808</v>
      </c>
      <c r="P45" s="1461"/>
      <c r="Q45" s="1461"/>
      <c r="R45" s="1461"/>
    </row>
    <row r="46" spans="1:18" s="1384" customFormat="1" ht="13.5" thickBot="1">
      <c r="A46" s="1404" t="s">
        <v>809</v>
      </c>
      <c r="C46" s="1405">
        <f ca="1">ROUND(C45,0)</f>
        <v>-378</v>
      </c>
      <c r="D46" s="1406" t="str">
        <f>C2</f>
        <v>万元</v>
      </c>
      <c r="I46" s="1407" t="s">
        <v>810</v>
      </c>
      <c r="J46" s="1408"/>
      <c r="K46" s="1409"/>
      <c r="L46" s="1410">
        <f ca="1">IF(M47="住宅",0,IF(L48&gt;J51,L60,J60))</f>
        <v>101816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3622600</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21</v>
      </c>
      <c r="O48" s="1418" t="s">
        <v>404</v>
      </c>
      <c r="P48" s="1419" t="s">
        <v>821</v>
      </c>
      <c r="Q48" s="1420">
        <f ca="1">J60</f>
        <v>101816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2006</v>
      </c>
      <c r="K49" s="1423" t="s">
        <v>824</v>
      </c>
      <c r="L49" s="1427"/>
      <c r="O49" s="1428" t="s">
        <v>405</v>
      </c>
      <c r="P49" s="1419" t="s">
        <v>825</v>
      </c>
      <c r="Q49" s="1420">
        <f ca="1">C29</f>
        <v>1162340</v>
      </c>
      <c r="R49" s="1420" t="s">
        <v>818</v>
      </c>
    </row>
    <row r="50" spans="1:18" s="1384" customFormat="1" ht="13.5" thickBot="1">
      <c r="A50" s="976"/>
      <c r="B50" s="979"/>
      <c r="C50" s="980"/>
      <c r="D50" s="953"/>
      <c r="E50" s="1056" t="s">
        <v>697</v>
      </c>
      <c r="F50" s="1057">
        <f ca="1">F7</f>
        <v>165.59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2846048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v>
      </c>
      <c r="K53" s="3658" t="s">
        <v>837</v>
      </c>
      <c r="L53" s="3659"/>
      <c r="O53" s="1418" t="s">
        <v>409</v>
      </c>
      <c r="P53" s="1419" t="s">
        <v>838</v>
      </c>
      <c r="Q53" s="1420">
        <f ca="1">Q47+Q48</f>
        <v>3724416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889190</v>
      </c>
      <c r="D56" s="1447"/>
      <c r="E56" s="1448"/>
      <c r="F56" s="1440"/>
      <c r="I56" s="1449" t="s">
        <v>842</v>
      </c>
      <c r="J56" s="1450" t="s">
        <v>3409</v>
      </c>
      <c r="K56" s="1421" t="s">
        <v>843</v>
      </c>
      <c r="L56" s="1424" t="str">
        <f ca="1">IF(L48&lt;J51,"——",L48-J51)</f>
        <v>——</v>
      </c>
      <c r="O56" s="1418" t="s">
        <v>403</v>
      </c>
      <c r="P56" s="1419" t="s">
        <v>817</v>
      </c>
      <c r="Q56" s="1420">
        <f ca="1">C40+J29</f>
        <v>3622600</v>
      </c>
      <c r="R56" s="1420" t="s">
        <v>818</v>
      </c>
    </row>
    <row r="57" spans="1:18" s="1384" customFormat="1" ht="24.75" thickBot="1">
      <c r="A57" s="1451"/>
      <c r="B57" s="950" t="s">
        <v>767</v>
      </c>
      <c r="C57" s="238">
        <f ca="1">C29</f>
        <v>1162340</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12512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464936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101816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3622600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11623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889</v>
      </c>
      <c r="D65" s="964" t="s">
        <v>743</v>
      </c>
      <c r="E65" s="950" t="s">
        <v>744</v>
      </c>
      <c r="F65" s="330">
        <f t="shared" ca="1" si="0"/>
        <v>1E-3</v>
      </c>
      <c r="I65" s="1462" t="s">
        <v>867</v>
      </c>
      <c r="J65" s="1463">
        <v>40</v>
      </c>
      <c r="K65" s="1463">
        <v>30</v>
      </c>
      <c r="L65" s="1463">
        <v>50</v>
      </c>
      <c r="M65" s="1465">
        <v>0.02</v>
      </c>
      <c r="O65" s="1418" t="s">
        <v>403</v>
      </c>
      <c r="P65" s="1419" t="s">
        <v>868</v>
      </c>
      <c r="Q65" s="1420">
        <f ca="1">C40+J29</f>
        <v>3622600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-12512</v>
      </c>
      <c r="D67" s="963" t="s">
        <v>753</v>
      </c>
      <c r="E67" s="968"/>
      <c r="F67" s="969"/>
      <c r="O67" s="1428" t="s">
        <v>405</v>
      </c>
      <c r="P67" s="1419" t="s">
        <v>850</v>
      </c>
      <c r="Q67" s="1466">
        <f ca="1">L51</f>
        <v>2846048</v>
      </c>
      <c r="R67" s="1420" t="s">
        <v>870</v>
      </c>
    </row>
    <row r="68" spans="1:18" s="1384" customFormat="1" ht="16.5" thickBot="1">
      <c r="A68" s="947" t="s">
        <v>395</v>
      </c>
      <c r="B68" s="948" t="s">
        <v>774</v>
      </c>
      <c r="C68" s="301">
        <f ca="1">ROUND(C67*(1-((1+F70)/(1+F68))^F69)/(F68-F70),0)</f>
        <v>-153588</v>
      </c>
      <c r="D68" s="965" t="s">
        <v>758</v>
      </c>
      <c r="E68" s="950" t="s">
        <v>759</v>
      </c>
      <c r="F68" s="312">
        <f ca="1">F40</f>
        <v>5.5E-2</v>
      </c>
      <c r="O68" s="1428" t="s">
        <v>406</v>
      </c>
      <c r="P68" s="1467" t="s">
        <v>871</v>
      </c>
      <c r="Q68" s="1420">
        <f ca="1">ROUND(Q69-Q70*Q71,0)</f>
        <v>162206</v>
      </c>
      <c r="R68" s="1420" t="s">
        <v>414</v>
      </c>
    </row>
    <row r="69" spans="1:18" s="1384" customFormat="1" ht="13.5" thickBot="1">
      <c r="A69" s="951"/>
      <c r="B69" s="952"/>
      <c r="C69" s="306"/>
      <c r="D69" s="970" t="s">
        <v>762</v>
      </c>
      <c r="E69" s="950" t="s">
        <v>763</v>
      </c>
      <c r="F69" s="333">
        <f ca="1">F41</f>
        <v>21</v>
      </c>
      <c r="O69" s="1428" t="s">
        <v>411</v>
      </c>
      <c r="P69" s="1467" t="s">
        <v>872</v>
      </c>
      <c r="Q69" s="1420">
        <f ca="1">C39</f>
        <v>228895</v>
      </c>
      <c r="R69" s="1420" t="s">
        <v>818</v>
      </c>
    </row>
    <row r="70" spans="1:18" s="1384" customFormat="1" ht="13.5" thickBot="1">
      <c r="A70" s="954"/>
      <c r="B70" s="955"/>
      <c r="C70" s="310"/>
      <c r="D70" s="966"/>
      <c r="E70" s="950" t="s">
        <v>766</v>
      </c>
      <c r="F70" s="1054"/>
      <c r="O70" s="1428" t="s">
        <v>412</v>
      </c>
      <c r="P70" s="1467" t="s">
        <v>873</v>
      </c>
      <c r="Q70" s="1420">
        <f ca="1">C13</f>
        <v>889190</v>
      </c>
      <c r="R70" s="1420" t="s">
        <v>818</v>
      </c>
    </row>
    <row r="71" spans="1:18" s="1384" customFormat="1" ht="13.5" thickBot="1">
      <c r="A71" s="971" t="s">
        <v>396</v>
      </c>
      <c r="B71" s="972" t="s">
        <v>776</v>
      </c>
      <c r="C71" s="336">
        <f ca="1">ROUND(C68/F71,0)</f>
        <v>-928</v>
      </c>
      <c r="D71" s="973" t="s">
        <v>777</v>
      </c>
      <c r="E71" s="974" t="s">
        <v>778</v>
      </c>
      <c r="F71" s="339">
        <f ca="1">F43</f>
        <v>165.59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66689</v>
      </c>
      <c r="D75" s="1384"/>
      <c r="E75" s="1384"/>
      <c r="F75" s="1384"/>
      <c r="K75" s="1402"/>
      <c r="L75" s="1384"/>
      <c r="O75" s="1418" t="s">
        <v>409</v>
      </c>
      <c r="P75" s="1419" t="s">
        <v>838</v>
      </c>
      <c r="Q75" s="1420">
        <f ca="1">Q65+Q66</f>
        <v>3622600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0.70900000000000007</v>
      </c>
    </row>
    <row r="80" spans="1:18">
      <c r="B80" s="340" t="s">
        <v>800</v>
      </c>
      <c r="C80" s="274">
        <f ca="1">ROUND(C75/C39,3)</f>
        <v>0.29099999999999998</v>
      </c>
    </row>
    <row r="81" spans="2:3">
      <c r="B81" s="270" t="s">
        <v>801</v>
      </c>
      <c r="C81" s="238"/>
    </row>
    <row r="82" spans="2:3">
      <c r="B82" s="273" t="s">
        <v>802</v>
      </c>
      <c r="C82" s="275">
        <f ca="1">1-C83</f>
        <v>0.755</v>
      </c>
    </row>
    <row r="83" spans="2:3">
      <c r="B83" s="273" t="s">
        <v>803</v>
      </c>
      <c r="C83" s="274">
        <f ca="1">ROUND(C13/C40,3)</f>
        <v>0.245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38" t="s">
        <v>3361</v>
      </c>
      <c r="E2" s="3439"/>
      <c r="F2" s="2843"/>
      <c r="G2" s="2844"/>
      <c r="H2" s="2845"/>
      <c r="I2" s="2846"/>
      <c r="J2" s="3663" t="s">
        <v>2316</v>
      </c>
      <c r="K2" s="3664"/>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65" t="s">
        <v>2326</v>
      </c>
      <c r="K3" s="3666"/>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65" t="s">
        <v>2328</v>
      </c>
      <c r="K4" s="3666"/>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67" t="s">
        <v>2332</v>
      </c>
      <c r="B6" s="3668"/>
      <c r="C6" s="3669"/>
      <c r="D6" s="2867"/>
      <c r="E6" s="2868"/>
      <c r="F6" s="2869"/>
      <c r="G6" s="2870"/>
      <c r="H6" s="2845"/>
      <c r="I6" s="2846"/>
      <c r="J6" s="3670">
        <v>1</v>
      </c>
      <c r="K6" s="3671"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70"/>
      <c r="K7" s="3672"/>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74" t="s">
        <v>2346</v>
      </c>
      <c r="C8" s="3675"/>
      <c r="D8" s="2886" t="s">
        <v>2347</v>
      </c>
      <c r="E8" s="2887" t="s">
        <v>2348</v>
      </c>
      <c r="F8" s="2888" t="s">
        <v>2349</v>
      </c>
      <c r="G8" s="2889"/>
      <c r="H8" s="2845"/>
      <c r="I8" s="2846"/>
      <c r="J8" s="3670"/>
      <c r="K8" s="3672"/>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74" t="s">
        <v>2352</v>
      </c>
      <c r="C9" s="3675"/>
      <c r="D9" s="2886">
        <f>ROUND(D6*E9,0)</f>
        <v>0</v>
      </c>
      <c r="E9" s="2890"/>
      <c r="F9" s="2891" t="s">
        <v>2353</v>
      </c>
      <c r="G9" s="2870"/>
      <c r="H9" s="2845"/>
      <c r="I9" s="2846"/>
      <c r="J9" s="3670"/>
      <c r="K9" s="3672"/>
      <c r="L9" s="2880" t="s">
        <v>2354</v>
      </c>
      <c r="M9" s="2881"/>
      <c r="N9" s="2857"/>
      <c r="O9" s="2882"/>
      <c r="P9" s="2882"/>
      <c r="Q9" s="2883">
        <v>365</v>
      </c>
      <c r="R9" s="2884">
        <f t="shared" si="0"/>
        <v>0</v>
      </c>
      <c r="S9" s="2838"/>
      <c r="T9" s="2838"/>
      <c r="U9" s="2838"/>
      <c r="V9" s="2846"/>
    </row>
    <row r="10" spans="1:22" s="2850" customFormat="1" ht="13.15" customHeight="1">
      <c r="A10" s="2885">
        <v>2</v>
      </c>
      <c r="B10" s="3674" t="s">
        <v>2355</v>
      </c>
      <c r="C10" s="3675"/>
      <c r="D10" s="2886">
        <f>ROUND(D6*E10,0)</f>
        <v>0</v>
      </c>
      <c r="E10" s="2890"/>
      <c r="F10" s="2891" t="s">
        <v>2356</v>
      </c>
      <c r="G10" s="2870"/>
      <c r="H10" s="2845"/>
      <c r="I10" s="2846"/>
      <c r="J10" s="3670"/>
      <c r="K10" s="3672"/>
      <c r="L10" s="2880" t="s">
        <v>2357</v>
      </c>
      <c r="M10" s="2881"/>
      <c r="N10" s="2857"/>
      <c r="O10" s="2882"/>
      <c r="P10" s="2882"/>
      <c r="Q10" s="2883">
        <v>365</v>
      </c>
      <c r="R10" s="2884">
        <f t="shared" si="0"/>
        <v>0</v>
      </c>
      <c r="S10" s="2838"/>
      <c r="T10" s="2838"/>
      <c r="U10" s="2838"/>
      <c r="V10" s="2846"/>
    </row>
    <row r="11" spans="1:22" s="2850" customFormat="1" ht="13.15" customHeight="1">
      <c r="A11" s="2885">
        <v>3</v>
      </c>
      <c r="B11" s="3674" t="s">
        <v>2358</v>
      </c>
      <c r="C11" s="3675"/>
      <c r="D11" s="2886">
        <f>D12+D14+D15+D16</f>
        <v>0</v>
      </c>
      <c r="E11" s="2892" t="e">
        <f>D11/D6</f>
        <v>#DIV/0!</v>
      </c>
      <c r="F11" s="2888"/>
      <c r="G11" s="2889"/>
      <c r="H11" s="2845"/>
      <c r="I11" s="2846"/>
      <c r="J11" s="3670"/>
      <c r="K11" s="3672"/>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76" t="s">
        <v>2361</v>
      </c>
      <c r="C12" s="3677"/>
      <c r="D12" s="2894">
        <f>ROUND(D13*1.2%*(1-30%),0)</f>
        <v>0</v>
      </c>
      <c r="E12" s="2895">
        <v>1.2E-2</v>
      </c>
      <c r="F12" s="2888" t="s">
        <v>2362</v>
      </c>
      <c r="G12" s="2889"/>
      <c r="H12" s="2845"/>
      <c r="I12" s="2846"/>
      <c r="J12" s="3670"/>
      <c r="K12" s="3672"/>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70"/>
      <c r="K13" s="3672"/>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76" t="s">
        <v>2367</v>
      </c>
      <c r="C14" s="3677"/>
      <c r="D14" s="2894">
        <f>ROUND(E14*B5/10000,0)</f>
        <v>0</v>
      </c>
      <c r="E14" s="2883"/>
      <c r="F14" s="2888" t="s">
        <v>2368</v>
      </c>
      <c r="G14" s="2889"/>
      <c r="H14" s="2845"/>
      <c r="I14" s="2846"/>
      <c r="J14" s="3670"/>
      <c r="K14" s="3673"/>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76" t="s">
        <v>2371</v>
      </c>
      <c r="C15" s="3677"/>
      <c r="D15" s="2894">
        <f>ROUND(D6*E15,0)</f>
        <v>0</v>
      </c>
      <c r="E15" s="2895">
        <v>5.5E-2</v>
      </c>
      <c r="F15" s="2888" t="s">
        <v>2372</v>
      </c>
      <c r="G15" s="2870"/>
      <c r="H15" s="2845"/>
      <c r="I15" s="2846"/>
      <c r="J15" s="3670">
        <v>2</v>
      </c>
      <c r="K15" s="3671"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76" t="s">
        <v>2380</v>
      </c>
      <c r="C16" s="3677"/>
      <c r="D16" s="2905">
        <f>D6*E16</f>
        <v>0</v>
      </c>
      <c r="E16" s="2906"/>
      <c r="F16" s="2891" t="s">
        <v>2381</v>
      </c>
      <c r="G16" s="2870"/>
      <c r="H16" s="2845"/>
      <c r="I16" s="2846"/>
      <c r="J16" s="3670"/>
      <c r="K16" s="3672"/>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78" t="s">
        <v>2383</v>
      </c>
      <c r="C17" s="3679"/>
      <c r="D17" s="2908">
        <f>ROUND(D6*E17,0)</f>
        <v>0</v>
      </c>
      <c r="E17" s="2909"/>
      <c r="F17" s="2910" t="s">
        <v>2384</v>
      </c>
      <c r="G17" s="2870"/>
      <c r="H17" s="2845"/>
      <c r="I17" s="2846"/>
      <c r="J17" s="3670"/>
      <c r="K17" s="3672"/>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70"/>
      <c r="K18" s="3672"/>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70"/>
      <c r="K19" s="3673"/>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0">
        <v>3</v>
      </c>
      <c r="K20" s="3671"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70"/>
      <c r="K21" s="3672"/>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70"/>
      <c r="K22" s="3672"/>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70"/>
      <c r="K23" s="3672"/>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70"/>
      <c r="K24" s="3673"/>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80">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8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63" t="s">
        <v>2316</v>
      </c>
      <c r="K32" s="3664"/>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65" t="s">
        <v>2326</v>
      </c>
      <c r="K33" s="3666"/>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65" t="s">
        <v>2328</v>
      </c>
      <c r="K34" s="366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70">
        <v>1</v>
      </c>
      <c r="K36" s="3671"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70"/>
      <c r="K37" s="3672"/>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0"/>
      <c r="K38" s="3672"/>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70"/>
      <c r="K39" s="3672"/>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70"/>
      <c r="K40" s="3673"/>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0">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8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372.44159999999999</v>
      </c>
      <c r="C2" s="1872" t="s">
        <v>1651</v>
      </c>
      <c r="D2" s="1873" t="s">
        <v>1652</v>
      </c>
      <c r="E2" s="2604">
        <f>SUM(E6:E13)</f>
        <v>165.59</v>
      </c>
      <c r="F2" s="2704"/>
      <c r="G2" s="1489"/>
      <c r="H2" s="1489"/>
      <c r="I2" s="1489"/>
      <c r="J2" s="1489"/>
      <c r="K2" s="1489"/>
      <c r="L2" s="1489"/>
      <c r="M2" s="1489"/>
      <c r="N2" s="1489"/>
      <c r="O2" s="1489"/>
      <c r="P2" s="1489"/>
      <c r="Q2" s="1489"/>
      <c r="R2" s="1489"/>
      <c r="S2" s="1489"/>
    </row>
    <row r="3" spans="1:22" ht="15.75">
      <c r="A3" s="1870" t="s">
        <v>686</v>
      </c>
      <c r="B3" s="2598">
        <f ca="1">ROUND(B2*10000/E2,0)</f>
        <v>22492</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82" t="s">
        <v>1654</v>
      </c>
      <c r="C5" s="3683"/>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372.44159999999999</v>
      </c>
      <c r="C6" s="1872" t="s">
        <v>1651</v>
      </c>
      <c r="D6" s="2706"/>
      <c r="E6" s="2603">
        <f>IF(OR(A6=0,F6="否"),0,'数据-取费表'!K6+'数据-取费表'!S6)</f>
        <v>165.59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1"/>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165.59</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02" t="s">
        <v>1667</v>
      </c>
      <c r="D4" s="3703"/>
      <c r="E4" s="3704" t="s">
        <v>1668</v>
      </c>
      <c r="F4" s="3705"/>
      <c r="G4" s="3702" t="s">
        <v>1669</v>
      </c>
      <c r="H4" s="3703"/>
      <c r="I4" s="3702" t="s">
        <v>1670</v>
      </c>
      <c r="J4" s="3703"/>
      <c r="K4" s="1889" t="s">
        <v>1671</v>
      </c>
      <c r="L4" s="2712"/>
      <c r="M4" s="2713"/>
      <c r="N4" s="2713"/>
      <c r="O4" s="2713"/>
      <c r="P4" s="3706" t="s">
        <v>1672</v>
      </c>
      <c r="Q4" s="3707"/>
      <c r="R4" s="3689" t="s">
        <v>1668</v>
      </c>
      <c r="S4" s="3690"/>
      <c r="T4" s="3689" t="s">
        <v>1669</v>
      </c>
      <c r="U4" s="3690"/>
      <c r="V4" s="3714" t="s">
        <v>1670</v>
      </c>
      <c r="W4" s="3714"/>
      <c r="X4" s="1355"/>
      <c r="Y4" s="3689" t="s">
        <v>1672</v>
      </c>
      <c r="Z4" s="3690"/>
      <c r="AA4" s="3684" t="s">
        <v>1668</v>
      </c>
      <c r="AB4" s="3684" t="s">
        <v>1669</v>
      </c>
      <c r="AC4" s="3684" t="s">
        <v>1670</v>
      </c>
    </row>
    <row r="5" spans="1:29" ht="15">
      <c r="A5" s="358"/>
      <c r="B5" s="359"/>
      <c r="C5" s="3695" t="s">
        <v>1673</v>
      </c>
      <c r="D5" s="3696"/>
      <c r="E5" s="3693" t="s">
        <v>1674</v>
      </c>
      <c r="F5" s="3694"/>
      <c r="G5" s="3695" t="s">
        <v>1675</v>
      </c>
      <c r="H5" s="3696"/>
      <c r="I5" s="3695" t="s">
        <v>1676</v>
      </c>
      <c r="J5" s="3696"/>
      <c r="K5" s="1890"/>
      <c r="L5" s="2712"/>
      <c r="M5" s="2713"/>
      <c r="N5" s="2713"/>
      <c r="O5" s="2713"/>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1890" t="s">
        <v>1678</v>
      </c>
      <c r="L6" s="2712"/>
      <c r="M6" s="2713"/>
      <c r="N6" s="2713"/>
      <c r="O6" s="2713"/>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45034</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87" t="s">
        <v>1680</v>
      </c>
      <c r="Q7" s="3715"/>
      <c r="R7" s="701" t="s">
        <v>20</v>
      </c>
      <c r="S7" s="702">
        <f t="shared" ref="S7:S15" si="0">F7</f>
        <v>0</v>
      </c>
      <c r="T7" s="701" t="s">
        <v>20</v>
      </c>
      <c r="U7" s="702">
        <f t="shared" ref="U7:U15" si="1">H7</f>
        <v>0</v>
      </c>
      <c r="V7" s="701" t="s">
        <v>20</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87" t="s">
        <v>1683</v>
      </c>
      <c r="Q8" s="3688"/>
      <c r="R8" s="701" t="s">
        <v>20</v>
      </c>
      <c r="S8" s="702">
        <f t="shared" si="0"/>
        <v>100</v>
      </c>
      <c r="T8" s="701" t="s">
        <v>20</v>
      </c>
      <c r="U8" s="702">
        <f t="shared" si="1"/>
        <v>100</v>
      </c>
      <c r="V8" s="701" t="s">
        <v>20</v>
      </c>
      <c r="W8" s="702">
        <f t="shared" si="2"/>
        <v>100</v>
      </c>
      <c r="X8" s="703"/>
      <c r="Y8" s="3687"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6"/>
      <c r="M10" s="2717"/>
      <c r="N10" s="2717"/>
      <c r="O10" s="2717"/>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01"/>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01"/>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01"/>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01"/>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8" t="s">
        <v>1691</v>
      </c>
      <c r="Q15" s="1352" t="str">
        <f t="shared" si="6"/>
        <v>居住社区成熟度</v>
      </c>
      <c r="R15" s="705" t="s">
        <v>18</v>
      </c>
      <c r="S15" s="706">
        <f t="shared" si="0"/>
        <v>100</v>
      </c>
      <c r="T15" s="705" t="s">
        <v>18</v>
      </c>
      <c r="U15" s="706">
        <f t="shared" si="1"/>
        <v>100</v>
      </c>
      <c r="V15" s="705" t="s">
        <v>18</v>
      </c>
      <c r="W15" s="706">
        <f t="shared" si="2"/>
        <v>100</v>
      </c>
      <c r="X15" s="1355"/>
      <c r="Y15" s="372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29"/>
      <c r="Q16" s="1352"/>
      <c r="R16" s="705"/>
      <c r="S16" s="706"/>
      <c r="T16" s="705"/>
      <c r="U16" s="706"/>
      <c r="V16" s="705"/>
      <c r="W16" s="706"/>
      <c r="X16" s="1355"/>
      <c r="Y16" s="372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9"/>
      <c r="Q17" s="1352" t="str">
        <f>B17</f>
        <v>交通便捷度</v>
      </c>
      <c r="R17" s="705" t="s">
        <v>18</v>
      </c>
      <c r="S17" s="706">
        <f>F17</f>
        <v>100</v>
      </c>
      <c r="T17" s="705" t="s">
        <v>18</v>
      </c>
      <c r="U17" s="706">
        <f>H17</f>
        <v>100</v>
      </c>
      <c r="V17" s="705" t="s">
        <v>18</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29"/>
      <c r="Q18" s="1352"/>
      <c r="R18" s="705"/>
      <c r="S18" s="706"/>
      <c r="T18" s="705"/>
      <c r="U18" s="706"/>
      <c r="V18" s="705"/>
      <c r="W18" s="706"/>
      <c r="X18" s="1355"/>
      <c r="Y18" s="372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9"/>
      <c r="Q19" s="1352" t="str">
        <f>B19</f>
        <v>公共配套设施</v>
      </c>
      <c r="R19" s="705" t="s">
        <v>18</v>
      </c>
      <c r="S19" s="706">
        <f>F19</f>
        <v>100</v>
      </c>
      <c r="T19" s="705" t="s">
        <v>18</v>
      </c>
      <c r="U19" s="706">
        <f>H19</f>
        <v>100</v>
      </c>
      <c r="V19" s="705" t="s">
        <v>18</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29"/>
      <c r="Q20" s="1352"/>
      <c r="R20" s="705"/>
      <c r="S20" s="706"/>
      <c r="T20" s="705"/>
      <c r="U20" s="706"/>
      <c r="V20" s="705"/>
      <c r="W20" s="706"/>
      <c r="X20" s="1355"/>
      <c r="Y20" s="372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29"/>
      <c r="Q22" s="1352"/>
      <c r="R22" s="705"/>
      <c r="S22" s="706"/>
      <c r="T22" s="705"/>
      <c r="U22" s="706"/>
      <c r="V22" s="705"/>
      <c r="W22" s="706"/>
      <c r="X22" s="1355"/>
      <c r="Y22" s="372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9"/>
      <c r="Q23" s="1352" t="str">
        <f>B23</f>
        <v>自然及人文环境</v>
      </c>
      <c r="R23" s="705" t="s">
        <v>18</v>
      </c>
      <c r="S23" s="706">
        <f>F23</f>
        <v>100</v>
      </c>
      <c r="T23" s="705" t="s">
        <v>18</v>
      </c>
      <c r="U23" s="706">
        <f>H23</f>
        <v>100</v>
      </c>
      <c r="V23" s="705" t="s">
        <v>18</v>
      </c>
      <c r="W23" s="706">
        <f>J23</f>
        <v>100</v>
      </c>
      <c r="X23" s="1355"/>
      <c r="Y23" s="372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29"/>
      <c r="Q24" s="1352"/>
      <c r="R24" s="705"/>
      <c r="S24" s="706"/>
      <c r="T24" s="705"/>
      <c r="U24" s="706"/>
      <c r="V24" s="705"/>
      <c r="W24" s="706"/>
      <c r="X24" s="1355"/>
      <c r="Y24" s="372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2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29"/>
      <c r="Q26" s="1352" t="str">
        <f t="shared" si="11"/>
        <v>朝向</v>
      </c>
      <c r="R26" s="705" t="s">
        <v>18</v>
      </c>
      <c r="S26" s="706">
        <f t="shared" si="12"/>
        <v>100</v>
      </c>
      <c r="T26" s="705" t="s">
        <v>18</v>
      </c>
      <c r="U26" s="706">
        <f t="shared" si="13"/>
        <v>100</v>
      </c>
      <c r="V26" s="705" t="s">
        <v>18</v>
      </c>
      <c r="W26" s="706">
        <f t="shared" si="14"/>
        <v>100</v>
      </c>
      <c r="X26" s="1355"/>
      <c r="Y26" s="372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29"/>
      <c r="Q27" s="1343">
        <f t="shared" si="11"/>
        <v>111</v>
      </c>
      <c r="R27" s="701" t="s">
        <v>18</v>
      </c>
      <c r="S27" s="702">
        <f t="shared" si="12"/>
        <v>100</v>
      </c>
      <c r="T27" s="701" t="s">
        <v>18</v>
      </c>
      <c r="U27" s="702">
        <f t="shared" si="13"/>
        <v>100</v>
      </c>
      <c r="V27" s="701" t="s">
        <v>18</v>
      </c>
      <c r="W27" s="702">
        <f t="shared" si="14"/>
        <v>100</v>
      </c>
      <c r="X27" s="703"/>
      <c r="Y27" s="372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29"/>
      <c r="Q28" s="1352">
        <f t="shared" si="11"/>
        <v>111</v>
      </c>
      <c r="R28" s="705" t="s">
        <v>18</v>
      </c>
      <c r="S28" s="706">
        <f t="shared" si="12"/>
        <v>100</v>
      </c>
      <c r="T28" s="705" t="s">
        <v>18</v>
      </c>
      <c r="U28" s="706">
        <f t="shared" si="13"/>
        <v>100</v>
      </c>
      <c r="V28" s="705" t="s">
        <v>18</v>
      </c>
      <c r="W28" s="706">
        <f t="shared" si="14"/>
        <v>100</v>
      </c>
      <c r="X28" s="1355"/>
      <c r="Y28" s="372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29"/>
      <c r="Q29" s="1352">
        <f t="shared" si="11"/>
        <v>111</v>
      </c>
      <c r="R29" s="705" t="s">
        <v>18</v>
      </c>
      <c r="S29" s="706">
        <f t="shared" si="12"/>
        <v>100</v>
      </c>
      <c r="T29" s="705" t="s">
        <v>18</v>
      </c>
      <c r="U29" s="706">
        <f t="shared" si="13"/>
        <v>100</v>
      </c>
      <c r="V29" s="705" t="s">
        <v>18</v>
      </c>
      <c r="W29" s="706">
        <f t="shared" si="14"/>
        <v>100</v>
      </c>
      <c r="X29" s="1355"/>
      <c r="Y29" s="372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29"/>
      <c r="Q30" s="1352">
        <f t="shared" si="11"/>
        <v>111</v>
      </c>
      <c r="R30" s="705" t="s">
        <v>18</v>
      </c>
      <c r="S30" s="706">
        <f t="shared" si="12"/>
        <v>100</v>
      </c>
      <c r="T30" s="705" t="s">
        <v>18</v>
      </c>
      <c r="U30" s="706">
        <f t="shared" si="13"/>
        <v>100</v>
      </c>
      <c r="V30" s="705" t="s">
        <v>18</v>
      </c>
      <c r="W30" s="706">
        <f t="shared" si="14"/>
        <v>100</v>
      </c>
      <c r="X30" s="1355"/>
      <c r="Y30" s="372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29"/>
      <c r="Q31" s="1352">
        <f t="shared" si="11"/>
        <v>111</v>
      </c>
      <c r="R31" s="705" t="s">
        <v>18</v>
      </c>
      <c r="S31" s="706">
        <f t="shared" si="12"/>
        <v>100</v>
      </c>
      <c r="T31" s="705" t="s">
        <v>18</v>
      </c>
      <c r="U31" s="706">
        <f t="shared" si="13"/>
        <v>100</v>
      </c>
      <c r="V31" s="705" t="s">
        <v>18</v>
      </c>
      <c r="W31" s="706">
        <f t="shared" si="14"/>
        <v>100</v>
      </c>
      <c r="X31" s="1355"/>
      <c r="Y31" s="372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23" t="s">
        <v>1696</v>
      </c>
      <c r="Q32" s="1352" t="str">
        <f t="shared" si="11"/>
        <v>建筑类型</v>
      </c>
      <c r="R32" s="705" t="s">
        <v>18</v>
      </c>
      <c r="S32" s="706">
        <f t="shared" si="12"/>
        <v>100</v>
      </c>
      <c r="T32" s="705" t="s">
        <v>18</v>
      </c>
      <c r="U32" s="706">
        <f t="shared" si="13"/>
        <v>100</v>
      </c>
      <c r="V32" s="705" t="s">
        <v>18</v>
      </c>
      <c r="W32" s="706">
        <f t="shared" si="14"/>
        <v>100</v>
      </c>
      <c r="X32" s="1355"/>
      <c r="Y32" s="372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24"/>
      <c r="Q34" s="1352" t="str">
        <f t="shared" si="11"/>
        <v>建筑结构</v>
      </c>
      <c r="R34" s="705" t="s">
        <v>18</v>
      </c>
      <c r="S34" s="706">
        <f t="shared" si="12"/>
        <v>100</v>
      </c>
      <c r="T34" s="705" t="s">
        <v>18</v>
      </c>
      <c r="U34" s="706">
        <f t="shared" si="13"/>
        <v>100</v>
      </c>
      <c r="V34" s="705" t="s">
        <v>18</v>
      </c>
      <c r="W34" s="706">
        <f t="shared" si="14"/>
        <v>100</v>
      </c>
      <c r="X34" s="1355"/>
      <c r="Y34" s="372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24"/>
      <c r="Q35" s="1352" t="str">
        <f t="shared" si="11"/>
        <v>建筑品质</v>
      </c>
      <c r="R35" s="705" t="s">
        <v>18</v>
      </c>
      <c r="S35" s="706">
        <f t="shared" si="12"/>
        <v>100</v>
      </c>
      <c r="T35" s="705" t="s">
        <v>18</v>
      </c>
      <c r="U35" s="706">
        <f t="shared" si="13"/>
        <v>100</v>
      </c>
      <c r="V35" s="705" t="s">
        <v>18</v>
      </c>
      <c r="W35" s="706">
        <f t="shared" si="14"/>
        <v>100</v>
      </c>
      <c r="X35" s="1355"/>
      <c r="Y35" s="372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24"/>
      <c r="Q36" s="1352" t="str">
        <f t="shared" si="11"/>
        <v>公共部分装修</v>
      </c>
      <c r="R36" s="705" t="s">
        <v>18</v>
      </c>
      <c r="S36" s="706">
        <f t="shared" si="12"/>
        <v>100</v>
      </c>
      <c r="T36" s="705" t="s">
        <v>18</v>
      </c>
      <c r="U36" s="706">
        <f t="shared" si="13"/>
        <v>100</v>
      </c>
      <c r="V36" s="705" t="s">
        <v>18</v>
      </c>
      <c r="W36" s="706">
        <f t="shared" si="14"/>
        <v>100</v>
      </c>
      <c r="X36" s="1355"/>
      <c r="Y36" s="372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4"/>
      <c r="Q37" s="1343"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24" t="s">
        <v>1696</v>
      </c>
      <c r="Q38" s="1352" t="str">
        <f t="shared" si="11"/>
        <v>物业管理</v>
      </c>
      <c r="R38" s="705" t="s">
        <v>18</v>
      </c>
      <c r="S38" s="706">
        <f t="shared" si="12"/>
        <v>100</v>
      </c>
      <c r="T38" s="705" t="s">
        <v>18</v>
      </c>
      <c r="U38" s="706">
        <f t="shared" si="13"/>
        <v>100</v>
      </c>
      <c r="V38" s="705" t="s">
        <v>18</v>
      </c>
      <c r="W38" s="706">
        <f t="shared" si="14"/>
        <v>100</v>
      </c>
      <c r="X38" s="1355"/>
      <c r="Y38" s="372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24"/>
      <c r="Q39" s="1352" t="str">
        <f t="shared" si="11"/>
        <v>市政基础设施</v>
      </c>
      <c r="R39" s="705" t="s">
        <v>18</v>
      </c>
      <c r="S39" s="706">
        <f t="shared" si="12"/>
        <v>100</v>
      </c>
      <c r="T39" s="705" t="s">
        <v>18</v>
      </c>
      <c r="U39" s="706">
        <f t="shared" si="13"/>
        <v>100</v>
      </c>
      <c r="V39" s="705" t="s">
        <v>18</v>
      </c>
      <c r="W39" s="706">
        <f t="shared" si="14"/>
        <v>100</v>
      </c>
      <c r="X39" s="1355"/>
      <c r="Y39" s="372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24"/>
      <c r="Q40" s="1352" t="str">
        <f t="shared" si="11"/>
        <v>房型</v>
      </c>
      <c r="R40" s="705" t="s">
        <v>18</v>
      </c>
      <c r="S40" s="706">
        <f t="shared" si="12"/>
        <v>100</v>
      </c>
      <c r="T40" s="705" t="s">
        <v>18</v>
      </c>
      <c r="U40" s="706">
        <f t="shared" si="13"/>
        <v>100</v>
      </c>
      <c r="V40" s="705" t="s">
        <v>18</v>
      </c>
      <c r="W40" s="706">
        <f t="shared" si="14"/>
        <v>100</v>
      </c>
      <c r="X40" s="1355"/>
      <c r="Y40" s="372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24"/>
      <c r="Q42" s="1352" t="str">
        <f t="shared" si="11"/>
        <v>内部装修</v>
      </c>
      <c r="R42" s="705" t="s">
        <v>18</v>
      </c>
      <c r="S42" s="706">
        <f t="shared" si="12"/>
        <v>100</v>
      </c>
      <c r="T42" s="705" t="s">
        <v>18</v>
      </c>
      <c r="U42" s="706">
        <f t="shared" si="13"/>
        <v>100</v>
      </c>
      <c r="V42" s="705" t="s">
        <v>18</v>
      </c>
      <c r="W42" s="706">
        <f t="shared" si="14"/>
        <v>100</v>
      </c>
      <c r="X42" s="1355"/>
      <c r="Y42" s="372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24"/>
      <c r="Q43" s="1352" t="str">
        <f t="shared" si="11"/>
        <v>内部装修维护情况</v>
      </c>
      <c r="R43" s="705" t="s">
        <v>18</v>
      </c>
      <c r="S43" s="706">
        <f t="shared" si="12"/>
        <v>100</v>
      </c>
      <c r="T43" s="705" t="s">
        <v>18</v>
      </c>
      <c r="U43" s="706">
        <f t="shared" si="13"/>
        <v>100</v>
      </c>
      <c r="V43" s="705" t="s">
        <v>18</v>
      </c>
      <c r="W43" s="706">
        <f t="shared" si="14"/>
        <v>100</v>
      </c>
      <c r="X43" s="1355"/>
      <c r="Y43" s="372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24"/>
      <c r="Q44" s="1343">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24"/>
      <c r="Q45" s="1352">
        <f t="shared" si="11"/>
        <v>111</v>
      </c>
      <c r="R45" s="705" t="s">
        <v>18</v>
      </c>
      <c r="S45" s="706">
        <f t="shared" si="12"/>
        <v>100</v>
      </c>
      <c r="T45" s="705" t="s">
        <v>18</v>
      </c>
      <c r="U45" s="706">
        <f t="shared" si="13"/>
        <v>100</v>
      </c>
      <c r="V45" s="705" t="s">
        <v>18</v>
      </c>
      <c r="W45" s="706">
        <f t="shared" si="14"/>
        <v>100</v>
      </c>
      <c r="X45" s="1355"/>
      <c r="Y45" s="372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25"/>
      <c r="Q46" s="1352">
        <f t="shared" si="11"/>
        <v>111</v>
      </c>
      <c r="R46" s="705" t="s">
        <v>17</v>
      </c>
      <c r="S46" s="706">
        <f t="shared" si="12"/>
        <v>100</v>
      </c>
      <c r="T46" s="705" t="s">
        <v>17</v>
      </c>
      <c r="U46" s="706">
        <f t="shared" si="13"/>
        <v>100</v>
      </c>
      <c r="V46" s="705" t="s">
        <v>17</v>
      </c>
      <c r="W46" s="706">
        <f t="shared" si="14"/>
        <v>100</v>
      </c>
      <c r="X46" s="1355"/>
      <c r="Y46" s="372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165.59</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714"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714"/>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5"/>
      <c r="Y6" s="3712"/>
      <c r="Z6" s="3713"/>
      <c r="AA6" s="3686"/>
      <c r="AB6" s="3714"/>
      <c r="AC6" s="3686"/>
    </row>
    <row r="7" spans="1:29" s="108" customFormat="1" ht="15.75" thickBot="1">
      <c r="A7" s="362" t="s">
        <v>1679</v>
      </c>
      <c r="B7" s="363"/>
      <c r="C7" s="364">
        <f>'数据-取费表'!B2</f>
        <v>45034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01"/>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28" t="s">
        <v>1691</v>
      </c>
      <c r="Q15" s="1352" t="str">
        <f t="shared" si="6"/>
        <v>商业繁华度</v>
      </c>
      <c r="R15" s="705" t="s">
        <v>14</v>
      </c>
      <c r="S15" s="706">
        <f t="shared" si="0"/>
        <v>100</v>
      </c>
      <c r="T15" s="705" t="s">
        <v>14</v>
      </c>
      <c r="U15" s="706">
        <f t="shared" si="1"/>
        <v>100</v>
      </c>
      <c r="V15" s="705" t="s">
        <v>14</v>
      </c>
      <c r="W15" s="706">
        <f t="shared" si="2"/>
        <v>100</v>
      </c>
      <c r="X15" s="1355"/>
      <c r="Y15" s="372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29"/>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29"/>
      <c r="Q18" s="1352"/>
      <c r="R18" s="705"/>
      <c r="S18" s="706"/>
      <c r="T18" s="705"/>
      <c r="U18" s="706"/>
      <c r="V18" s="705"/>
      <c r="W18" s="706"/>
      <c r="X18" s="1355"/>
      <c r="Y18" s="372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29"/>
      <c r="Q20" s="1352"/>
      <c r="R20" s="705"/>
      <c r="S20" s="706"/>
      <c r="T20" s="705"/>
      <c r="U20" s="706"/>
      <c r="V20" s="705"/>
      <c r="W20" s="706"/>
      <c r="X20" s="1355"/>
      <c r="Y20" s="372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29"/>
      <c r="Q22" s="1352"/>
      <c r="R22" s="705"/>
      <c r="S22" s="706"/>
      <c r="T22" s="705"/>
      <c r="U22" s="706"/>
      <c r="V22" s="705"/>
      <c r="W22" s="706"/>
      <c r="X22" s="1355"/>
      <c r="Y22" s="372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9"/>
      <c r="Q23" s="1352" t="str">
        <f>B23</f>
        <v>自然及人文环境</v>
      </c>
      <c r="R23" s="705" t="s">
        <v>14</v>
      </c>
      <c r="S23" s="706">
        <f>F23</f>
        <v>100</v>
      </c>
      <c r="T23" s="705" t="s">
        <v>14</v>
      </c>
      <c r="U23" s="706">
        <f>H23</f>
        <v>100</v>
      </c>
      <c r="V23" s="705" t="s">
        <v>14</v>
      </c>
      <c r="W23" s="706">
        <f>J23</f>
        <v>100</v>
      </c>
      <c r="X23" s="1355"/>
      <c r="Y23" s="372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29"/>
      <c r="Q24" s="1352"/>
      <c r="R24" s="705"/>
      <c r="S24" s="706"/>
      <c r="T24" s="705"/>
      <c r="U24" s="706"/>
      <c r="V24" s="705"/>
      <c r="W24" s="706"/>
      <c r="X24" s="1355"/>
      <c r="Y24" s="372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29"/>
      <c r="Q25" s="1352" t="str">
        <f t="shared" ref="Q25:Q46" si="11">B25</f>
        <v>临街状况</v>
      </c>
      <c r="R25" s="705" t="s">
        <v>14</v>
      </c>
      <c r="S25" s="706">
        <f>F25</f>
        <v>100</v>
      </c>
      <c r="T25" s="705" t="s">
        <v>14</v>
      </c>
      <c r="U25" s="706">
        <f>H25</f>
        <v>100</v>
      </c>
      <c r="V25" s="705" t="s">
        <v>14</v>
      </c>
      <c r="W25" s="706">
        <f>J25</f>
        <v>100</v>
      </c>
      <c r="X25" s="1355"/>
      <c r="Y25" s="372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9"/>
      <c r="Q26" s="1352" t="str">
        <f t="shared" si="11"/>
        <v>平面位置/可视性</v>
      </c>
      <c r="R26" s="705" t="s">
        <v>14</v>
      </c>
      <c r="S26" s="706">
        <f>F26</f>
        <v>100</v>
      </c>
      <c r="T26" s="705" t="s">
        <v>14</v>
      </c>
      <c r="U26" s="706">
        <f>H26</f>
        <v>100</v>
      </c>
      <c r="V26" s="705" t="s">
        <v>14</v>
      </c>
      <c r="W26" s="706">
        <f>J26</f>
        <v>100</v>
      </c>
      <c r="X26" s="1355"/>
      <c r="Y26" s="372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29"/>
      <c r="Q27" s="1343" t="str">
        <f t="shared" si="11"/>
        <v>人流量</v>
      </c>
      <c r="R27" s="701" t="s">
        <v>14</v>
      </c>
      <c r="S27" s="702">
        <f>F27</f>
        <v>100</v>
      </c>
      <c r="T27" s="701" t="s">
        <v>14</v>
      </c>
      <c r="U27" s="702">
        <f>H27</f>
        <v>100</v>
      </c>
      <c r="V27" s="701" t="s">
        <v>14</v>
      </c>
      <c r="W27" s="702">
        <f>J27</f>
        <v>100</v>
      </c>
      <c r="X27" s="703"/>
      <c r="Y27" s="372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2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9"/>
      <c r="Q29" s="1352">
        <f t="shared" si="11"/>
        <v>111</v>
      </c>
      <c r="R29" s="705" t="s">
        <v>14</v>
      </c>
      <c r="S29" s="706">
        <f t="shared" si="12"/>
        <v>100</v>
      </c>
      <c r="T29" s="705" t="s">
        <v>14</v>
      </c>
      <c r="U29" s="706">
        <f t="shared" si="13"/>
        <v>100</v>
      </c>
      <c r="V29" s="705" t="s">
        <v>14</v>
      </c>
      <c r="W29" s="706">
        <f t="shared" si="14"/>
        <v>100</v>
      </c>
      <c r="X29" s="1355"/>
      <c r="Y29" s="372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23" t="s">
        <v>1696</v>
      </c>
      <c r="Q32" s="1352" t="str">
        <f t="shared" si="11"/>
        <v>商业类型</v>
      </c>
      <c r="R32" s="705" t="s">
        <v>14</v>
      </c>
      <c r="S32" s="706">
        <f t="shared" si="12"/>
        <v>100</v>
      </c>
      <c r="T32" s="705" t="s">
        <v>14</v>
      </c>
      <c r="U32" s="706">
        <f t="shared" si="13"/>
        <v>100</v>
      </c>
      <c r="V32" s="705" t="s">
        <v>14</v>
      </c>
      <c r="W32" s="706">
        <f t="shared" si="14"/>
        <v>100</v>
      </c>
      <c r="X32" s="1355"/>
      <c r="Y32" s="372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24"/>
      <c r="Q34" s="1352" t="str">
        <f t="shared" si="11"/>
        <v>建筑结构</v>
      </c>
      <c r="R34" s="705" t="s">
        <v>14</v>
      </c>
      <c r="S34" s="706">
        <f t="shared" si="12"/>
        <v>100</v>
      </c>
      <c r="T34" s="705" t="s">
        <v>14</v>
      </c>
      <c r="U34" s="706">
        <f t="shared" si="13"/>
        <v>100</v>
      </c>
      <c r="V34" s="705" t="s">
        <v>14</v>
      </c>
      <c r="W34" s="706">
        <f t="shared" si="14"/>
        <v>100</v>
      </c>
      <c r="X34" s="1355"/>
      <c r="Y34" s="372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24"/>
      <c r="Q35" s="1352" t="str">
        <f t="shared" si="11"/>
        <v>公共部分装修</v>
      </c>
      <c r="R35" s="705" t="s">
        <v>14</v>
      </c>
      <c r="S35" s="706">
        <f t="shared" si="12"/>
        <v>100</v>
      </c>
      <c r="T35" s="705" t="s">
        <v>14</v>
      </c>
      <c r="U35" s="706">
        <f t="shared" si="13"/>
        <v>100</v>
      </c>
      <c r="V35" s="705" t="s">
        <v>14</v>
      </c>
      <c r="W35" s="706">
        <f t="shared" si="14"/>
        <v>100</v>
      </c>
      <c r="X35" s="1355"/>
      <c r="Y35" s="372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4"/>
      <c r="Q36" s="1352" t="str">
        <f t="shared" si="11"/>
        <v>成新度</v>
      </c>
      <c r="R36" s="705" t="s">
        <v>14</v>
      </c>
      <c r="S36" s="706" t="e">
        <f t="shared" si="12"/>
        <v>#N/A</v>
      </c>
      <c r="T36" s="705" t="s">
        <v>14</v>
      </c>
      <c r="U36" s="706" t="e">
        <f t="shared" si="13"/>
        <v>#N/A</v>
      </c>
      <c r="V36" s="705" t="s">
        <v>14</v>
      </c>
      <c r="W36" s="706" t="e">
        <f t="shared" si="14"/>
        <v>#N/A</v>
      </c>
      <c r="X36" s="1355"/>
      <c r="Y36" s="372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24"/>
      <c r="Q37" s="1343"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24" t="s">
        <v>1696</v>
      </c>
      <c r="Q38" s="1352" t="str">
        <f t="shared" si="11"/>
        <v>业态</v>
      </c>
      <c r="R38" s="705" t="s">
        <v>14</v>
      </c>
      <c r="S38" s="706">
        <f t="shared" si="12"/>
        <v>100</v>
      </c>
      <c r="T38" s="705" t="s">
        <v>14</v>
      </c>
      <c r="U38" s="706">
        <f t="shared" si="13"/>
        <v>100</v>
      </c>
      <c r="V38" s="705" t="s">
        <v>14</v>
      </c>
      <c r="W38" s="706">
        <f t="shared" si="14"/>
        <v>100</v>
      </c>
      <c r="X38" s="1355"/>
      <c r="Y38" s="372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24"/>
      <c r="Q39" s="1352" t="str">
        <f t="shared" si="11"/>
        <v>层高</v>
      </c>
      <c r="R39" s="705" t="s">
        <v>14</v>
      </c>
      <c r="S39" s="706">
        <f t="shared" si="12"/>
        <v>100</v>
      </c>
      <c r="T39" s="705" t="s">
        <v>14</v>
      </c>
      <c r="U39" s="706">
        <f t="shared" si="13"/>
        <v>100</v>
      </c>
      <c r="V39" s="705" t="s">
        <v>14</v>
      </c>
      <c r="W39" s="706">
        <f t="shared" si="14"/>
        <v>100</v>
      </c>
      <c r="X39" s="1355"/>
      <c r="Y39" s="372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4"/>
      <c r="Q40" s="1352" t="str">
        <f t="shared" si="11"/>
        <v>单套建筑面积</v>
      </c>
      <c r="R40" s="705" t="s">
        <v>14</v>
      </c>
      <c r="S40" s="706">
        <f t="shared" si="12"/>
        <v>100</v>
      </c>
      <c r="T40" s="705" t="s">
        <v>14</v>
      </c>
      <c r="U40" s="706">
        <f t="shared" si="13"/>
        <v>100</v>
      </c>
      <c r="V40" s="705" t="s">
        <v>14</v>
      </c>
      <c r="W40" s="706">
        <f t="shared" si="14"/>
        <v>100</v>
      </c>
      <c r="X40" s="1355"/>
      <c r="Y40" s="372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24"/>
      <c r="Q42" s="1352" t="str">
        <f t="shared" si="11"/>
        <v>内部装修</v>
      </c>
      <c r="R42" s="705" t="s">
        <v>14</v>
      </c>
      <c r="S42" s="706">
        <f t="shared" si="12"/>
        <v>100</v>
      </c>
      <c r="T42" s="705" t="s">
        <v>14</v>
      </c>
      <c r="U42" s="706">
        <f t="shared" si="13"/>
        <v>100</v>
      </c>
      <c r="V42" s="705" t="s">
        <v>14</v>
      </c>
      <c r="W42" s="706">
        <f t="shared" si="14"/>
        <v>100</v>
      </c>
      <c r="X42" s="1355"/>
      <c r="Y42" s="372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24"/>
      <c r="Q43" s="1352" t="str">
        <f t="shared" si="11"/>
        <v>内部装修维护情况</v>
      </c>
      <c r="R43" s="705" t="s">
        <v>14</v>
      </c>
      <c r="S43" s="706">
        <f t="shared" si="12"/>
        <v>100</v>
      </c>
      <c r="T43" s="705" t="s">
        <v>14</v>
      </c>
      <c r="U43" s="706">
        <f t="shared" si="13"/>
        <v>100</v>
      </c>
      <c r="V43" s="705" t="s">
        <v>14</v>
      </c>
      <c r="W43" s="706">
        <f t="shared" si="14"/>
        <v>100</v>
      </c>
      <c r="X43" s="1355"/>
      <c r="Y43" s="372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4"/>
      <c r="Q44" s="1343">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4"/>
      <c r="Q45" s="1352">
        <f t="shared" si="11"/>
        <v>111</v>
      </c>
      <c r="R45" s="705" t="s">
        <v>14</v>
      </c>
      <c r="S45" s="706">
        <f t="shared" si="12"/>
        <v>100</v>
      </c>
      <c r="T45" s="705" t="s">
        <v>14</v>
      </c>
      <c r="U45" s="706">
        <f t="shared" si="13"/>
        <v>100</v>
      </c>
      <c r="V45" s="705" t="s">
        <v>14</v>
      </c>
      <c r="W45" s="706">
        <f t="shared" si="14"/>
        <v>100</v>
      </c>
      <c r="X45" s="1355"/>
      <c r="Y45" s="372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719" t="str">
        <f>A47</f>
        <v>成交单价（元/平方米）</v>
      </c>
      <c r="Q47" s="3719"/>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165.59</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36" t="s">
        <v>1775</v>
      </c>
      <c r="Q4" s="3737"/>
      <c r="R4" s="3731" t="s">
        <v>1771</v>
      </c>
      <c r="S4" s="3732"/>
      <c r="T4" s="3731" t="s">
        <v>1772</v>
      </c>
      <c r="U4" s="3732"/>
      <c r="V4" s="3740" t="s">
        <v>1773</v>
      </c>
      <c r="W4" s="3740"/>
      <c r="X4" s="1958"/>
      <c r="Y4" s="3731" t="s">
        <v>1775</v>
      </c>
      <c r="Z4" s="3732"/>
      <c r="AA4" s="3730" t="s">
        <v>1771</v>
      </c>
      <c r="AB4" s="3730" t="s">
        <v>1772</v>
      </c>
      <c r="AC4" s="3733" t="s">
        <v>1773</v>
      </c>
    </row>
    <row r="5" spans="1:29" ht="15">
      <c r="A5" s="358"/>
      <c r="B5" s="359"/>
      <c r="C5" s="3695" t="s">
        <v>1673</v>
      </c>
      <c r="D5" s="3696"/>
      <c r="E5" s="3693" t="s">
        <v>1674</v>
      </c>
      <c r="F5" s="3694"/>
      <c r="G5" s="3695" t="s">
        <v>1675</v>
      </c>
      <c r="H5" s="3696"/>
      <c r="I5" s="3695" t="s">
        <v>1676</v>
      </c>
      <c r="J5" s="3696"/>
      <c r="K5" s="559"/>
      <c r="L5" s="2712"/>
      <c r="M5" s="2713"/>
      <c r="N5" s="2713"/>
      <c r="O5" s="2713"/>
      <c r="P5" s="3738"/>
      <c r="Q5" s="3709"/>
      <c r="R5" s="3691"/>
      <c r="S5" s="3692"/>
      <c r="T5" s="3691"/>
      <c r="U5" s="3692"/>
      <c r="V5" s="3714"/>
      <c r="W5" s="3714"/>
      <c r="X5" s="1355"/>
      <c r="Y5" s="3691"/>
      <c r="Z5" s="3692"/>
      <c r="AA5" s="3685"/>
      <c r="AB5" s="3685"/>
      <c r="AC5" s="3734"/>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39"/>
      <c r="Q6" s="3711"/>
      <c r="R6" s="3691"/>
      <c r="S6" s="3692"/>
      <c r="T6" s="3712"/>
      <c r="U6" s="3713"/>
      <c r="V6" s="3714"/>
      <c r="W6" s="3714"/>
      <c r="X6" s="1355"/>
      <c r="Y6" s="3712"/>
      <c r="Z6" s="3713"/>
      <c r="AA6" s="3686"/>
      <c r="AB6" s="3686"/>
      <c r="AC6" s="3735"/>
    </row>
    <row r="7" spans="1:29" s="108" customFormat="1" ht="15.75" thickBot="1">
      <c r="A7" s="362" t="s">
        <v>1679</v>
      </c>
      <c r="B7" s="363"/>
      <c r="C7" s="364">
        <f>'数据-取费表'!B2</f>
        <v>45034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1"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1" t="s">
        <v>1683</v>
      </c>
      <c r="Q8" s="3688"/>
      <c r="R8" s="701" t="s">
        <v>14</v>
      </c>
      <c r="S8" s="702">
        <f t="shared" si="0"/>
        <v>100</v>
      </c>
      <c r="T8" s="701" t="s">
        <v>14</v>
      </c>
      <c r="U8" s="702">
        <f t="shared" si="1"/>
        <v>100</v>
      </c>
      <c r="V8" s="701" t="s">
        <v>14</v>
      </c>
      <c r="W8" s="702">
        <f t="shared" si="2"/>
        <v>100</v>
      </c>
      <c r="X8" s="703"/>
      <c r="Y8" s="3687" t="s">
        <v>1683</v>
      </c>
      <c r="Z8" s="368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0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28" t="s">
        <v>1691</v>
      </c>
      <c r="Q15" s="1352" t="str">
        <f t="shared" si="6"/>
        <v>办公集聚程度</v>
      </c>
      <c r="R15" s="705" t="s">
        <v>14</v>
      </c>
      <c r="S15" s="706">
        <f t="shared" si="0"/>
        <v>100</v>
      </c>
      <c r="T15" s="705" t="s">
        <v>14</v>
      </c>
      <c r="U15" s="706">
        <f t="shared" si="1"/>
        <v>100</v>
      </c>
      <c r="V15" s="705" t="s">
        <v>14</v>
      </c>
      <c r="W15" s="706">
        <f t="shared" si="2"/>
        <v>100</v>
      </c>
      <c r="X15" s="1355"/>
      <c r="Y15" s="372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29"/>
      <c r="Q16" s="1352"/>
      <c r="R16" s="705"/>
      <c r="S16" s="706"/>
      <c r="T16" s="705"/>
      <c r="U16" s="706"/>
      <c r="V16" s="705"/>
      <c r="W16" s="706"/>
      <c r="X16" s="1355"/>
      <c r="Y16" s="372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29"/>
      <c r="Q18" s="1352"/>
      <c r="R18" s="705"/>
      <c r="S18" s="706"/>
      <c r="T18" s="705"/>
      <c r="U18" s="706"/>
      <c r="V18" s="705"/>
      <c r="W18" s="706"/>
      <c r="X18" s="1355"/>
      <c r="Y18" s="372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29"/>
      <c r="Q20" s="1352"/>
      <c r="R20" s="705"/>
      <c r="S20" s="706"/>
      <c r="T20" s="705"/>
      <c r="U20" s="706"/>
      <c r="V20" s="705"/>
      <c r="W20" s="706"/>
      <c r="X20" s="1355"/>
      <c r="Y20" s="372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29"/>
      <c r="Q22" s="1352"/>
      <c r="R22" s="705"/>
      <c r="S22" s="706"/>
      <c r="T22" s="705"/>
      <c r="U22" s="706"/>
      <c r="V22" s="705"/>
      <c r="W22" s="706"/>
      <c r="X22" s="1355"/>
      <c r="Y22" s="372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9"/>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29"/>
      <c r="Q24" s="1352"/>
      <c r="R24" s="705"/>
      <c r="S24" s="706"/>
      <c r="T24" s="705"/>
      <c r="U24" s="706"/>
      <c r="V24" s="705"/>
      <c r="W24" s="706"/>
      <c r="X24" s="1355"/>
      <c r="Y24" s="372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29"/>
      <c r="Q25" s="1352" t="str">
        <f>B25</f>
        <v>毗邻道路的类型与等级</v>
      </c>
      <c r="R25" s="705" t="s">
        <v>14</v>
      </c>
      <c r="S25" s="706">
        <f>F25</f>
        <v>100</v>
      </c>
      <c r="T25" s="705" t="s">
        <v>14</v>
      </c>
      <c r="U25" s="706">
        <f>H25</f>
        <v>100</v>
      </c>
      <c r="V25" s="705" t="s">
        <v>14</v>
      </c>
      <c r="W25" s="706">
        <f>J25</f>
        <v>100</v>
      </c>
      <c r="X25" s="1355"/>
      <c r="Y25" s="372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29"/>
      <c r="Q26" s="1352"/>
      <c r="R26" s="705"/>
      <c r="S26" s="706"/>
      <c r="T26" s="705"/>
      <c r="U26" s="706"/>
      <c r="V26" s="705"/>
      <c r="W26" s="706"/>
      <c r="X26" s="1355"/>
      <c r="Y26" s="372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9"/>
      <c r="Q27" s="1352" t="str">
        <f t="shared" ref="Q27:Q47" si="11">B27</f>
        <v>楼层</v>
      </c>
      <c r="R27" s="705" t="s">
        <v>14</v>
      </c>
      <c r="S27" s="706">
        <f>F27</f>
        <v>100</v>
      </c>
      <c r="T27" s="705" t="s">
        <v>14</v>
      </c>
      <c r="U27" s="706">
        <f>H27</f>
        <v>100</v>
      </c>
      <c r="V27" s="705" t="s">
        <v>14</v>
      </c>
      <c r="W27" s="706">
        <f>J27</f>
        <v>100</v>
      </c>
      <c r="X27" s="1355"/>
      <c r="Y27" s="372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29"/>
      <c r="Q28" s="1343" t="str">
        <f t="shared" si="11"/>
        <v>朝向</v>
      </c>
      <c r="R28" s="701" t="s">
        <v>14</v>
      </c>
      <c r="S28" s="702">
        <f>F28</f>
        <v>100</v>
      </c>
      <c r="T28" s="701" t="s">
        <v>14</v>
      </c>
      <c r="U28" s="702">
        <f>H28</f>
        <v>100</v>
      </c>
      <c r="V28" s="701" t="s">
        <v>14</v>
      </c>
      <c r="W28" s="702">
        <f>J28</f>
        <v>100</v>
      </c>
      <c r="X28" s="703"/>
      <c r="Y28" s="372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29"/>
      <c r="Q29" s="1352">
        <f t="shared" si="11"/>
        <v>111</v>
      </c>
      <c r="R29" s="705" t="s">
        <v>14</v>
      </c>
      <c r="S29" s="706">
        <f t="shared" ref="S29:S47" si="12">F29</f>
        <v>100</v>
      </c>
      <c r="T29" s="705" t="s">
        <v>14</v>
      </c>
      <c r="U29" s="706">
        <f t="shared" ref="U29:U47" si="13">H29</f>
        <v>100</v>
      </c>
      <c r="V29" s="705" t="s">
        <v>14</v>
      </c>
      <c r="W29" s="706">
        <f t="shared" ref="W29:W47" si="14">J29</f>
        <v>100</v>
      </c>
      <c r="X29" s="1355"/>
      <c r="Y29" s="372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29"/>
      <c r="Q32" s="1352">
        <f t="shared" si="11"/>
        <v>111</v>
      </c>
      <c r="R32" s="705" t="s">
        <v>14</v>
      </c>
      <c r="S32" s="706">
        <f t="shared" si="12"/>
        <v>100</v>
      </c>
      <c r="T32" s="705" t="s">
        <v>14</v>
      </c>
      <c r="U32" s="706">
        <f t="shared" si="13"/>
        <v>100</v>
      </c>
      <c r="V32" s="705" t="s">
        <v>14</v>
      </c>
      <c r="W32" s="706">
        <f t="shared" si="14"/>
        <v>100</v>
      </c>
      <c r="X32" s="1355"/>
      <c r="Y32" s="372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23" t="s">
        <v>1696</v>
      </c>
      <c r="Q33" s="1352" t="str">
        <f t="shared" si="11"/>
        <v>建筑类型</v>
      </c>
      <c r="R33" s="705" t="s">
        <v>14</v>
      </c>
      <c r="S33" s="706">
        <f t="shared" si="12"/>
        <v>100</v>
      </c>
      <c r="T33" s="705" t="s">
        <v>14</v>
      </c>
      <c r="U33" s="706">
        <f t="shared" si="13"/>
        <v>100</v>
      </c>
      <c r="V33" s="705" t="s">
        <v>14</v>
      </c>
      <c r="W33" s="706">
        <f t="shared" si="14"/>
        <v>100</v>
      </c>
      <c r="X33" s="1355"/>
      <c r="Y33" s="372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4"/>
      <c r="Q35" s="1352" t="str">
        <f t="shared" si="11"/>
        <v>建筑结构</v>
      </c>
      <c r="R35" s="705" t="s">
        <v>14</v>
      </c>
      <c r="S35" s="706">
        <f t="shared" si="12"/>
        <v>100</v>
      </c>
      <c r="T35" s="705" t="s">
        <v>14</v>
      </c>
      <c r="U35" s="706">
        <f t="shared" si="13"/>
        <v>100</v>
      </c>
      <c r="V35" s="705" t="s">
        <v>14</v>
      </c>
      <c r="W35" s="706">
        <f t="shared" si="14"/>
        <v>100</v>
      </c>
      <c r="X35" s="1355"/>
      <c r="Y35" s="372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4"/>
      <c r="Q36" s="1352" t="str">
        <f t="shared" si="11"/>
        <v>公共部分装修</v>
      </c>
      <c r="R36" s="705" t="s">
        <v>14</v>
      </c>
      <c r="S36" s="706">
        <f t="shared" si="12"/>
        <v>100</v>
      </c>
      <c r="T36" s="705" t="s">
        <v>14</v>
      </c>
      <c r="U36" s="706">
        <f t="shared" si="13"/>
        <v>100</v>
      </c>
      <c r="V36" s="705" t="s">
        <v>14</v>
      </c>
      <c r="W36" s="706">
        <f t="shared" si="14"/>
        <v>100</v>
      </c>
      <c r="X36" s="1355"/>
      <c r="Y36" s="372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4"/>
      <c r="Q37" s="1352" t="str">
        <f t="shared" si="11"/>
        <v>成新度</v>
      </c>
      <c r="R37" s="705" t="s">
        <v>14</v>
      </c>
      <c r="S37" s="706" t="e">
        <f t="shared" si="12"/>
        <v>#N/A</v>
      </c>
      <c r="T37" s="705" t="s">
        <v>14</v>
      </c>
      <c r="U37" s="706" t="e">
        <f t="shared" si="13"/>
        <v>#N/A</v>
      </c>
      <c r="V37" s="705" t="s">
        <v>14</v>
      </c>
      <c r="W37" s="706" t="e">
        <f t="shared" si="14"/>
        <v>#N/A</v>
      </c>
      <c r="X37" s="1355"/>
      <c r="Y37" s="372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4"/>
      <c r="Q38" s="1343"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4" t="s">
        <v>1696</v>
      </c>
      <c r="Q39" s="1352" t="str">
        <f t="shared" si="11"/>
        <v>物业管理</v>
      </c>
      <c r="R39" s="705" t="s">
        <v>14</v>
      </c>
      <c r="S39" s="706">
        <f t="shared" si="12"/>
        <v>100</v>
      </c>
      <c r="T39" s="705" t="s">
        <v>14</v>
      </c>
      <c r="U39" s="706">
        <f t="shared" si="13"/>
        <v>100</v>
      </c>
      <c r="V39" s="705" t="s">
        <v>14</v>
      </c>
      <c r="W39" s="706">
        <f t="shared" si="14"/>
        <v>100</v>
      </c>
      <c r="X39" s="1355"/>
      <c r="Y39" s="372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4"/>
      <c r="Q40" s="1352" t="str">
        <f t="shared" si="11"/>
        <v>市政基础设施</v>
      </c>
      <c r="R40" s="705" t="s">
        <v>14</v>
      </c>
      <c r="S40" s="706">
        <f t="shared" si="12"/>
        <v>100</v>
      </c>
      <c r="T40" s="705" t="s">
        <v>14</v>
      </c>
      <c r="U40" s="706">
        <f t="shared" si="13"/>
        <v>100</v>
      </c>
      <c r="V40" s="705" t="s">
        <v>14</v>
      </c>
      <c r="W40" s="706">
        <f t="shared" si="14"/>
        <v>100</v>
      </c>
      <c r="X40" s="1355"/>
      <c r="Y40" s="372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4"/>
      <c r="Q41" s="1352" t="str">
        <f t="shared" si="11"/>
        <v>层高</v>
      </c>
      <c r="R41" s="705" t="s">
        <v>14</v>
      </c>
      <c r="S41" s="706">
        <f t="shared" si="12"/>
        <v>100</v>
      </c>
      <c r="T41" s="705" t="s">
        <v>14</v>
      </c>
      <c r="U41" s="706">
        <f t="shared" si="13"/>
        <v>100</v>
      </c>
      <c r="V41" s="705" t="s">
        <v>14</v>
      </c>
      <c r="W41" s="706">
        <f t="shared" si="14"/>
        <v>100</v>
      </c>
      <c r="X41" s="1355"/>
      <c r="Y41" s="372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4"/>
      <c r="Q43" s="1352" t="str">
        <f t="shared" si="11"/>
        <v>内部装修</v>
      </c>
      <c r="R43" s="705" t="s">
        <v>14</v>
      </c>
      <c r="S43" s="706">
        <f t="shared" si="12"/>
        <v>100</v>
      </c>
      <c r="T43" s="705" t="s">
        <v>14</v>
      </c>
      <c r="U43" s="706">
        <f t="shared" si="13"/>
        <v>100</v>
      </c>
      <c r="V43" s="705" t="s">
        <v>14</v>
      </c>
      <c r="W43" s="706">
        <f t="shared" si="14"/>
        <v>100</v>
      </c>
      <c r="X43" s="1355"/>
      <c r="Y43" s="372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24"/>
      <c r="Q44" s="1352" t="str">
        <f t="shared" si="11"/>
        <v>内部装修维护情况</v>
      </c>
      <c r="R44" s="705" t="s">
        <v>14</v>
      </c>
      <c r="S44" s="706">
        <f t="shared" si="12"/>
        <v>100</v>
      </c>
      <c r="T44" s="705" t="s">
        <v>14</v>
      </c>
      <c r="U44" s="706">
        <f t="shared" si="13"/>
        <v>100</v>
      </c>
      <c r="V44" s="705" t="s">
        <v>14</v>
      </c>
      <c r="W44" s="706">
        <f t="shared" si="14"/>
        <v>100</v>
      </c>
      <c r="X44" s="1355"/>
      <c r="Y44" s="372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4"/>
      <c r="Q45" s="1343">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5"/>
      <c r="Q47" s="1352">
        <f t="shared" si="11"/>
        <v>111</v>
      </c>
      <c r="R47" s="705" t="s">
        <v>14</v>
      </c>
      <c r="S47" s="706">
        <f t="shared" si="12"/>
        <v>100</v>
      </c>
      <c r="T47" s="705" t="s">
        <v>14</v>
      </c>
      <c r="U47" s="706">
        <f t="shared" si="13"/>
        <v>100</v>
      </c>
      <c r="V47" s="705" t="s">
        <v>14</v>
      </c>
      <c r="W47" s="706">
        <f t="shared" si="14"/>
        <v>100</v>
      </c>
      <c r="X47" s="1355"/>
      <c r="Y47" s="372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估价对象为北京市房地产,为开发建设的，该项目尚在开发建设中。根据《国有土地使用证》[]，估价对象（分摊）出让国有建设用地使用权面积为0平方米，规划建筑面积为165.59平方米。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165.59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913"/>
      <c r="M5" s="914"/>
      <c r="N5" s="914"/>
      <c r="O5" s="914"/>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913"/>
      <c r="M6" s="914"/>
      <c r="N6" s="914"/>
      <c r="O6" s="914"/>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45034</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8"/>
      <c r="R8" s="701" t="s">
        <v>14</v>
      </c>
      <c r="S8" s="702">
        <f t="shared" si="0"/>
        <v>100</v>
      </c>
      <c r="T8" s="701" t="s">
        <v>14</v>
      </c>
      <c r="U8" s="702">
        <f t="shared" si="1"/>
        <v>100</v>
      </c>
      <c r="V8" s="701" t="s">
        <v>14</v>
      </c>
      <c r="W8" s="702">
        <f t="shared" si="2"/>
        <v>100</v>
      </c>
      <c r="X8" s="703"/>
      <c r="Y8" s="3687"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2"/>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2"/>
      <c r="Q18" s="1352"/>
      <c r="R18" s="705"/>
      <c r="S18" s="706"/>
      <c r="T18" s="705"/>
      <c r="U18" s="706"/>
      <c r="V18" s="705"/>
      <c r="W18" s="706"/>
      <c r="X18" s="1355"/>
      <c r="Y18" s="372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2"/>
      <c r="Q20" s="1352"/>
      <c r="R20" s="705"/>
      <c r="S20" s="706"/>
      <c r="T20" s="705"/>
      <c r="U20" s="706"/>
      <c r="V20" s="705"/>
      <c r="W20" s="706"/>
      <c r="X20" s="1355"/>
      <c r="Y20" s="372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2"/>
      <c r="Q22" s="1352"/>
      <c r="R22" s="705"/>
      <c r="S22" s="706"/>
      <c r="T22" s="705"/>
      <c r="U22" s="706"/>
      <c r="V22" s="705"/>
      <c r="W22" s="706"/>
      <c r="X22" s="1355"/>
      <c r="Y22" s="372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2"/>
      <c r="Q24" s="1352"/>
      <c r="R24" s="705"/>
      <c r="S24" s="706"/>
      <c r="T24" s="705"/>
      <c r="U24" s="706"/>
      <c r="V24" s="705"/>
      <c r="W24" s="706"/>
      <c r="X24" s="1355"/>
      <c r="Y24" s="372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2">
        <f>B25</f>
        <v>111</v>
      </c>
      <c r="R25" s="705" t="s">
        <v>14</v>
      </c>
      <c r="S25" s="706">
        <f>F25</f>
        <v>100</v>
      </c>
      <c r="T25" s="705" t="s">
        <v>14</v>
      </c>
      <c r="U25" s="706">
        <f>H25</f>
        <v>100</v>
      </c>
      <c r="V25" s="705" t="s">
        <v>14</v>
      </c>
      <c r="W25" s="706">
        <f>J25</f>
        <v>100</v>
      </c>
      <c r="X25" s="1355"/>
      <c r="Y25" s="372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2">
        <f t="shared" ref="Q26:Q40" si="11">B26</f>
        <v>111</v>
      </c>
      <c r="R26" s="705" t="s">
        <v>14</v>
      </c>
      <c r="S26" s="706">
        <f>F26</f>
        <v>100</v>
      </c>
      <c r="T26" s="705" t="s">
        <v>14</v>
      </c>
      <c r="U26" s="706">
        <f>H26</f>
        <v>100</v>
      </c>
      <c r="V26" s="705" t="s">
        <v>14</v>
      </c>
      <c r="W26" s="706">
        <f>J26</f>
        <v>100</v>
      </c>
      <c r="X26" s="1355"/>
      <c r="Y26" s="372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3">
        <f t="shared" si="11"/>
        <v>111</v>
      </c>
      <c r="R27" s="701" t="s">
        <v>14</v>
      </c>
      <c r="S27" s="702">
        <f>F27</f>
        <v>100</v>
      </c>
      <c r="T27" s="701" t="s">
        <v>14</v>
      </c>
      <c r="U27" s="702">
        <f>H27</f>
        <v>100</v>
      </c>
      <c r="V27" s="701" t="s">
        <v>14</v>
      </c>
      <c r="W27" s="702">
        <f>J27</f>
        <v>100</v>
      </c>
      <c r="X27" s="703"/>
      <c r="Y27" s="372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2">
        <f t="shared" si="11"/>
        <v>111</v>
      </c>
      <c r="R28" s="705" t="s">
        <v>14</v>
      </c>
      <c r="S28" s="706">
        <f t="shared" ref="S28:S40" si="12">F28</f>
        <v>100</v>
      </c>
      <c r="T28" s="705" t="s">
        <v>14</v>
      </c>
      <c r="U28" s="706">
        <f t="shared" ref="U28:U40" si="13">H28</f>
        <v>100</v>
      </c>
      <c r="V28" s="705" t="s">
        <v>14</v>
      </c>
      <c r="W28" s="706">
        <f t="shared" ref="W28:W40" si="14">J28</f>
        <v>100</v>
      </c>
      <c r="X28" s="1355"/>
      <c r="Y28" s="372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72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2" t="str">
        <f t="shared" si="11"/>
        <v>建筑结构</v>
      </c>
      <c r="R31" s="705" t="s">
        <v>14</v>
      </c>
      <c r="S31" s="706">
        <f t="shared" si="12"/>
        <v>100</v>
      </c>
      <c r="T31" s="705" t="s">
        <v>14</v>
      </c>
      <c r="U31" s="706">
        <f t="shared" si="13"/>
        <v>100</v>
      </c>
      <c r="V31" s="705" t="s">
        <v>14</v>
      </c>
      <c r="W31" s="706">
        <f t="shared" si="14"/>
        <v>100</v>
      </c>
      <c r="X31" s="1355"/>
      <c r="Y31" s="372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2" t="str">
        <f t="shared" si="11"/>
        <v>公共部分装修</v>
      </c>
      <c r="R32" s="705" t="s">
        <v>14</v>
      </c>
      <c r="S32" s="706">
        <f t="shared" si="12"/>
        <v>100</v>
      </c>
      <c r="T32" s="705" t="s">
        <v>14</v>
      </c>
      <c r="U32" s="706">
        <f t="shared" si="13"/>
        <v>100</v>
      </c>
      <c r="V32" s="705" t="s">
        <v>14</v>
      </c>
      <c r="W32" s="706">
        <f t="shared" si="14"/>
        <v>100</v>
      </c>
      <c r="X32" s="1355"/>
      <c r="Y32" s="372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2" t="str">
        <f t="shared" si="11"/>
        <v>成新度</v>
      </c>
      <c r="R33" s="705" t="s">
        <v>14</v>
      </c>
      <c r="S33" s="706" t="e">
        <f t="shared" si="12"/>
        <v>#N/A</v>
      </c>
      <c r="T33" s="705" t="s">
        <v>14</v>
      </c>
      <c r="U33" s="706" t="e">
        <f t="shared" si="13"/>
        <v>#N/A</v>
      </c>
      <c r="V33" s="705" t="s">
        <v>14</v>
      </c>
      <c r="W33" s="706" t="e">
        <f t="shared" si="14"/>
        <v>#N/A</v>
      </c>
      <c r="X33" s="1355"/>
      <c r="Y33" s="372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3"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2" t="str">
        <f t="shared" si="11"/>
        <v>市政基础设施</v>
      </c>
      <c r="R35" s="705" t="s">
        <v>14</v>
      </c>
      <c r="S35" s="706">
        <f t="shared" si="12"/>
        <v>100</v>
      </c>
      <c r="T35" s="705" t="s">
        <v>14</v>
      </c>
      <c r="U35" s="706">
        <f t="shared" si="13"/>
        <v>100</v>
      </c>
      <c r="V35" s="705" t="s">
        <v>14</v>
      </c>
      <c r="W35" s="706">
        <f t="shared" si="14"/>
        <v>100</v>
      </c>
      <c r="X35" s="1355"/>
      <c r="Y35" s="372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2" t="str">
        <f t="shared" si="11"/>
        <v>内部装修</v>
      </c>
      <c r="R36" s="705" t="s">
        <v>14</v>
      </c>
      <c r="S36" s="706">
        <f t="shared" si="12"/>
        <v>100</v>
      </c>
      <c r="T36" s="705" t="s">
        <v>14</v>
      </c>
      <c r="U36" s="706">
        <f t="shared" si="13"/>
        <v>100</v>
      </c>
      <c r="V36" s="705" t="s">
        <v>14</v>
      </c>
      <c r="W36" s="706">
        <f t="shared" si="14"/>
        <v>100</v>
      </c>
      <c r="X36" s="1355"/>
      <c r="Y36" s="372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2" t="str">
        <f t="shared" si="11"/>
        <v>内部装修状况</v>
      </c>
      <c r="R37" s="705" t="s">
        <v>14</v>
      </c>
      <c r="S37" s="706">
        <f t="shared" si="12"/>
        <v>100</v>
      </c>
      <c r="T37" s="705" t="s">
        <v>14</v>
      </c>
      <c r="U37" s="706">
        <f t="shared" si="13"/>
        <v>100</v>
      </c>
      <c r="V37" s="705" t="s">
        <v>14</v>
      </c>
      <c r="W37" s="706">
        <f t="shared" si="14"/>
        <v>100</v>
      </c>
      <c r="X37" s="1355"/>
      <c r="Y37" s="372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2">
        <f t="shared" si="11"/>
        <v>111</v>
      </c>
      <c r="R39" s="705" t="s">
        <v>14</v>
      </c>
      <c r="S39" s="706">
        <f t="shared" si="12"/>
        <v>100</v>
      </c>
      <c r="T39" s="705" t="s">
        <v>14</v>
      </c>
      <c r="U39" s="706">
        <f t="shared" si="13"/>
        <v>100</v>
      </c>
      <c r="V39" s="705" t="s">
        <v>14</v>
      </c>
      <c r="W39" s="706">
        <f t="shared" si="14"/>
        <v>100</v>
      </c>
      <c r="X39" s="1355"/>
      <c r="Y39" s="372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2">
        <f t="shared" si="11"/>
        <v>111</v>
      </c>
      <c r="R40" s="705" t="s">
        <v>14</v>
      </c>
      <c r="S40" s="706">
        <f t="shared" si="12"/>
        <v>100</v>
      </c>
      <c r="T40" s="705" t="s">
        <v>14</v>
      </c>
      <c r="U40" s="706">
        <f t="shared" si="13"/>
        <v>100</v>
      </c>
      <c r="V40" s="705" t="s">
        <v>14</v>
      </c>
      <c r="W40" s="706">
        <f t="shared" si="14"/>
        <v>100</v>
      </c>
      <c r="X40" s="1355"/>
      <c r="Y40" s="372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45034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9"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9"/>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22"/>
      <c r="Q15" s="1352"/>
      <c r="R15" s="705"/>
      <c r="S15" s="706"/>
      <c r="T15" s="705"/>
      <c r="U15" s="706"/>
      <c r="V15" s="705"/>
      <c r="W15" s="706"/>
      <c r="X15" s="1355"/>
      <c r="Y15" s="372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22"/>
      <c r="Q17" s="1352"/>
      <c r="R17" s="705"/>
      <c r="S17" s="706"/>
      <c r="T17" s="705"/>
      <c r="U17" s="706"/>
      <c r="V17" s="705"/>
      <c r="W17" s="706"/>
      <c r="X17" s="1355"/>
      <c r="Y17" s="372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22"/>
      <c r="Q19" s="1352"/>
      <c r="R19" s="705"/>
      <c r="S19" s="706"/>
      <c r="T19" s="705"/>
      <c r="U19" s="706"/>
      <c r="V19" s="705"/>
      <c r="W19" s="706"/>
      <c r="X19" s="1355"/>
      <c r="Y19" s="372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22"/>
      <c r="Q21" s="1352"/>
      <c r="R21" s="705"/>
      <c r="S21" s="706"/>
      <c r="T21" s="705"/>
      <c r="U21" s="706"/>
      <c r="V21" s="705"/>
      <c r="W21" s="706"/>
      <c r="X21" s="1355"/>
      <c r="Y21" s="372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2"/>
      <c r="Q24" s="1352">
        <f t="shared" ref="Q24:Q36"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6"/>
      <c r="Q28" s="1352" t="str">
        <f t="shared" si="11"/>
        <v>公共部分装修</v>
      </c>
      <c r="R28" s="705" t="s">
        <v>14</v>
      </c>
      <c r="S28" s="706">
        <f t="shared" si="12"/>
        <v>100</v>
      </c>
      <c r="T28" s="705" t="s">
        <v>14</v>
      </c>
      <c r="U28" s="706">
        <f t="shared" si="13"/>
        <v>100</v>
      </c>
      <c r="V28" s="705" t="s">
        <v>14</v>
      </c>
      <c r="W28" s="706">
        <f t="shared" si="14"/>
        <v>100</v>
      </c>
      <c r="X28" s="1355"/>
      <c r="Y28" s="372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6"/>
      <c r="Q29" s="1352" t="str">
        <f t="shared" si="11"/>
        <v>成新率</v>
      </c>
      <c r="R29" s="705" t="s">
        <v>14</v>
      </c>
      <c r="S29" s="706" t="e">
        <f t="shared" si="12"/>
        <v>#N/A</v>
      </c>
      <c r="T29" s="705" t="s">
        <v>14</v>
      </c>
      <c r="U29" s="706" t="e">
        <f t="shared" si="13"/>
        <v>#N/A</v>
      </c>
      <c r="V29" s="705" t="s">
        <v>14</v>
      </c>
      <c r="W29" s="706" t="e">
        <f t="shared" si="14"/>
        <v>#N/A</v>
      </c>
      <c r="X29" s="1355"/>
      <c r="Y29" s="372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6"/>
      <c r="Q30" s="1352" t="str">
        <f t="shared" si="11"/>
        <v>物业等级</v>
      </c>
      <c r="R30" s="705" t="s">
        <v>14</v>
      </c>
      <c r="S30" s="706">
        <f t="shared" si="12"/>
        <v>100</v>
      </c>
      <c r="T30" s="705" t="s">
        <v>14</v>
      </c>
      <c r="U30" s="706">
        <f t="shared" si="13"/>
        <v>100</v>
      </c>
      <c r="V30" s="705" t="s">
        <v>14</v>
      </c>
      <c r="W30" s="706">
        <f t="shared" si="14"/>
        <v>100</v>
      </c>
      <c r="X30" s="1355"/>
      <c r="Y30" s="372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6"/>
      <c r="Q31" s="1343"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6" t="s">
        <v>1696</v>
      </c>
      <c r="Q32" s="1352" t="str">
        <f t="shared" si="11"/>
        <v>车位类型</v>
      </c>
      <c r="R32" s="705" t="s">
        <v>14</v>
      </c>
      <c r="S32" s="706">
        <f t="shared" si="12"/>
        <v>100</v>
      </c>
      <c r="T32" s="705" t="s">
        <v>14</v>
      </c>
      <c r="U32" s="706">
        <f t="shared" si="13"/>
        <v>100</v>
      </c>
      <c r="V32" s="705" t="s">
        <v>14</v>
      </c>
      <c r="W32" s="706">
        <f t="shared" si="14"/>
        <v>100</v>
      </c>
      <c r="X32" s="1355"/>
      <c r="Y32" s="372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6"/>
      <c r="Q33" s="1352" t="str">
        <f t="shared" si="11"/>
        <v>是否直接入户</v>
      </c>
      <c r="R33" s="705" t="s">
        <v>14</v>
      </c>
      <c r="S33" s="706">
        <f t="shared" si="12"/>
        <v>100</v>
      </c>
      <c r="T33" s="705" t="s">
        <v>14</v>
      </c>
      <c r="U33" s="706">
        <f t="shared" si="13"/>
        <v>100</v>
      </c>
      <c r="V33" s="705" t="s">
        <v>14</v>
      </c>
      <c r="W33" s="706">
        <f t="shared" si="14"/>
        <v>100</v>
      </c>
      <c r="X33" s="1355"/>
      <c r="Y33" s="372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6"/>
      <c r="Q36" s="1352">
        <f t="shared" si="11"/>
        <v>111</v>
      </c>
      <c r="R36" s="705" t="s">
        <v>14</v>
      </c>
      <c r="S36" s="706">
        <f t="shared" si="12"/>
        <v>100</v>
      </c>
      <c r="T36" s="705" t="s">
        <v>14</v>
      </c>
      <c r="U36" s="706">
        <f t="shared" si="13"/>
        <v>100</v>
      </c>
      <c r="V36" s="705" t="s">
        <v>14</v>
      </c>
      <c r="W36" s="706">
        <f t="shared" si="14"/>
        <v>100</v>
      </c>
      <c r="X36" s="1355"/>
      <c r="Y36" s="3726"/>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1"/>
      <c r="M37" s="2722"/>
      <c r="N37" s="2713"/>
      <c r="O37" s="2722"/>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45034</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9"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9"/>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22"/>
      <c r="Q15" s="1352"/>
      <c r="R15" s="705"/>
      <c r="S15" s="706"/>
      <c r="T15" s="705"/>
      <c r="U15" s="706"/>
      <c r="V15" s="705"/>
      <c r="W15" s="706"/>
      <c r="X15" s="1355"/>
      <c r="Y15" s="372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22"/>
      <c r="Q17" s="1352"/>
      <c r="R17" s="705"/>
      <c r="S17" s="706"/>
      <c r="T17" s="705"/>
      <c r="U17" s="706"/>
      <c r="V17" s="705"/>
      <c r="W17" s="706"/>
      <c r="X17" s="1355"/>
      <c r="Y17" s="372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22"/>
      <c r="Q19" s="1352"/>
      <c r="R19" s="705"/>
      <c r="S19" s="706"/>
      <c r="T19" s="705"/>
      <c r="U19" s="706"/>
      <c r="V19" s="705"/>
      <c r="W19" s="706"/>
      <c r="X19" s="1355"/>
      <c r="Y19" s="372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22"/>
      <c r="Q21" s="1352"/>
      <c r="R21" s="705"/>
      <c r="S21" s="706"/>
      <c r="T21" s="705"/>
      <c r="U21" s="706"/>
      <c r="V21" s="705"/>
      <c r="W21" s="706"/>
      <c r="X21" s="1355"/>
      <c r="Y21" s="372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2"/>
      <c r="Q24" s="1352">
        <f t="shared" ref="Q24:Q34"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6"/>
      <c r="Q28" s="1352" t="str">
        <f t="shared" si="11"/>
        <v>物业等级</v>
      </c>
      <c r="R28" s="705" t="s">
        <v>14</v>
      </c>
      <c r="S28" s="706">
        <f t="shared" si="12"/>
        <v>100</v>
      </c>
      <c r="T28" s="705" t="s">
        <v>14</v>
      </c>
      <c r="U28" s="706">
        <f t="shared" si="13"/>
        <v>100</v>
      </c>
      <c r="V28" s="705" t="s">
        <v>14</v>
      </c>
      <c r="W28" s="706">
        <f t="shared" si="14"/>
        <v>100</v>
      </c>
      <c r="X28" s="1355"/>
      <c r="Y28" s="372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6"/>
      <c r="Q29" s="1352" t="str">
        <f t="shared" si="11"/>
        <v>有无电梯</v>
      </c>
      <c r="R29" s="705" t="s">
        <v>14</v>
      </c>
      <c r="S29" s="706">
        <f t="shared" si="12"/>
        <v>100</v>
      </c>
      <c r="T29" s="705" t="s">
        <v>14</v>
      </c>
      <c r="U29" s="706">
        <f t="shared" si="13"/>
        <v>100</v>
      </c>
      <c r="V29" s="705" t="s">
        <v>14</v>
      </c>
      <c r="W29" s="706">
        <f t="shared" si="14"/>
        <v>100</v>
      </c>
      <c r="X29" s="1355"/>
      <c r="Y29" s="372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6"/>
      <c r="Q30" s="1352" t="str">
        <f t="shared" si="11"/>
        <v>建筑面积</v>
      </c>
      <c r="R30" s="705" t="s">
        <v>14</v>
      </c>
      <c r="S30" s="706" t="e">
        <f t="shared" si="12"/>
        <v>#N/A</v>
      </c>
      <c r="T30" s="705" t="s">
        <v>14</v>
      </c>
      <c r="U30" s="706" t="e">
        <f t="shared" si="13"/>
        <v>#N/A</v>
      </c>
      <c r="V30" s="705" t="s">
        <v>14</v>
      </c>
      <c r="W30" s="706" t="e">
        <f t="shared" si="14"/>
        <v>#N/A</v>
      </c>
      <c r="X30" s="1355"/>
      <c r="Y30" s="372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6"/>
      <c r="Q31" s="1343"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6" t="s">
        <v>1696</v>
      </c>
      <c r="Q32" s="1352">
        <f t="shared" si="11"/>
        <v>111</v>
      </c>
      <c r="R32" s="705" t="s">
        <v>14</v>
      </c>
      <c r="S32" s="706">
        <f t="shared" si="12"/>
        <v>100</v>
      </c>
      <c r="T32" s="705" t="s">
        <v>14</v>
      </c>
      <c r="U32" s="706">
        <f t="shared" si="13"/>
        <v>100</v>
      </c>
      <c r="V32" s="705" t="s">
        <v>14</v>
      </c>
      <c r="W32" s="706">
        <f t="shared" si="14"/>
        <v>100</v>
      </c>
      <c r="X32" s="1355"/>
      <c r="Y32" s="372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6"/>
      <c r="Q33" s="1352">
        <f t="shared" si="11"/>
        <v>111</v>
      </c>
      <c r="R33" s="705" t="s">
        <v>14</v>
      </c>
      <c r="S33" s="706">
        <f t="shared" si="12"/>
        <v>100</v>
      </c>
      <c r="T33" s="705" t="s">
        <v>14</v>
      </c>
      <c r="U33" s="706">
        <f t="shared" si="13"/>
        <v>100</v>
      </c>
      <c r="V33" s="705" t="s">
        <v>14</v>
      </c>
      <c r="W33" s="706">
        <f t="shared" si="14"/>
        <v>100</v>
      </c>
      <c r="X33" s="1355"/>
      <c r="Y33" s="372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30"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685"/>
      <c r="AC5" s="3685"/>
    </row>
    <row r="6" spans="1:30"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5"/>
      <c r="Y6" s="3712"/>
      <c r="Z6" s="3713"/>
      <c r="AA6" s="3686"/>
      <c r="AB6" s="3686"/>
      <c r="AC6" s="3686"/>
    </row>
    <row r="7" spans="1:30" s="108" customFormat="1" ht="15.75" thickBot="1">
      <c r="A7" s="362" t="s">
        <v>1679</v>
      </c>
      <c r="B7" s="363"/>
      <c r="C7" s="364">
        <f>'数据-取费表'!B2</f>
        <v>45034</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87" t="s">
        <v>1683</v>
      </c>
      <c r="Q8" s="3688"/>
      <c r="R8" s="701" t="s">
        <v>14</v>
      </c>
      <c r="S8" s="702">
        <f t="shared" si="0"/>
        <v>0</v>
      </c>
      <c r="T8" s="701" t="s">
        <v>14</v>
      </c>
      <c r="U8" s="702">
        <f t="shared" si="1"/>
        <v>0</v>
      </c>
      <c r="V8" s="701" t="s">
        <v>14</v>
      </c>
      <c r="W8" s="702">
        <f t="shared" si="2"/>
        <v>0</v>
      </c>
      <c r="X8" s="703"/>
      <c r="Y8" s="3687"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6"/>
      <c r="M10" s="2717"/>
      <c r="N10" s="2717"/>
      <c r="O10" s="2770"/>
      <c r="P10" s="3719"/>
      <c r="Q10" s="1343" t="str">
        <f t="shared" si="6"/>
        <v>土地使用年限（年）</v>
      </c>
      <c r="R10" s="701" t="s">
        <v>14</v>
      </c>
      <c r="S10" s="702">
        <f t="shared" si="0"/>
        <v>134</v>
      </c>
      <c r="T10" s="701" t="s">
        <v>14</v>
      </c>
      <c r="U10" s="702">
        <f t="shared" si="1"/>
        <v>134</v>
      </c>
      <c r="V10" s="701" t="s">
        <v>14</v>
      </c>
      <c r="W10" s="702">
        <f t="shared" si="2"/>
        <v>134</v>
      </c>
      <c r="X10" s="703"/>
      <c r="Y10" s="3612"/>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9"/>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9"/>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1" t="s">
        <v>1691</v>
      </c>
      <c r="Q15" s="1352" t="str">
        <f t="shared" si="6"/>
        <v>居住社区成熟度</v>
      </c>
      <c r="R15" s="705" t="s">
        <v>14</v>
      </c>
      <c r="S15" s="706">
        <f t="shared" si="0"/>
        <v>100</v>
      </c>
      <c r="T15" s="705" t="s">
        <v>14</v>
      </c>
      <c r="U15" s="706">
        <f t="shared" si="1"/>
        <v>100</v>
      </c>
      <c r="V15" s="705" t="s">
        <v>14</v>
      </c>
      <c r="W15" s="706">
        <f t="shared" si="2"/>
        <v>100</v>
      </c>
      <c r="X15" s="1355"/>
      <c r="Y15" s="372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22"/>
      <c r="Q16" s="1352"/>
      <c r="R16" s="705"/>
      <c r="S16" s="706"/>
      <c r="T16" s="705"/>
      <c r="U16" s="706"/>
      <c r="V16" s="705"/>
      <c r="W16" s="706"/>
      <c r="X16" s="1355"/>
      <c r="Y16" s="372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2"/>
      <c r="Q17" s="1352" t="str">
        <f>B17</f>
        <v>商业繁华度</v>
      </c>
      <c r="R17" s="705" t="s">
        <v>14</v>
      </c>
      <c r="S17" s="706">
        <f>F17</f>
        <v>100</v>
      </c>
      <c r="T17" s="705" t="s">
        <v>14</v>
      </c>
      <c r="U17" s="706">
        <f>H17</f>
        <v>100</v>
      </c>
      <c r="V17" s="705" t="s">
        <v>14</v>
      </c>
      <c r="W17" s="706">
        <f>J17</f>
        <v>100</v>
      </c>
      <c r="X17" s="1355"/>
      <c r="Y17" s="372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22"/>
      <c r="Q18" s="1352"/>
      <c r="R18" s="705"/>
      <c r="S18" s="706"/>
      <c r="T18" s="705"/>
      <c r="U18" s="706"/>
      <c r="V18" s="705"/>
      <c r="W18" s="706"/>
      <c r="X18" s="1355"/>
      <c r="Y18" s="372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2"/>
      <c r="Q19" s="1352" t="str">
        <f>B19</f>
        <v>办公集聚程度</v>
      </c>
      <c r="R19" s="705" t="s">
        <v>14</v>
      </c>
      <c r="S19" s="706">
        <f>F19</f>
        <v>100</v>
      </c>
      <c r="T19" s="705" t="s">
        <v>14</v>
      </c>
      <c r="U19" s="706">
        <f>H19</f>
        <v>100</v>
      </c>
      <c r="V19" s="705" t="s">
        <v>14</v>
      </c>
      <c r="W19" s="706">
        <f>J19</f>
        <v>100</v>
      </c>
      <c r="X19" s="1355"/>
      <c r="Y19" s="372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22"/>
      <c r="Q20" s="1352"/>
      <c r="R20" s="705"/>
      <c r="S20" s="706"/>
      <c r="T20" s="705"/>
      <c r="U20" s="706"/>
      <c r="V20" s="705"/>
      <c r="W20" s="706"/>
      <c r="X20" s="1355"/>
      <c r="Y20" s="372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2"/>
      <c r="Q21" s="1352" t="str">
        <f>B21</f>
        <v>交通便捷度</v>
      </c>
      <c r="R21" s="705" t="s">
        <v>14</v>
      </c>
      <c r="S21" s="706">
        <f>F21</f>
        <v>100</v>
      </c>
      <c r="T21" s="705" t="s">
        <v>14</v>
      </c>
      <c r="U21" s="706">
        <f>H21</f>
        <v>100</v>
      </c>
      <c r="V21" s="705" t="s">
        <v>14</v>
      </c>
      <c r="W21" s="706">
        <f>J21</f>
        <v>100</v>
      </c>
      <c r="X21" s="1355"/>
      <c r="Y21" s="372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22"/>
      <c r="Q22" s="1352"/>
      <c r="R22" s="705"/>
      <c r="S22" s="706"/>
      <c r="T22" s="705"/>
      <c r="U22" s="706"/>
      <c r="V22" s="705"/>
      <c r="W22" s="706"/>
      <c r="X22" s="1355"/>
      <c r="Y22" s="372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2"/>
      <c r="Q23" s="1352" t="str">
        <f t="shared" ref="Q23:Q37" si="8">B23</f>
        <v>区域土地利用方向</v>
      </c>
      <c r="R23" s="705" t="s">
        <v>14</v>
      </c>
      <c r="S23" s="706">
        <f>F23</f>
        <v>100</v>
      </c>
      <c r="T23" s="705" t="s">
        <v>14</v>
      </c>
      <c r="U23" s="706">
        <f>H23</f>
        <v>100</v>
      </c>
      <c r="V23" s="705" t="s">
        <v>14</v>
      </c>
      <c r="W23" s="706">
        <f>J23</f>
        <v>100</v>
      </c>
      <c r="X23" s="1355"/>
      <c r="Y23" s="372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22"/>
      <c r="Q24" s="1352"/>
      <c r="R24" s="705"/>
      <c r="S24" s="706"/>
      <c r="T24" s="705"/>
      <c r="U24" s="706"/>
      <c r="V24" s="705"/>
      <c r="W24" s="706"/>
      <c r="X24" s="1355"/>
      <c r="Y24" s="372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2"/>
      <c r="Q25" s="1352" t="str">
        <f t="shared" si="8"/>
        <v>自然及人文环境状况</v>
      </c>
      <c r="R25" s="705" t="s">
        <v>14</v>
      </c>
      <c r="S25" s="706">
        <f>F25</f>
        <v>100</v>
      </c>
      <c r="T25" s="705" t="s">
        <v>14</v>
      </c>
      <c r="U25" s="706">
        <f>H25</f>
        <v>100</v>
      </c>
      <c r="V25" s="705" t="s">
        <v>14</v>
      </c>
      <c r="W25" s="706">
        <f>J25</f>
        <v>100</v>
      </c>
      <c r="X25" s="1355"/>
      <c r="Y25" s="372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22"/>
      <c r="Q26" s="1352"/>
      <c r="R26" s="705"/>
      <c r="S26" s="706"/>
      <c r="T26" s="705"/>
      <c r="U26" s="706"/>
      <c r="V26" s="705"/>
      <c r="W26" s="706"/>
      <c r="X26" s="1355"/>
      <c r="Y26" s="372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2"/>
      <c r="Q27" s="1343" t="str">
        <f t="shared" si="8"/>
        <v>公共配套设施</v>
      </c>
      <c r="R27" s="701" t="s">
        <v>14</v>
      </c>
      <c r="S27" s="702">
        <f>F27</f>
        <v>100</v>
      </c>
      <c r="T27" s="701" t="s">
        <v>14</v>
      </c>
      <c r="U27" s="702">
        <f>H27</f>
        <v>100</v>
      </c>
      <c r="V27" s="701" t="s">
        <v>14</v>
      </c>
      <c r="W27" s="702">
        <f>J27</f>
        <v>100</v>
      </c>
      <c r="X27" s="703"/>
      <c r="Y27" s="372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22"/>
      <c r="Q28" s="1343"/>
      <c r="R28" s="701"/>
      <c r="S28" s="702"/>
      <c r="T28" s="701"/>
      <c r="U28" s="702"/>
      <c r="V28" s="701"/>
      <c r="W28" s="702"/>
      <c r="X28" s="703"/>
      <c r="Y28" s="372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2"/>
      <c r="Q29" s="1343"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22"/>
      <c r="Q30" s="1343"/>
      <c r="R30" s="701"/>
      <c r="S30" s="702"/>
      <c r="T30" s="701"/>
      <c r="U30" s="702"/>
      <c r="V30" s="701"/>
      <c r="W30" s="702"/>
      <c r="X30" s="703"/>
      <c r="Y30" s="372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2"/>
      <c r="Q32" s="1352" t="str">
        <f t="shared" si="8"/>
        <v>毗邻道路的类型与等级</v>
      </c>
      <c r="R32" s="705" t="s">
        <v>14</v>
      </c>
      <c r="S32" s="706">
        <f t="shared" si="10"/>
        <v>100</v>
      </c>
      <c r="T32" s="705" t="s">
        <v>14</v>
      </c>
      <c r="U32" s="706">
        <f t="shared" si="11"/>
        <v>100</v>
      </c>
      <c r="V32" s="705" t="s">
        <v>14</v>
      </c>
      <c r="W32" s="706">
        <f t="shared" si="12"/>
        <v>100</v>
      </c>
      <c r="X32" s="1355"/>
      <c r="Y32" s="372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22"/>
      <c r="Q33" s="1352"/>
      <c r="R33" s="705"/>
      <c r="S33" s="706"/>
      <c r="T33" s="705"/>
      <c r="U33" s="706"/>
      <c r="V33" s="705"/>
      <c r="W33" s="706"/>
      <c r="X33" s="1355"/>
      <c r="Y33" s="372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2"/>
      <c r="Q34" s="1352" t="str">
        <f t="shared" si="8"/>
        <v>土地级别</v>
      </c>
      <c r="R34" s="705" t="s">
        <v>14</v>
      </c>
      <c r="S34" s="706">
        <f t="shared" si="10"/>
        <v>100</v>
      </c>
      <c r="T34" s="705" t="s">
        <v>14</v>
      </c>
      <c r="U34" s="706">
        <f t="shared" si="11"/>
        <v>100</v>
      </c>
      <c r="V34" s="705" t="s">
        <v>14</v>
      </c>
      <c r="W34" s="706">
        <f t="shared" si="12"/>
        <v>100</v>
      </c>
      <c r="X34" s="1355"/>
      <c r="Y34" s="372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2"/>
      <c r="Q35" s="1352">
        <f t="shared" si="8"/>
        <v>111</v>
      </c>
      <c r="R35" s="705" t="s">
        <v>14</v>
      </c>
      <c r="S35" s="706">
        <f t="shared" si="10"/>
        <v>100</v>
      </c>
      <c r="T35" s="705" t="s">
        <v>14</v>
      </c>
      <c r="U35" s="706">
        <f t="shared" si="11"/>
        <v>100</v>
      </c>
      <c r="V35" s="705" t="s">
        <v>14</v>
      </c>
      <c r="W35" s="706">
        <f t="shared" si="12"/>
        <v>100</v>
      </c>
      <c r="X35" s="1355"/>
      <c r="Y35" s="372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5" t="s">
        <v>1696</v>
      </c>
      <c r="Q36" s="1352">
        <f t="shared" si="8"/>
        <v>111</v>
      </c>
      <c r="R36" s="705" t="s">
        <v>14</v>
      </c>
      <c r="S36" s="706">
        <f t="shared" si="10"/>
        <v>100</v>
      </c>
      <c r="T36" s="705" t="s">
        <v>14</v>
      </c>
      <c r="U36" s="706">
        <f t="shared" si="11"/>
        <v>100</v>
      </c>
      <c r="V36" s="705" t="s">
        <v>14</v>
      </c>
      <c r="W36" s="706">
        <f t="shared" si="12"/>
        <v>100</v>
      </c>
      <c r="X36" s="1355"/>
      <c r="Y36" s="372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6"/>
      <c r="Q37" s="1352">
        <f t="shared" si="8"/>
        <v>111</v>
      </c>
      <c r="R37" s="708" t="s">
        <v>14</v>
      </c>
      <c r="S37" s="709">
        <f t="shared" si="10"/>
        <v>100</v>
      </c>
      <c r="T37" s="708" t="s">
        <v>14</v>
      </c>
      <c r="U37" s="709">
        <f t="shared" si="11"/>
        <v>100</v>
      </c>
      <c r="V37" s="708" t="s">
        <v>14</v>
      </c>
      <c r="W37" s="709">
        <f t="shared" si="12"/>
        <v>100</v>
      </c>
      <c r="X37" s="710"/>
      <c r="Y37" s="372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6"/>
      <c r="Q38" s="1352" t="str">
        <f>B38</f>
        <v>宗地面积</v>
      </c>
      <c r="R38" s="705" t="s">
        <v>14</v>
      </c>
      <c r="S38" s="706" t="e">
        <f t="shared" si="10"/>
        <v>#N/A</v>
      </c>
      <c r="T38" s="705" t="s">
        <v>14</v>
      </c>
      <c r="U38" s="706" t="e">
        <f t="shared" si="11"/>
        <v>#N/A</v>
      </c>
      <c r="V38" s="705" t="s">
        <v>14</v>
      </c>
      <c r="W38" s="706" t="e">
        <f t="shared" si="12"/>
        <v>#N/A</v>
      </c>
      <c r="X38" s="1355"/>
      <c r="Y38" s="372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26"/>
      <c r="Q39" s="1352" t="str">
        <f t="shared" ref="Q39:Q45" si="14">B39</f>
        <v>宗地形状</v>
      </c>
      <c r="R39" s="705" t="s">
        <v>14</v>
      </c>
      <c r="S39" s="706">
        <f t="shared" si="10"/>
        <v>100</v>
      </c>
      <c r="T39" s="705" t="s">
        <v>14</v>
      </c>
      <c r="U39" s="706">
        <f t="shared" si="11"/>
        <v>100</v>
      </c>
      <c r="V39" s="705" t="s">
        <v>14</v>
      </c>
      <c r="W39" s="706">
        <f t="shared" si="12"/>
        <v>100</v>
      </c>
      <c r="X39" s="1355"/>
      <c r="Y39" s="372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26"/>
      <c r="Q40" s="1352" t="str">
        <f t="shared" si="14"/>
        <v>临街宽度及深度</v>
      </c>
      <c r="R40" s="705" t="s">
        <v>14</v>
      </c>
      <c r="S40" s="706">
        <f t="shared" si="10"/>
        <v>100</v>
      </c>
      <c r="T40" s="705" t="s">
        <v>14</v>
      </c>
      <c r="U40" s="706">
        <f t="shared" si="11"/>
        <v>100</v>
      </c>
      <c r="V40" s="705" t="s">
        <v>14</v>
      </c>
      <c r="W40" s="706">
        <f t="shared" si="12"/>
        <v>100</v>
      </c>
      <c r="X40" s="1355"/>
      <c r="Y40" s="372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26"/>
      <c r="Q41" s="1352"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26" t="s">
        <v>1696</v>
      </c>
      <c r="Q42" s="1352" t="str">
        <f t="shared" si="14"/>
        <v>工程地质条件</v>
      </c>
      <c r="R42" s="705" t="s">
        <v>14</v>
      </c>
      <c r="S42" s="706">
        <f t="shared" si="10"/>
        <v>100</v>
      </c>
      <c r="T42" s="705" t="s">
        <v>14</v>
      </c>
      <c r="U42" s="706">
        <f t="shared" si="11"/>
        <v>100</v>
      </c>
      <c r="V42" s="705" t="s">
        <v>14</v>
      </c>
      <c r="W42" s="706">
        <f t="shared" si="12"/>
        <v>100</v>
      </c>
      <c r="X42" s="1355"/>
      <c r="Y42" s="372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6"/>
      <c r="Q43" s="1352">
        <f t="shared" si="14"/>
        <v>111</v>
      </c>
      <c r="R43" s="705" t="s">
        <v>14</v>
      </c>
      <c r="S43" s="706">
        <f t="shared" si="10"/>
        <v>100</v>
      </c>
      <c r="T43" s="705" t="s">
        <v>14</v>
      </c>
      <c r="U43" s="706">
        <f t="shared" si="11"/>
        <v>100</v>
      </c>
      <c r="V43" s="705" t="s">
        <v>14</v>
      </c>
      <c r="W43" s="706">
        <f t="shared" si="12"/>
        <v>100</v>
      </c>
      <c r="X43" s="1355"/>
      <c r="Y43" s="372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6"/>
      <c r="Q44" s="1352">
        <f t="shared" si="14"/>
        <v>111</v>
      </c>
      <c r="R44" s="705" t="s">
        <v>14</v>
      </c>
      <c r="S44" s="706">
        <f t="shared" si="10"/>
        <v>100</v>
      </c>
      <c r="T44" s="705" t="s">
        <v>14</v>
      </c>
      <c r="U44" s="706">
        <f t="shared" si="11"/>
        <v>100</v>
      </c>
      <c r="V44" s="705" t="s">
        <v>14</v>
      </c>
      <c r="W44" s="706">
        <f t="shared" si="12"/>
        <v>100</v>
      </c>
      <c r="X44" s="1355"/>
      <c r="Y44" s="372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6"/>
      <c r="Q45" s="1352">
        <f t="shared" si="14"/>
        <v>111</v>
      </c>
      <c r="R45" s="708" t="s">
        <v>14</v>
      </c>
      <c r="S45" s="709">
        <f t="shared" si="10"/>
        <v>100</v>
      </c>
      <c r="T45" s="708" t="s">
        <v>14</v>
      </c>
      <c r="U45" s="709">
        <f t="shared" si="11"/>
        <v>100</v>
      </c>
      <c r="V45" s="708" t="s">
        <v>14</v>
      </c>
      <c r="W45" s="709">
        <f t="shared" si="12"/>
        <v>100</v>
      </c>
      <c r="X45" s="710"/>
      <c r="Y45" s="372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19" t="str">
        <f>A46</f>
        <v>成交单价</v>
      </c>
      <c r="Q46" s="3719"/>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19" t="str">
        <f>A47</f>
        <v>比较价值（元/平方米）</v>
      </c>
      <c r="Q47" s="3719"/>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16" t="str">
        <f>A48</f>
        <v>估价对象XX用房的比较价值（楼面单价，元/平方米）</v>
      </c>
      <c r="Q48" s="3717"/>
      <c r="R48" s="3748" t="e">
        <f>ROUND(IF(D47="简单平均",AVERAGE(R47:W47),R47*F47+T47*H47+V47*J47),0)</f>
        <v>#DIV/0!</v>
      </c>
      <c r="S48" s="3748"/>
      <c r="T48" s="3748"/>
      <c r="U48" s="3748"/>
      <c r="V48" s="3748"/>
      <c r="W48" s="374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02" t="s">
        <v>1887</v>
      </c>
      <c r="H55" s="3749"/>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165.59</v>
      </c>
      <c r="F56" s="886" t="e">
        <f t="shared" ref="F56:F64" si="15">ROUND(B56*E56/10000,0)</f>
        <v>#DIV/0!</v>
      </c>
      <c r="G56" s="3701"/>
      <c r="H56" s="371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0.7</v>
      </c>
      <c r="D57" s="945">
        <v>0.25</v>
      </c>
      <c r="E57" s="642"/>
      <c r="F57" s="886" t="e">
        <f t="shared" si="15"/>
        <v>#DIV/0!</v>
      </c>
      <c r="G57" s="3003" t="s">
        <v>1892</v>
      </c>
      <c r="H57" s="887" t="str">
        <f>项目基本情况!B37</f>
        <v>二级</v>
      </c>
      <c r="I57" s="891">
        <f>SUMIF(修正!A57:A68,H57,修正!B57:B68)</f>
        <v>0.7</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0.4</v>
      </c>
      <c r="D58" s="945">
        <v>0.25</v>
      </c>
      <c r="E58" s="642"/>
      <c r="F58" s="886" t="e">
        <f t="shared" si="15"/>
        <v>#DIV/0!</v>
      </c>
      <c r="G58" s="3004"/>
      <c r="H58" s="887" t="str">
        <f>项目基本情况!B37</f>
        <v>二级</v>
      </c>
      <c r="I58" s="891">
        <f>SUMIF(修正!A57:A68,H58,修正!C57:C68)</f>
        <v>0.4</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0.3</v>
      </c>
      <c r="D59" s="945">
        <v>0.25</v>
      </c>
      <c r="E59" s="642"/>
      <c r="F59" s="886" t="e">
        <f t="shared" si="15"/>
        <v>#DIV/0!</v>
      </c>
      <c r="G59" s="3004"/>
      <c r="H59" s="887" t="str">
        <f>项目基本情况!B37</f>
        <v>二级</v>
      </c>
      <c r="I59" s="891">
        <f>SUMIF(修正!A57:A68,H59,修正!D57:D68)</f>
        <v>0.3</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165.59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685"/>
      <c r="AC5" s="3685"/>
    </row>
    <row r="6" spans="1:29" ht="15.75" thickBot="1">
      <c r="A6" s="360"/>
      <c r="B6" s="361"/>
      <c r="C6" s="3750" t="s">
        <v>1919</v>
      </c>
      <c r="D6" s="3751"/>
      <c r="E6" s="3752" t="s">
        <v>1919</v>
      </c>
      <c r="F6" s="3753"/>
      <c r="G6" s="3750" t="s">
        <v>1919</v>
      </c>
      <c r="H6" s="3751"/>
      <c r="I6" s="3750" t="s">
        <v>1919</v>
      </c>
      <c r="J6" s="3751"/>
      <c r="K6" s="559" t="s">
        <v>1678</v>
      </c>
      <c r="L6" s="2712"/>
      <c r="M6" s="2713"/>
      <c r="N6" s="2713"/>
      <c r="O6" s="2713"/>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45034</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7" t="s">
        <v>1683</v>
      </c>
      <c r="Q8" s="3688"/>
      <c r="R8" s="701" t="s">
        <v>14</v>
      </c>
      <c r="S8" s="702">
        <f t="shared" si="0"/>
        <v>0</v>
      </c>
      <c r="T8" s="701" t="s">
        <v>14</v>
      </c>
      <c r="U8" s="702">
        <f t="shared" si="1"/>
        <v>0</v>
      </c>
      <c r="V8" s="701" t="s">
        <v>14</v>
      </c>
      <c r="W8" s="702">
        <f t="shared" si="2"/>
        <v>0</v>
      </c>
      <c r="X8" s="703"/>
      <c r="Y8" s="3687"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6"/>
      <c r="M10" s="2717"/>
      <c r="N10" s="2717"/>
      <c r="O10" s="2770"/>
      <c r="P10" s="3719"/>
      <c r="Q10" s="1343" t="str">
        <f t="shared" si="6"/>
        <v>土地使用年限（年）</v>
      </c>
      <c r="R10" s="701" t="s">
        <v>14</v>
      </c>
      <c r="S10" s="702">
        <f t="shared" si="0"/>
        <v>134</v>
      </c>
      <c r="T10" s="701" t="s">
        <v>14</v>
      </c>
      <c r="U10" s="702">
        <f t="shared" si="1"/>
        <v>134</v>
      </c>
      <c r="V10" s="701" t="s">
        <v>14</v>
      </c>
      <c r="W10" s="702">
        <f t="shared" si="2"/>
        <v>134</v>
      </c>
      <c r="X10" s="703"/>
      <c r="Y10" s="3612"/>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9"/>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22"/>
      <c r="Q16" s="1352"/>
      <c r="R16" s="705"/>
      <c r="S16" s="706"/>
      <c r="T16" s="705"/>
      <c r="U16" s="706"/>
      <c r="V16" s="705"/>
      <c r="W16" s="706"/>
      <c r="X16" s="1355"/>
      <c r="Y16" s="372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22"/>
      <c r="Q18" s="1352"/>
      <c r="R18" s="705"/>
      <c r="S18" s="706"/>
      <c r="T18" s="705"/>
      <c r="U18" s="706"/>
      <c r="V18" s="705"/>
      <c r="W18" s="706"/>
      <c r="X18" s="1355"/>
      <c r="Y18" s="372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2"/>
      <c r="Q19" s="1352" t="str">
        <f t="shared" ref="Q19:Q33" si="8">B19</f>
        <v>区域土地利用方向</v>
      </c>
      <c r="R19" s="705" t="s">
        <v>14</v>
      </c>
      <c r="S19" s="706">
        <f>F19</f>
        <v>100</v>
      </c>
      <c r="T19" s="705" t="s">
        <v>14</v>
      </c>
      <c r="U19" s="706">
        <f>H19</f>
        <v>100</v>
      </c>
      <c r="V19" s="705" t="s">
        <v>14</v>
      </c>
      <c r="W19" s="706">
        <f>J19</f>
        <v>100</v>
      </c>
      <c r="X19" s="1355"/>
      <c r="Y19" s="372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22"/>
      <c r="Q20" s="1352"/>
      <c r="R20" s="705"/>
      <c r="S20" s="706"/>
      <c r="T20" s="705"/>
      <c r="U20" s="706"/>
      <c r="V20" s="705"/>
      <c r="W20" s="706"/>
      <c r="X20" s="1355"/>
      <c r="Y20" s="372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2"/>
      <c r="Q21" s="1352" t="str">
        <f t="shared" si="8"/>
        <v>环境状况</v>
      </c>
      <c r="R21" s="705" t="s">
        <v>14</v>
      </c>
      <c r="S21" s="706">
        <f>F21</f>
        <v>100</v>
      </c>
      <c r="T21" s="705" t="s">
        <v>14</v>
      </c>
      <c r="U21" s="706">
        <f>H21</f>
        <v>100</v>
      </c>
      <c r="V21" s="705" t="s">
        <v>14</v>
      </c>
      <c r="W21" s="706">
        <f>J21</f>
        <v>100</v>
      </c>
      <c r="X21" s="1355"/>
      <c r="Y21" s="372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22"/>
      <c r="Q22" s="1352"/>
      <c r="R22" s="705"/>
      <c r="S22" s="706"/>
      <c r="T22" s="705"/>
      <c r="U22" s="706"/>
      <c r="V22" s="705"/>
      <c r="W22" s="706"/>
      <c r="X22" s="1355"/>
      <c r="Y22" s="372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2"/>
      <c r="Q23" s="1343" t="str">
        <f t="shared" si="8"/>
        <v>公共配套设施</v>
      </c>
      <c r="R23" s="701" t="s">
        <v>14</v>
      </c>
      <c r="S23" s="702">
        <f>F23</f>
        <v>100</v>
      </c>
      <c r="T23" s="701" t="s">
        <v>14</v>
      </c>
      <c r="U23" s="702">
        <f>H23</f>
        <v>100</v>
      </c>
      <c r="V23" s="701" t="s">
        <v>14</v>
      </c>
      <c r="W23" s="702">
        <f>J23</f>
        <v>100</v>
      </c>
      <c r="X23" s="703"/>
      <c r="Y23" s="372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22"/>
      <c r="Q24" s="1343"/>
      <c r="R24" s="701"/>
      <c r="S24" s="702"/>
      <c r="T24" s="701"/>
      <c r="U24" s="702"/>
      <c r="V24" s="701"/>
      <c r="W24" s="702"/>
      <c r="X24" s="703"/>
      <c r="Y24" s="372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2"/>
      <c r="Q25" s="1343"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22"/>
      <c r="Q26" s="1343"/>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2"/>
      <c r="Q28" s="1352" t="str">
        <f t="shared" si="8"/>
        <v>毗邻道路的类型与等级</v>
      </c>
      <c r="R28" s="705" t="s">
        <v>14</v>
      </c>
      <c r="S28" s="706">
        <f t="shared" si="10"/>
        <v>100</v>
      </c>
      <c r="T28" s="705" t="s">
        <v>14</v>
      </c>
      <c r="U28" s="706">
        <f t="shared" si="11"/>
        <v>100</v>
      </c>
      <c r="V28" s="705" t="s">
        <v>14</v>
      </c>
      <c r="W28" s="706">
        <f t="shared" si="12"/>
        <v>100</v>
      </c>
      <c r="X28" s="1355"/>
      <c r="Y28" s="372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22"/>
      <c r="Q29" s="1352"/>
      <c r="R29" s="705"/>
      <c r="S29" s="706"/>
      <c r="T29" s="705"/>
      <c r="U29" s="706"/>
      <c r="V29" s="705"/>
      <c r="W29" s="706"/>
      <c r="X29" s="1355"/>
      <c r="Y29" s="372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2"/>
      <c r="Q30" s="1352" t="str">
        <f t="shared" si="8"/>
        <v>土地级别</v>
      </c>
      <c r="R30" s="705" t="s">
        <v>14</v>
      </c>
      <c r="S30" s="706">
        <f t="shared" si="10"/>
        <v>100</v>
      </c>
      <c r="T30" s="705" t="s">
        <v>14</v>
      </c>
      <c r="U30" s="706">
        <f t="shared" si="11"/>
        <v>100</v>
      </c>
      <c r="V30" s="705" t="s">
        <v>14</v>
      </c>
      <c r="W30" s="706">
        <f t="shared" si="12"/>
        <v>100</v>
      </c>
      <c r="X30" s="1355"/>
      <c r="Y30" s="372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2"/>
      <c r="Q31" s="1352">
        <f t="shared" si="8"/>
        <v>111</v>
      </c>
      <c r="R31" s="705" t="s">
        <v>14</v>
      </c>
      <c r="S31" s="706">
        <f t="shared" si="10"/>
        <v>100</v>
      </c>
      <c r="T31" s="705" t="s">
        <v>14</v>
      </c>
      <c r="U31" s="706">
        <f t="shared" si="11"/>
        <v>100</v>
      </c>
      <c r="V31" s="705" t="s">
        <v>14</v>
      </c>
      <c r="W31" s="706">
        <f t="shared" si="12"/>
        <v>100</v>
      </c>
      <c r="X31" s="1355"/>
      <c r="Y31" s="372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5" t="s">
        <v>1696</v>
      </c>
      <c r="Q32" s="1352">
        <f t="shared" si="8"/>
        <v>111</v>
      </c>
      <c r="R32" s="705" t="s">
        <v>14</v>
      </c>
      <c r="S32" s="706">
        <f t="shared" si="10"/>
        <v>100</v>
      </c>
      <c r="T32" s="705" t="s">
        <v>14</v>
      </c>
      <c r="U32" s="706">
        <f t="shared" si="11"/>
        <v>100</v>
      </c>
      <c r="V32" s="705" t="s">
        <v>14</v>
      </c>
      <c r="W32" s="706">
        <f t="shared" si="12"/>
        <v>100</v>
      </c>
      <c r="X32" s="1355"/>
      <c r="Y32" s="372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6"/>
      <c r="Q33" s="1352">
        <f t="shared" si="8"/>
        <v>111</v>
      </c>
      <c r="R33" s="708" t="s">
        <v>14</v>
      </c>
      <c r="S33" s="709">
        <f t="shared" si="10"/>
        <v>100</v>
      </c>
      <c r="T33" s="708" t="s">
        <v>14</v>
      </c>
      <c r="U33" s="709">
        <f t="shared" si="11"/>
        <v>100</v>
      </c>
      <c r="V33" s="708" t="s">
        <v>14</v>
      </c>
      <c r="W33" s="709">
        <f t="shared" si="12"/>
        <v>100</v>
      </c>
      <c r="X33" s="710"/>
      <c r="Y33" s="372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6"/>
      <c r="Q34" s="1352" t="str">
        <f>B34</f>
        <v>宗地面积</v>
      </c>
      <c r="R34" s="705" t="s">
        <v>14</v>
      </c>
      <c r="S34" s="706" t="e">
        <f t="shared" si="10"/>
        <v>#N/A</v>
      </c>
      <c r="T34" s="705" t="s">
        <v>14</v>
      </c>
      <c r="U34" s="706" t="e">
        <f t="shared" si="11"/>
        <v>#N/A</v>
      </c>
      <c r="V34" s="705" t="s">
        <v>14</v>
      </c>
      <c r="W34" s="706" t="e">
        <f t="shared" si="12"/>
        <v>#N/A</v>
      </c>
      <c r="X34" s="1355"/>
      <c r="Y34" s="372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26"/>
      <c r="Q35" s="1352" t="str">
        <f t="shared" ref="Q35:Q40" si="14">B35</f>
        <v>宗地形状</v>
      </c>
      <c r="R35" s="705" t="s">
        <v>14</v>
      </c>
      <c r="S35" s="706">
        <f t="shared" si="10"/>
        <v>100</v>
      </c>
      <c r="T35" s="705" t="s">
        <v>14</v>
      </c>
      <c r="U35" s="706">
        <f t="shared" si="11"/>
        <v>100</v>
      </c>
      <c r="V35" s="705" t="s">
        <v>14</v>
      </c>
      <c r="W35" s="706">
        <f t="shared" si="12"/>
        <v>100</v>
      </c>
      <c r="X35" s="1355"/>
      <c r="Y35" s="372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26"/>
      <c r="Q36" s="1352"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26" t="s">
        <v>1696</v>
      </c>
      <c r="Q37" s="1352" t="str">
        <f t="shared" si="14"/>
        <v>工程地质条件</v>
      </c>
      <c r="R37" s="705" t="s">
        <v>14</v>
      </c>
      <c r="S37" s="706">
        <f t="shared" si="10"/>
        <v>100</v>
      </c>
      <c r="T37" s="705" t="s">
        <v>14</v>
      </c>
      <c r="U37" s="706">
        <f t="shared" si="11"/>
        <v>100</v>
      </c>
      <c r="V37" s="705" t="s">
        <v>14</v>
      </c>
      <c r="W37" s="706">
        <f t="shared" si="12"/>
        <v>100</v>
      </c>
      <c r="X37" s="1355"/>
      <c r="Y37" s="372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6"/>
      <c r="Q38" s="1352">
        <f t="shared" si="14"/>
        <v>111</v>
      </c>
      <c r="R38" s="705" t="s">
        <v>14</v>
      </c>
      <c r="S38" s="706">
        <f t="shared" si="10"/>
        <v>100</v>
      </c>
      <c r="T38" s="705" t="s">
        <v>14</v>
      </c>
      <c r="U38" s="706">
        <f t="shared" si="11"/>
        <v>100</v>
      </c>
      <c r="V38" s="705" t="s">
        <v>14</v>
      </c>
      <c r="W38" s="706">
        <f t="shared" si="12"/>
        <v>100</v>
      </c>
      <c r="X38" s="1355"/>
      <c r="Y38" s="372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6"/>
      <c r="Q39" s="1352">
        <f t="shared" si="14"/>
        <v>111</v>
      </c>
      <c r="R39" s="705" t="s">
        <v>14</v>
      </c>
      <c r="S39" s="706">
        <f t="shared" si="10"/>
        <v>100</v>
      </c>
      <c r="T39" s="705" t="s">
        <v>14</v>
      </c>
      <c r="U39" s="706">
        <f t="shared" si="11"/>
        <v>100</v>
      </c>
      <c r="V39" s="705" t="s">
        <v>14</v>
      </c>
      <c r="W39" s="706">
        <f t="shared" si="12"/>
        <v>100</v>
      </c>
      <c r="X39" s="1355"/>
      <c r="Y39" s="372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6"/>
      <c r="Q40" s="1352">
        <f t="shared" si="14"/>
        <v>111</v>
      </c>
      <c r="R40" s="708" t="s">
        <v>14</v>
      </c>
      <c r="S40" s="709">
        <f t="shared" si="10"/>
        <v>100</v>
      </c>
      <c r="T40" s="708" t="s">
        <v>14</v>
      </c>
      <c r="U40" s="709">
        <f t="shared" si="11"/>
        <v>100</v>
      </c>
      <c r="V40" s="708" t="s">
        <v>14</v>
      </c>
      <c r="W40" s="709">
        <f t="shared" si="12"/>
        <v>100</v>
      </c>
      <c r="X40" s="710"/>
      <c r="Y40" s="372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19" t="str">
        <f>A42</f>
        <v>比较价值（元/平方米）</v>
      </c>
      <c r="Q42" s="3719"/>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16" t="str">
        <f>A43</f>
        <v>估价对象XX用房的比较价值（楼面单价，元/平方米）</v>
      </c>
      <c r="Q43" s="3717"/>
      <c r="R43" s="3748" t="e">
        <f>ROUND(IF(D42="简单平均",AVERAGE(R42:W42),R42*F42+T42*H42+V42*J42),0)</f>
        <v>#DIV/0!</v>
      </c>
      <c r="S43" s="3748"/>
      <c r="T43" s="3748"/>
      <c r="U43" s="3748"/>
      <c r="V43" s="3748"/>
      <c r="W43" s="374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02" t="s">
        <v>1887</v>
      </c>
      <c r="H50" s="3749"/>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165.59</v>
      </c>
      <c r="F51" s="639" t="e">
        <f t="shared" ref="F51:F60" si="15">ROUND(B51*E51/10000,0)</f>
        <v>#DIV/0!</v>
      </c>
      <c r="G51" s="3701"/>
      <c r="H51" s="371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0.7</v>
      </c>
      <c r="D52" s="945">
        <v>0.25</v>
      </c>
      <c r="E52" s="642"/>
      <c r="F52" s="639" t="e">
        <f t="shared" si="15"/>
        <v>#DIV/0!</v>
      </c>
      <c r="G52" s="3003" t="s">
        <v>1892</v>
      </c>
      <c r="H52" s="887" t="str">
        <f>项目基本情况!B37</f>
        <v>二级</v>
      </c>
      <c r="I52" s="773">
        <f>SUMIF(修正!A57:A68,H52,修正!B57:B68)</f>
        <v>0.7</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0.4</v>
      </c>
      <c r="D53" s="945">
        <v>0.25</v>
      </c>
      <c r="E53" s="642"/>
      <c r="F53" s="639" t="e">
        <f t="shared" si="15"/>
        <v>#DIV/0!</v>
      </c>
      <c r="G53" s="3004"/>
      <c r="H53" s="887" t="str">
        <f>项目基本情况!B37</f>
        <v>二级</v>
      </c>
      <c r="I53" s="773">
        <f>SUMIF(修正!A57:A68,H53,修正!C57:C68)</f>
        <v>0.4</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0.3</v>
      </c>
      <c r="D54" s="945">
        <v>0.25</v>
      </c>
      <c r="E54" s="642"/>
      <c r="F54" s="639" t="e">
        <f t="shared" si="15"/>
        <v>#DIV/0!</v>
      </c>
      <c r="G54" s="3004"/>
      <c r="H54" s="887" t="str">
        <f>项目基本情况!B37</f>
        <v>二级</v>
      </c>
      <c r="I54" s="773">
        <f>SUMIF(修正!A57:A68,H54,修正!D57:D68)</f>
        <v>0.3</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0</v>
      </c>
      <c r="C2" s="2145" t="s">
        <v>2074</v>
      </c>
      <c r="D2" s="2145" t="s">
        <v>2075</v>
      </c>
      <c r="E2" s="2609">
        <f ca="1">SUMIF(E6:E13,"&lt;&gt;#ref!",E6:E13)</f>
        <v>165.59</v>
      </c>
      <c r="F2" s="2790"/>
      <c r="G2" s="2790"/>
      <c r="H2" s="2790"/>
      <c r="I2" s="2790"/>
      <c r="J2" s="2790"/>
      <c r="K2" s="2790"/>
      <c r="L2" s="2790"/>
      <c r="M2" s="2790"/>
      <c r="N2" s="2790"/>
      <c r="O2" s="2790"/>
      <c r="P2" s="2790"/>
    </row>
    <row r="3" spans="1:16" ht="15.75">
      <c r="A3" s="2145" t="s">
        <v>2076</v>
      </c>
      <c r="B3" s="2599">
        <f ca="1">ROUND(B2*10000/E2,0)</f>
        <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0</v>
      </c>
      <c r="C6" s="2145" t="s">
        <v>2074</v>
      </c>
      <c r="D6" s="2790"/>
      <c r="E6" s="2609">
        <f ca="1">SUMIF(INDIRECT("'"&amp;A6&amp;"'"&amp;"!C:C"),"建筑面积",INDIRECT("'"&amp;A6&amp;"'"&amp;"!D:D"))</f>
        <v>165.59</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7" t="s">
        <v>2606</v>
      </c>
      <c r="B20" s="3760" t="s">
        <v>2627</v>
      </c>
      <c r="C20" s="3100" t="s">
        <v>2438</v>
      </c>
      <c r="D20" s="3101"/>
      <c r="E20" s="3102">
        <v>1</v>
      </c>
      <c r="F20" s="3103" t="s">
        <v>2439</v>
      </c>
      <c r="G20" s="3103"/>
    </row>
    <row r="21" spans="1:13" ht="19.5" customHeight="1">
      <c r="A21" s="3768"/>
      <c r="B21" s="3761"/>
      <c r="C21" s="3104" t="s">
        <v>2440</v>
      </c>
      <c r="D21" s="3105"/>
      <c r="E21" s="3106">
        <v>1</v>
      </c>
      <c r="F21" s="3103" t="s">
        <v>2441</v>
      </c>
      <c r="G21" s="3103"/>
    </row>
    <row r="22" spans="1:13" ht="19.5" customHeight="1">
      <c r="A22" s="3768"/>
      <c r="B22" s="3761"/>
      <c r="C22" s="3104" t="s">
        <v>2442</v>
      </c>
      <c r="D22" s="3105"/>
      <c r="E22" s="3106">
        <v>0.9</v>
      </c>
      <c r="F22" s="3103" t="s">
        <v>2443</v>
      </c>
      <c r="G22" s="3103"/>
    </row>
    <row r="23" spans="1:13" ht="19.5" customHeight="1">
      <c r="A23" s="3768"/>
      <c r="B23" s="3761"/>
      <c r="C23" s="3104" t="s">
        <v>2444</v>
      </c>
      <c r="D23" s="3105"/>
      <c r="E23" s="3106">
        <v>0.9</v>
      </c>
      <c r="F23" s="3103" t="s">
        <v>2445</v>
      </c>
      <c r="G23" s="3103"/>
    </row>
    <row r="24" spans="1:13" ht="19.5" customHeight="1">
      <c r="A24" s="3768"/>
      <c r="B24" s="3761"/>
      <c r="C24" s="3104" t="s">
        <v>2446</v>
      </c>
      <c r="D24" s="3105"/>
      <c r="E24" s="3106">
        <v>0.8</v>
      </c>
      <c r="F24" s="3103" t="s">
        <v>2447</v>
      </c>
      <c r="G24" s="3103"/>
    </row>
    <row r="25" spans="1:13" ht="19.5" customHeight="1" thickBot="1">
      <c r="A25" s="3769"/>
      <c r="B25" s="3762"/>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63" t="s">
        <v>2630</v>
      </c>
      <c r="B27" s="3760" t="s">
        <v>2611</v>
      </c>
      <c r="C27" s="3100" t="s">
        <v>2451</v>
      </c>
      <c r="D27" s="3101"/>
      <c r="E27" s="3102">
        <v>1</v>
      </c>
      <c r="F27" s="3103" t="s">
        <v>2452</v>
      </c>
      <c r="G27" s="3103"/>
    </row>
    <row r="28" spans="1:13" ht="19.5" customHeight="1">
      <c r="A28" s="3764"/>
      <c r="B28" s="3761"/>
      <c r="C28" s="3104" t="s">
        <v>2453</v>
      </c>
      <c r="D28" s="3105"/>
      <c r="E28" s="3106">
        <v>1</v>
      </c>
      <c r="F28" s="3103" t="s">
        <v>2454</v>
      </c>
      <c r="G28" s="3103"/>
    </row>
    <row r="29" spans="1:13" ht="19.5" customHeight="1">
      <c r="A29" s="3764"/>
      <c r="B29" s="3761"/>
      <c r="C29" s="3104" t="s">
        <v>2455</v>
      </c>
      <c r="D29" s="3105"/>
      <c r="E29" s="3106">
        <v>0.8</v>
      </c>
      <c r="F29" s="3103" t="s">
        <v>2456</v>
      </c>
      <c r="G29" s="3103"/>
    </row>
    <row r="30" spans="1:13" ht="19.5" customHeight="1">
      <c r="A30" s="3764"/>
      <c r="B30" s="3761"/>
      <c r="C30" s="3104" t="s">
        <v>2457</v>
      </c>
      <c r="D30" s="3105"/>
      <c r="E30" s="3106">
        <v>0.8</v>
      </c>
      <c r="F30" s="3103" t="s">
        <v>2458</v>
      </c>
      <c r="G30" s="3103"/>
    </row>
    <row r="31" spans="1:13" ht="19.5" customHeight="1">
      <c r="A31" s="3764"/>
      <c r="B31" s="3761"/>
      <c r="C31" s="3104" t="s">
        <v>2459</v>
      </c>
      <c r="D31" s="3105"/>
      <c r="E31" s="3106">
        <v>0.8</v>
      </c>
      <c r="F31" s="3103" t="s">
        <v>2460</v>
      </c>
      <c r="G31" s="3103"/>
    </row>
    <row r="32" spans="1:13" ht="19.5" customHeight="1">
      <c r="A32" s="3764"/>
      <c r="B32" s="3761"/>
      <c r="C32" s="3104" t="s">
        <v>2461</v>
      </c>
      <c r="D32" s="3105"/>
      <c r="E32" s="3106">
        <v>0.7</v>
      </c>
      <c r="F32" s="3103" t="s">
        <v>2462</v>
      </c>
      <c r="G32" s="3103"/>
    </row>
    <row r="33" spans="1:7" ht="19.5" customHeight="1">
      <c r="A33" s="3764"/>
      <c r="B33" s="3761"/>
      <c r="C33" s="3104" t="s">
        <v>2463</v>
      </c>
      <c r="D33" s="3105"/>
      <c r="E33" s="3106">
        <v>0.8</v>
      </c>
      <c r="F33" s="3103" t="s">
        <v>2464</v>
      </c>
      <c r="G33" s="3103"/>
    </row>
    <row r="34" spans="1:7" ht="19.5" customHeight="1">
      <c r="A34" s="3764"/>
      <c r="B34" s="3761"/>
      <c r="C34" s="3104" t="s">
        <v>2465</v>
      </c>
      <c r="D34" s="3105"/>
      <c r="E34" s="3106">
        <v>0.6</v>
      </c>
      <c r="F34" s="3103" t="s">
        <v>2466</v>
      </c>
      <c r="G34" s="3103"/>
    </row>
    <row r="35" spans="1:7" ht="19.5" customHeight="1">
      <c r="A35" s="3764"/>
      <c r="B35" s="3761"/>
      <c r="C35" s="3104" t="s">
        <v>2467</v>
      </c>
      <c r="D35" s="3105"/>
      <c r="E35" s="3106">
        <v>0.2</v>
      </c>
      <c r="F35" s="3103" t="s">
        <v>2468</v>
      </c>
      <c r="G35" s="3103"/>
    </row>
    <row r="36" spans="1:7" ht="19.5" customHeight="1">
      <c r="A36" s="3764"/>
      <c r="B36" s="3761"/>
      <c r="C36" s="3104" t="s">
        <v>2469</v>
      </c>
      <c r="D36" s="3105"/>
      <c r="E36" s="3106">
        <v>0.2</v>
      </c>
      <c r="F36" s="3103" t="s">
        <v>2470</v>
      </c>
      <c r="G36" s="3103"/>
    </row>
    <row r="37" spans="1:7" ht="19.5" customHeight="1">
      <c r="A37" s="3764"/>
      <c r="B37" s="3766" t="s">
        <v>2631</v>
      </c>
      <c r="C37" s="3104" t="s">
        <v>2471</v>
      </c>
      <c r="D37" s="3105"/>
      <c r="E37" s="3106">
        <v>0.6</v>
      </c>
      <c r="F37" s="3103" t="s">
        <v>2472</v>
      </c>
      <c r="G37" s="3103"/>
    </row>
    <row r="38" spans="1:7" ht="19.5" customHeight="1">
      <c r="A38" s="3764"/>
      <c r="B38" s="3761"/>
      <c r="C38" s="3104" t="s">
        <v>2473</v>
      </c>
      <c r="D38" s="3105"/>
      <c r="E38" s="3106">
        <v>0.6</v>
      </c>
      <c r="F38" s="3103" t="s">
        <v>2474</v>
      </c>
      <c r="G38" s="3103"/>
    </row>
    <row r="39" spans="1:7" ht="19.5" customHeight="1" thickBot="1">
      <c r="A39" s="3765"/>
      <c r="B39" s="3762"/>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7" t="s">
        <v>2609</v>
      </c>
      <c r="B41" s="3760" t="s">
        <v>2633</v>
      </c>
      <c r="C41" s="3100" t="s">
        <v>2478</v>
      </c>
      <c r="D41" s="3101"/>
      <c r="E41" s="3102">
        <v>1</v>
      </c>
      <c r="F41" s="3103" t="s">
        <v>2479</v>
      </c>
      <c r="G41" s="3103"/>
    </row>
    <row r="42" spans="1:7" ht="19.5" customHeight="1">
      <c r="A42" s="3768"/>
      <c r="B42" s="3761"/>
      <c r="C42" s="3104" t="s">
        <v>2480</v>
      </c>
      <c r="D42" s="3105"/>
      <c r="E42" s="3106">
        <v>1</v>
      </c>
      <c r="F42" s="3103" t="s">
        <v>2481</v>
      </c>
      <c r="G42" s="3103"/>
    </row>
    <row r="43" spans="1:7" ht="19.5" customHeight="1">
      <c r="A43" s="3768"/>
      <c r="B43" s="3770"/>
      <c r="C43" s="3104" t="s">
        <v>2482</v>
      </c>
      <c r="D43" s="3105"/>
      <c r="E43" s="3106">
        <v>1.5</v>
      </c>
      <c r="F43" s="3103" t="s">
        <v>2483</v>
      </c>
      <c r="G43" s="3103"/>
    </row>
    <row r="44" spans="1:7" ht="19.5" customHeight="1">
      <c r="A44" s="3768"/>
      <c r="B44" s="3115" t="s">
        <v>2634</v>
      </c>
      <c r="C44" s="3104" t="s">
        <v>2635</v>
      </c>
      <c r="D44" s="3105"/>
      <c r="E44" s="3106">
        <v>2</v>
      </c>
      <c r="F44" s="3103" t="s">
        <v>2484</v>
      </c>
      <c r="G44" s="3103"/>
    </row>
    <row r="45" spans="1:7" ht="19.5" customHeight="1">
      <c r="A45" s="3768"/>
      <c r="B45" s="3766" t="s">
        <v>2636</v>
      </c>
      <c r="C45" s="3104" t="s">
        <v>2485</v>
      </c>
      <c r="D45" s="3105"/>
      <c r="E45" s="3106">
        <v>1</v>
      </c>
      <c r="F45" s="3103" t="s">
        <v>2486</v>
      </c>
      <c r="G45" s="3103"/>
    </row>
    <row r="46" spans="1:7" ht="19.5" customHeight="1">
      <c r="A46" s="3768"/>
      <c r="B46" s="3761"/>
      <c r="C46" s="3104" t="s">
        <v>2487</v>
      </c>
      <c r="D46" s="3105"/>
      <c r="E46" s="3106">
        <v>1</v>
      </c>
      <c r="F46" s="3103" t="s">
        <v>2488</v>
      </c>
      <c r="G46" s="3103"/>
    </row>
    <row r="47" spans="1:7" ht="19.5" customHeight="1">
      <c r="A47" s="3768"/>
      <c r="B47" s="3761"/>
      <c r="C47" s="3104" t="s">
        <v>2489</v>
      </c>
      <c r="D47" s="3105"/>
      <c r="E47" s="3106">
        <v>1</v>
      </c>
      <c r="F47" s="3103" t="s">
        <v>2490</v>
      </c>
      <c r="G47" s="3103"/>
    </row>
    <row r="48" spans="1:7" ht="19.5" customHeight="1">
      <c r="A48" s="3768"/>
      <c r="B48" s="3761"/>
      <c r="C48" s="3104" t="s">
        <v>2491</v>
      </c>
      <c r="D48" s="3105"/>
      <c r="E48" s="3106">
        <v>1</v>
      </c>
      <c r="F48" s="3103" t="s">
        <v>2492</v>
      </c>
      <c r="G48" s="3103"/>
    </row>
    <row r="49" spans="1:7" ht="19.5" customHeight="1">
      <c r="A49" s="3768"/>
      <c r="B49" s="3761"/>
      <c r="C49" s="3104" t="s">
        <v>2493</v>
      </c>
      <c r="D49" s="3105"/>
      <c r="E49" s="3106">
        <v>1</v>
      </c>
      <c r="F49" s="3103" t="s">
        <v>2494</v>
      </c>
      <c r="G49" s="3103"/>
    </row>
    <row r="50" spans="1:7" ht="19.5" customHeight="1">
      <c r="A50" s="3768"/>
      <c r="B50" s="3761"/>
      <c r="C50" s="3104" t="s">
        <v>2495</v>
      </c>
      <c r="D50" s="3105"/>
      <c r="E50" s="3106">
        <v>1</v>
      </c>
      <c r="F50" s="3103" t="s">
        <v>2496</v>
      </c>
      <c r="G50" s="3103"/>
    </row>
    <row r="51" spans="1:7" ht="19.5" customHeight="1" thickBot="1">
      <c r="A51" s="3769"/>
      <c r="B51" s="3762"/>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6" t="s">
        <v>2650</v>
      </c>
      <c r="C73" s="3089" t="s">
        <v>2651</v>
      </c>
      <c r="D73" s="3089" t="s">
        <v>2652</v>
      </c>
      <c r="E73" s="3115">
        <v>0.2</v>
      </c>
      <c r="F73" s="3115">
        <v>25</v>
      </c>
    </row>
    <row r="74" spans="1:7" ht="24">
      <c r="A74" s="3115">
        <v>2</v>
      </c>
      <c r="B74" s="3761"/>
      <c r="C74" s="3089" t="s">
        <v>2653</v>
      </c>
      <c r="D74" s="3089" t="s">
        <v>2654</v>
      </c>
      <c r="E74" s="3115">
        <v>0.2</v>
      </c>
      <c r="F74" s="3115">
        <v>25</v>
      </c>
    </row>
    <row r="75" spans="1:7" ht="24">
      <c r="A75" s="3115">
        <v>3</v>
      </c>
      <c r="B75" s="3761"/>
      <c r="C75" s="3089" t="s">
        <v>2655</v>
      </c>
      <c r="D75" s="3089" t="s">
        <v>2656</v>
      </c>
      <c r="E75" s="3115">
        <v>0.2</v>
      </c>
      <c r="F75" s="3115">
        <v>25</v>
      </c>
    </row>
    <row r="76" spans="1:7" ht="13.5">
      <c r="A76" s="3115">
        <v>4</v>
      </c>
      <c r="B76" s="3761"/>
      <c r="C76" s="3089" t="s">
        <v>2657</v>
      </c>
      <c r="D76" s="3089" t="s">
        <v>2658</v>
      </c>
      <c r="E76" s="3115">
        <v>0.15</v>
      </c>
      <c r="F76" s="3115">
        <v>20</v>
      </c>
    </row>
    <row r="77" spans="1:7" ht="24">
      <c r="A77" s="3115">
        <v>5</v>
      </c>
      <c r="B77" s="3761"/>
      <c r="C77" s="3089" t="s">
        <v>2659</v>
      </c>
      <c r="D77" s="3089" t="s">
        <v>2660</v>
      </c>
      <c r="E77" s="3115">
        <v>0.15</v>
      </c>
      <c r="F77" s="3115">
        <v>20</v>
      </c>
    </row>
    <row r="78" spans="1:7" ht="24">
      <c r="A78" s="3115">
        <v>6</v>
      </c>
      <c r="B78" s="3761"/>
      <c r="C78" s="3089" t="s">
        <v>2661</v>
      </c>
      <c r="D78" s="3089" t="s">
        <v>2662</v>
      </c>
      <c r="E78" s="3115">
        <v>0.15</v>
      </c>
      <c r="F78" s="3115">
        <v>20</v>
      </c>
    </row>
    <row r="79" spans="1:7" ht="24">
      <c r="A79" s="3115">
        <v>7</v>
      </c>
      <c r="B79" s="3761"/>
      <c r="C79" s="3089" t="s">
        <v>2663</v>
      </c>
      <c r="D79" s="3089" t="s">
        <v>2664</v>
      </c>
      <c r="E79" s="3115">
        <v>0.15</v>
      </c>
      <c r="F79" s="3115">
        <v>20</v>
      </c>
    </row>
    <row r="80" spans="1:7" ht="24">
      <c r="A80" s="3115">
        <v>8</v>
      </c>
      <c r="B80" s="3761"/>
      <c r="C80" s="3089" t="s">
        <v>2665</v>
      </c>
      <c r="D80" s="3089" t="s">
        <v>2666</v>
      </c>
      <c r="E80" s="3115">
        <v>0.1</v>
      </c>
      <c r="F80" s="3115">
        <v>15</v>
      </c>
    </row>
    <row r="81" spans="1:6" ht="24">
      <c r="A81" s="3115">
        <v>9</v>
      </c>
      <c r="B81" s="3761"/>
      <c r="C81" s="3089" t="s">
        <v>2667</v>
      </c>
      <c r="D81" s="3089" t="s">
        <v>2668</v>
      </c>
      <c r="E81" s="3115">
        <v>0.1</v>
      </c>
      <c r="F81" s="3115">
        <v>15</v>
      </c>
    </row>
    <row r="82" spans="1:6" ht="24">
      <c r="A82" s="3115">
        <v>10</v>
      </c>
      <c r="B82" s="3761"/>
      <c r="C82" s="3089" t="s">
        <v>2669</v>
      </c>
      <c r="D82" s="3089" t="s">
        <v>2670</v>
      </c>
      <c r="E82" s="3115">
        <v>0.1</v>
      </c>
      <c r="F82" s="3115">
        <v>15</v>
      </c>
    </row>
    <row r="83" spans="1:6" ht="24">
      <c r="A83" s="3115">
        <v>11</v>
      </c>
      <c r="B83" s="3761"/>
      <c r="C83" s="3089" t="s">
        <v>2671</v>
      </c>
      <c r="D83" s="3089" t="s">
        <v>2672</v>
      </c>
      <c r="E83" s="3115">
        <v>0.1</v>
      </c>
      <c r="F83" s="3115">
        <v>15</v>
      </c>
    </row>
    <row r="84" spans="1:6" ht="24">
      <c r="A84" s="3115">
        <v>12</v>
      </c>
      <c r="B84" s="3761"/>
      <c r="C84" s="3089" t="s">
        <v>2673</v>
      </c>
      <c r="D84" s="3089" t="s">
        <v>2674</v>
      </c>
      <c r="E84" s="3115">
        <v>0.1</v>
      </c>
      <c r="F84" s="3115">
        <v>15</v>
      </c>
    </row>
    <row r="85" spans="1:6" ht="13.5">
      <c r="A85" s="3115">
        <v>13</v>
      </c>
      <c r="B85" s="3761"/>
      <c r="C85" s="3089" t="s">
        <v>2675</v>
      </c>
      <c r="D85" s="3089" t="s">
        <v>2676</v>
      </c>
      <c r="E85" s="3115">
        <v>0.1</v>
      </c>
      <c r="F85" s="3115">
        <v>15</v>
      </c>
    </row>
    <row r="86" spans="1:6" ht="13.5">
      <c r="A86" s="3115">
        <v>14</v>
      </c>
      <c r="B86" s="3761"/>
      <c r="C86" s="3089" t="s">
        <v>2677</v>
      </c>
      <c r="D86" s="3089" t="s">
        <v>2678</v>
      </c>
      <c r="E86" s="3115">
        <v>0.1</v>
      </c>
      <c r="F86" s="3115">
        <v>15</v>
      </c>
    </row>
    <row r="87" spans="1:6" ht="13.5">
      <c r="A87" s="3115">
        <v>15</v>
      </c>
      <c r="B87" s="3761"/>
      <c r="C87" s="3089" t="s">
        <v>2679</v>
      </c>
      <c r="D87" s="3089" t="s">
        <v>2680</v>
      </c>
      <c r="E87" s="3115">
        <v>0.1</v>
      </c>
      <c r="F87" s="3115">
        <v>15</v>
      </c>
    </row>
    <row r="88" spans="1:6" ht="24">
      <c r="A88" s="3115">
        <v>16</v>
      </c>
      <c r="B88" s="3761"/>
      <c r="C88" s="3089" t="s">
        <v>2681</v>
      </c>
      <c r="D88" s="3089" t="s">
        <v>2682</v>
      </c>
      <c r="E88" s="3115">
        <v>0.1</v>
      </c>
      <c r="F88" s="3115">
        <v>15</v>
      </c>
    </row>
    <row r="89" spans="1:6" ht="24">
      <c r="A89" s="3115">
        <v>17</v>
      </c>
      <c r="B89" s="3770"/>
      <c r="C89" s="3089" t="s">
        <v>2683</v>
      </c>
      <c r="D89" s="3089" t="s">
        <v>2684</v>
      </c>
      <c r="E89" s="3115">
        <v>0.1</v>
      </c>
      <c r="F89" s="3115">
        <v>15</v>
      </c>
    </row>
    <row r="90" spans="1:6" ht="13.5">
      <c r="A90" s="3115">
        <v>18</v>
      </c>
      <c r="B90" s="3766" t="s">
        <v>2685</v>
      </c>
      <c r="C90" s="3089" t="s">
        <v>2686</v>
      </c>
      <c r="D90" s="3089" t="s">
        <v>2687</v>
      </c>
      <c r="E90" s="3115">
        <v>0.2</v>
      </c>
      <c r="F90" s="3115">
        <v>25</v>
      </c>
    </row>
    <row r="91" spans="1:6" ht="24">
      <c r="A91" s="3115">
        <v>19</v>
      </c>
      <c r="B91" s="3761"/>
      <c r="C91" s="3089" t="s">
        <v>2688</v>
      </c>
      <c r="D91" s="3089" t="s">
        <v>2689</v>
      </c>
      <c r="E91" s="3115">
        <v>0.2</v>
      </c>
      <c r="F91" s="3115">
        <v>25</v>
      </c>
    </row>
    <row r="92" spans="1:6" ht="13.5">
      <c r="A92" s="3115">
        <v>20</v>
      </c>
      <c r="B92" s="3761"/>
      <c r="C92" s="3089" t="s">
        <v>2690</v>
      </c>
      <c r="D92" s="3089" t="s">
        <v>2691</v>
      </c>
      <c r="E92" s="3115">
        <v>0.15</v>
      </c>
      <c r="F92" s="3115">
        <v>20</v>
      </c>
    </row>
    <row r="93" spans="1:6" ht="13.5">
      <c r="A93" s="3115">
        <v>21</v>
      </c>
      <c r="B93" s="3761"/>
      <c r="C93" s="3089" t="s">
        <v>2692</v>
      </c>
      <c r="D93" s="3089" t="s">
        <v>2693</v>
      </c>
      <c r="E93" s="3115">
        <v>0.15</v>
      </c>
      <c r="F93" s="3115">
        <v>20</v>
      </c>
    </row>
    <row r="94" spans="1:6" ht="13.5">
      <c r="A94" s="3115">
        <v>22</v>
      </c>
      <c r="B94" s="3761"/>
      <c r="C94" s="3089" t="s">
        <v>2694</v>
      </c>
      <c r="D94" s="3089" t="s">
        <v>2695</v>
      </c>
      <c r="E94" s="3115">
        <v>0.15</v>
      </c>
      <c r="F94" s="3115">
        <v>20</v>
      </c>
    </row>
    <row r="95" spans="1:6" ht="36">
      <c r="A95" s="3115">
        <v>23</v>
      </c>
      <c r="B95" s="3761"/>
      <c r="C95" s="3089" t="s">
        <v>2696</v>
      </c>
      <c r="D95" s="3089" t="s">
        <v>2697</v>
      </c>
      <c r="E95" s="3115">
        <v>0.15</v>
      </c>
      <c r="F95" s="3115">
        <v>20</v>
      </c>
    </row>
    <row r="96" spans="1:6" ht="13.5">
      <c r="A96" s="3115">
        <v>24</v>
      </c>
      <c r="B96" s="3761"/>
      <c r="C96" s="3089" t="s">
        <v>2698</v>
      </c>
      <c r="D96" s="3089" t="s">
        <v>2699</v>
      </c>
      <c r="E96" s="3115">
        <v>0.1</v>
      </c>
      <c r="F96" s="3115">
        <v>15</v>
      </c>
    </row>
    <row r="97" spans="1:6" ht="13.5">
      <c r="A97" s="3115">
        <v>25</v>
      </c>
      <c r="B97" s="3761"/>
      <c r="C97" s="3089" t="s">
        <v>2700</v>
      </c>
      <c r="D97" s="3089" t="s">
        <v>2701</v>
      </c>
      <c r="E97" s="3115">
        <v>0.1</v>
      </c>
      <c r="F97" s="3115">
        <v>15</v>
      </c>
    </row>
    <row r="98" spans="1:6" ht="24">
      <c r="A98" s="3115">
        <v>26</v>
      </c>
      <c r="B98" s="3761"/>
      <c r="C98" s="3089" t="s">
        <v>2702</v>
      </c>
      <c r="D98" s="3089" t="s">
        <v>2703</v>
      </c>
      <c r="E98" s="3115">
        <v>0.1</v>
      </c>
      <c r="F98" s="3115">
        <v>15</v>
      </c>
    </row>
    <row r="99" spans="1:6" ht="24">
      <c r="A99" s="3115">
        <v>27</v>
      </c>
      <c r="B99" s="3761"/>
      <c r="C99" s="3089" t="s">
        <v>2704</v>
      </c>
      <c r="D99" s="3089" t="s">
        <v>2705</v>
      </c>
      <c r="E99" s="3115">
        <v>0.1</v>
      </c>
      <c r="F99" s="3115">
        <v>15</v>
      </c>
    </row>
    <row r="100" spans="1:6" ht="13.5">
      <c r="A100" s="3115">
        <v>28</v>
      </c>
      <c r="B100" s="3761"/>
      <c r="C100" s="3089" t="s">
        <v>2706</v>
      </c>
      <c r="D100" s="3089" t="s">
        <v>2707</v>
      </c>
      <c r="E100" s="3115">
        <v>0.1</v>
      </c>
      <c r="F100" s="3115">
        <v>15</v>
      </c>
    </row>
    <row r="101" spans="1:6" ht="13.5">
      <c r="A101" s="3115">
        <v>29</v>
      </c>
      <c r="B101" s="3761"/>
      <c r="C101" s="3089" t="s">
        <v>2708</v>
      </c>
      <c r="D101" s="3089" t="s">
        <v>2709</v>
      </c>
      <c r="E101" s="3115">
        <v>0.1</v>
      </c>
      <c r="F101" s="3115">
        <v>15</v>
      </c>
    </row>
    <row r="102" spans="1:6" ht="13.5">
      <c r="A102" s="3115">
        <v>30</v>
      </c>
      <c r="B102" s="3761"/>
      <c r="C102" s="3089" t="s">
        <v>2710</v>
      </c>
      <c r="D102" s="3089" t="s">
        <v>2711</v>
      </c>
      <c r="E102" s="3115">
        <v>0.1</v>
      </c>
      <c r="F102" s="3115">
        <v>15</v>
      </c>
    </row>
    <row r="103" spans="1:6" ht="24">
      <c r="A103" s="3115">
        <v>31</v>
      </c>
      <c r="B103" s="3761"/>
      <c r="C103" s="3089" t="s">
        <v>2712</v>
      </c>
      <c r="D103" s="3089" t="s">
        <v>2713</v>
      </c>
      <c r="E103" s="3115">
        <v>0.1</v>
      </c>
      <c r="F103" s="3115">
        <v>15</v>
      </c>
    </row>
    <row r="104" spans="1:6" ht="24">
      <c r="A104" s="3115">
        <v>32</v>
      </c>
      <c r="B104" s="3761"/>
      <c r="C104" s="3089" t="s">
        <v>2714</v>
      </c>
      <c r="D104" s="3089" t="s">
        <v>2715</v>
      </c>
      <c r="E104" s="3115">
        <v>0.1</v>
      </c>
      <c r="F104" s="3115">
        <v>15</v>
      </c>
    </row>
    <row r="105" spans="1:6" ht="24">
      <c r="A105" s="3115">
        <v>33</v>
      </c>
      <c r="B105" s="3761"/>
      <c r="C105" s="3089" t="s">
        <v>2716</v>
      </c>
      <c r="D105" s="3089" t="s">
        <v>2717</v>
      </c>
      <c r="E105" s="3115">
        <v>0.1</v>
      </c>
      <c r="F105" s="3115">
        <v>15</v>
      </c>
    </row>
    <row r="106" spans="1:6" ht="24">
      <c r="A106" s="3115">
        <v>34</v>
      </c>
      <c r="B106" s="3770"/>
      <c r="C106" s="3089" t="s">
        <v>2718</v>
      </c>
      <c r="D106" s="3089" t="s">
        <v>2719</v>
      </c>
      <c r="E106" s="3115">
        <v>0.1</v>
      </c>
      <c r="F106" s="3115">
        <v>15</v>
      </c>
    </row>
    <row r="107" spans="1:6" ht="24">
      <c r="A107" s="3115">
        <v>35</v>
      </c>
      <c r="B107" s="3766" t="s">
        <v>2720</v>
      </c>
      <c r="C107" s="3115" t="s">
        <v>2721</v>
      </c>
      <c r="D107" s="3089" t="s">
        <v>2722</v>
      </c>
      <c r="E107" s="3115">
        <v>0.15</v>
      </c>
      <c r="F107" s="3115">
        <v>20</v>
      </c>
    </row>
    <row r="108" spans="1:6" ht="13.5">
      <c r="A108" s="3115">
        <v>36</v>
      </c>
      <c r="B108" s="3761"/>
      <c r="C108" s="3115" t="s">
        <v>2723</v>
      </c>
      <c r="D108" s="3089" t="s">
        <v>2724</v>
      </c>
      <c r="E108" s="3115">
        <v>0.15</v>
      </c>
      <c r="F108" s="3115">
        <v>20</v>
      </c>
    </row>
    <row r="109" spans="1:6" ht="13.5">
      <c r="A109" s="3115">
        <v>37</v>
      </c>
      <c r="B109" s="3761"/>
      <c r="C109" s="3115" t="s">
        <v>2725</v>
      </c>
      <c r="D109" s="3089" t="s">
        <v>2726</v>
      </c>
      <c r="E109" s="3115">
        <v>0.15</v>
      </c>
      <c r="F109" s="3115">
        <v>20</v>
      </c>
    </row>
    <row r="110" spans="1:6" ht="13.5">
      <c r="A110" s="3115">
        <v>38</v>
      </c>
      <c r="B110" s="3761"/>
      <c r="C110" s="3115" t="s">
        <v>2727</v>
      </c>
      <c r="D110" s="3089" t="s">
        <v>2728</v>
      </c>
      <c r="E110" s="3115">
        <v>0.1</v>
      </c>
      <c r="F110" s="3115">
        <v>15</v>
      </c>
    </row>
    <row r="111" spans="1:6" ht="24">
      <c r="A111" s="3115">
        <v>39</v>
      </c>
      <c r="B111" s="3761"/>
      <c r="C111" s="3115" t="s">
        <v>2729</v>
      </c>
      <c r="D111" s="3089" t="s">
        <v>2730</v>
      </c>
      <c r="E111" s="3115">
        <v>0.1</v>
      </c>
      <c r="F111" s="3115">
        <v>15</v>
      </c>
    </row>
    <row r="112" spans="1:6" ht="24">
      <c r="A112" s="3115">
        <v>40</v>
      </c>
      <c r="B112" s="3770"/>
      <c r="C112" s="3115" t="s">
        <v>2731</v>
      </c>
      <c r="D112" s="3089" t="s">
        <v>2732</v>
      </c>
      <c r="E112" s="3115">
        <v>0.1</v>
      </c>
      <c r="F112" s="3115">
        <v>15</v>
      </c>
    </row>
    <row r="113" spans="1:6" ht="13.5">
      <c r="A113" s="3115">
        <v>41</v>
      </c>
      <c r="B113" s="3771" t="s">
        <v>2733</v>
      </c>
      <c r="C113" s="3115" t="s">
        <v>2734</v>
      </c>
      <c r="D113" s="3089" t="s">
        <v>2735</v>
      </c>
      <c r="E113" s="3115">
        <v>0.1</v>
      </c>
      <c r="F113" s="3115">
        <v>15</v>
      </c>
    </row>
    <row r="114" spans="1:6" ht="13.5">
      <c r="A114" s="3115">
        <v>42</v>
      </c>
      <c r="B114" s="3771"/>
      <c r="C114" s="3115" t="s">
        <v>2736</v>
      </c>
      <c r="D114" s="3089" t="s">
        <v>2737</v>
      </c>
      <c r="E114" s="3115">
        <v>0.1</v>
      </c>
      <c r="F114" s="3115">
        <v>15</v>
      </c>
    </row>
    <row r="115" spans="1:6" ht="24">
      <c r="A115" s="3115">
        <v>43</v>
      </c>
      <c r="B115" s="3771"/>
      <c r="C115" s="3115" t="s">
        <v>2738</v>
      </c>
      <c r="D115" s="3089" t="s">
        <v>2739</v>
      </c>
      <c r="E115" s="3115">
        <v>0.1</v>
      </c>
      <c r="F115" s="3115">
        <v>15</v>
      </c>
    </row>
    <row r="116" spans="1:6" ht="13.5">
      <c r="A116" s="3115">
        <v>44</v>
      </c>
      <c r="B116" s="3766" t="s">
        <v>2740</v>
      </c>
      <c r="C116" s="3115" t="s">
        <v>2741</v>
      </c>
      <c r="D116" s="3089" t="s">
        <v>2742</v>
      </c>
      <c r="E116" s="3115">
        <v>0.1</v>
      </c>
      <c r="F116" s="3115">
        <v>15</v>
      </c>
    </row>
    <row r="117" spans="1:6" ht="24">
      <c r="A117" s="3115">
        <v>45</v>
      </c>
      <c r="B117" s="3770"/>
      <c r="C117" s="3089" t="s">
        <v>2743</v>
      </c>
      <c r="D117" s="3089" t="s">
        <v>2744</v>
      </c>
      <c r="E117" s="3115">
        <v>0.1</v>
      </c>
      <c r="F117" s="3115">
        <v>15</v>
      </c>
    </row>
    <row r="118" spans="1:6" ht="24">
      <c r="A118" s="3115">
        <v>46</v>
      </c>
      <c r="B118" s="3766" t="s">
        <v>2745</v>
      </c>
      <c r="C118" s="3115" t="s">
        <v>2746</v>
      </c>
      <c r="D118" s="3089" t="s">
        <v>2747</v>
      </c>
      <c r="E118" s="3115">
        <v>0.1</v>
      </c>
      <c r="F118" s="3115">
        <v>15</v>
      </c>
    </row>
    <row r="119" spans="1:6" ht="24">
      <c r="A119" s="3115">
        <v>47</v>
      </c>
      <c r="B119" s="3770"/>
      <c r="C119" s="3115" t="s">
        <v>2748</v>
      </c>
      <c r="D119" s="3089" t="s">
        <v>2749</v>
      </c>
      <c r="E119" s="3115">
        <v>0.1</v>
      </c>
      <c r="F119" s="3115">
        <v>15</v>
      </c>
    </row>
    <row r="120" spans="1:6" ht="13.5">
      <c r="A120" s="3115">
        <v>48</v>
      </c>
      <c r="B120" s="3766" t="s">
        <v>2750</v>
      </c>
      <c r="C120" s="3115" t="s">
        <v>2751</v>
      </c>
      <c r="D120" s="3089" t="s">
        <v>2752</v>
      </c>
      <c r="E120" s="3115">
        <v>0.1</v>
      </c>
      <c r="F120" s="3115">
        <v>15</v>
      </c>
    </row>
    <row r="121" spans="1:6" ht="13.5">
      <c r="A121" s="3115">
        <v>49</v>
      </c>
      <c r="B121" s="3770"/>
      <c r="C121" s="3115" t="s">
        <v>2753</v>
      </c>
      <c r="D121" s="3089" t="s">
        <v>2754</v>
      </c>
      <c r="E121" s="3115">
        <v>0.1</v>
      </c>
      <c r="F121" s="3115">
        <v>15</v>
      </c>
    </row>
    <row r="122" spans="1:6" ht="24">
      <c r="A122" s="3115">
        <v>50</v>
      </c>
      <c r="B122" s="3771" t="s">
        <v>2755</v>
      </c>
      <c r="C122" s="3115" t="s">
        <v>2756</v>
      </c>
      <c r="D122" s="3089" t="s">
        <v>2757</v>
      </c>
      <c r="E122" s="3115">
        <v>0.1</v>
      </c>
      <c r="F122" s="3115">
        <v>15</v>
      </c>
    </row>
    <row r="123" spans="1:6" ht="24">
      <c r="A123" s="3115">
        <v>51</v>
      </c>
      <c r="B123" s="3771"/>
      <c r="C123" s="3115" t="s">
        <v>2758</v>
      </c>
      <c r="D123" s="3089" t="s">
        <v>2759</v>
      </c>
      <c r="E123" s="3115">
        <v>0.1</v>
      </c>
      <c r="F123" s="3115">
        <v>15</v>
      </c>
    </row>
    <row r="124" spans="1:6" ht="24">
      <c r="A124" s="3115">
        <v>52</v>
      </c>
      <c r="B124" s="3771" t="s">
        <v>2760</v>
      </c>
      <c r="C124" s="3115" t="s">
        <v>2761</v>
      </c>
      <c r="D124" s="3089" t="s">
        <v>2762</v>
      </c>
      <c r="E124" s="3115">
        <v>0.1</v>
      </c>
      <c r="F124" s="3115">
        <v>15</v>
      </c>
    </row>
    <row r="125" spans="1:6" ht="24">
      <c r="A125" s="3115">
        <v>53</v>
      </c>
      <c r="B125" s="3771"/>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71" t="s">
        <v>2768</v>
      </c>
      <c r="C127" s="3115" t="s">
        <v>2769</v>
      </c>
      <c r="D127" s="3089" t="s">
        <v>2770</v>
      </c>
      <c r="E127" s="3115">
        <v>0.1</v>
      </c>
      <c r="F127" s="3115">
        <v>15</v>
      </c>
    </row>
    <row r="128" spans="1:6" ht="13.5">
      <c r="A128" s="3115">
        <v>56</v>
      </c>
      <c r="B128" s="3771"/>
      <c r="C128" s="3115" t="s">
        <v>2771</v>
      </c>
      <c r="D128" s="3089" t="s">
        <v>2772</v>
      </c>
      <c r="E128" s="3115">
        <v>0.1</v>
      </c>
      <c r="F128" s="3115">
        <v>15</v>
      </c>
    </row>
    <row r="129" spans="1:6" ht="24">
      <c r="A129" s="3115">
        <v>57</v>
      </c>
      <c r="B129" s="3771"/>
      <c r="C129" s="3115" t="s">
        <v>2773</v>
      </c>
      <c r="D129" s="3089" t="s">
        <v>2774</v>
      </c>
      <c r="E129" s="3115">
        <v>0.1</v>
      </c>
      <c r="F129" s="3115">
        <v>15</v>
      </c>
    </row>
    <row r="130" spans="1:6" ht="24">
      <c r="A130" s="3115">
        <v>58</v>
      </c>
      <c r="B130" s="3771" t="s">
        <v>2775</v>
      </c>
      <c r="C130" s="3115" t="s">
        <v>2776</v>
      </c>
      <c r="D130" s="3089" t="s">
        <v>2777</v>
      </c>
      <c r="E130" s="3115">
        <v>0.1</v>
      </c>
      <c r="F130" s="3115">
        <v>15</v>
      </c>
    </row>
    <row r="131" spans="1:6" ht="13.5">
      <c r="A131" s="3115">
        <v>59</v>
      </c>
      <c r="B131" s="3771"/>
      <c r="C131" s="3115" t="s">
        <v>2778</v>
      </c>
      <c r="D131" s="3089" t="s">
        <v>2779</v>
      </c>
      <c r="E131" s="3115">
        <v>0.1</v>
      </c>
      <c r="F131" s="3115">
        <v>15</v>
      </c>
    </row>
    <row r="132" spans="1:6" ht="13.5">
      <c r="A132" s="3115">
        <v>60</v>
      </c>
      <c r="B132" s="3766" t="s">
        <v>2780</v>
      </c>
      <c r="C132" s="3115" t="s">
        <v>2781</v>
      </c>
      <c r="D132" s="3089" t="s">
        <v>2782</v>
      </c>
      <c r="E132" s="3115">
        <v>0.1</v>
      </c>
      <c r="F132" s="3115">
        <v>15</v>
      </c>
    </row>
    <row r="133" spans="1:6" ht="13.5">
      <c r="A133" s="3115">
        <v>61</v>
      </c>
      <c r="B133" s="3770"/>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71" t="s">
        <v>2788</v>
      </c>
      <c r="C135" s="3115" t="s">
        <v>2789</v>
      </c>
      <c r="D135" s="3089" t="s">
        <v>2790</v>
      </c>
      <c r="E135" s="3115">
        <v>0.1</v>
      </c>
      <c r="F135" s="3115">
        <v>15</v>
      </c>
    </row>
    <row r="136" spans="1:6" ht="13.5">
      <c r="A136" s="3115">
        <v>64</v>
      </c>
      <c r="B136" s="3771"/>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0.94710000000000005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30050</v>
      </c>
      <c r="C2" s="2" t="s">
        <v>106</v>
      </c>
      <c r="D2" s="199"/>
      <c r="E2" s="199"/>
      <c r="F2" s="199"/>
      <c r="G2" s="199"/>
    </row>
    <row r="3" spans="1:7" s="200" customFormat="1" ht="18" customHeight="1" thickBot="1">
      <c r="A3" s="203" t="s">
        <v>58</v>
      </c>
      <c r="B3" s="204">
        <f ca="1">ROUND(B2*10000/'数据-汇总表'!E3,0)</f>
        <v>1814723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165.59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165.59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1772</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29962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165.59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1.1999999999999999E-3</v>
      </c>
      <c r="D44" s="238"/>
      <c r="E44" s="238"/>
      <c r="F44" s="239"/>
      <c r="G44" s="3638"/>
    </row>
    <row r="45" spans="1:7" s="214" customFormat="1" ht="13.5" customHeight="1">
      <c r="A45" s="777" t="s">
        <v>341</v>
      </c>
      <c r="B45" s="244" t="s">
        <v>85</v>
      </c>
      <c r="C45" s="245">
        <f>C46</f>
        <v>17</v>
      </c>
      <c r="D45" s="235">
        <f>C47</f>
        <v>6.0000000000000001E-3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115</v>
      </c>
      <c r="D49" s="232"/>
      <c r="E49" s="232"/>
      <c r="F49" s="264"/>
      <c r="G49" s="234" t="s">
        <v>435</v>
      </c>
    </row>
    <row r="50" spans="1:7" s="258" customFormat="1" ht="24">
      <c r="A50" s="777" t="s">
        <v>344</v>
      </c>
      <c r="B50" s="210" t="s">
        <v>97</v>
      </c>
      <c r="C50" s="232"/>
      <c r="D50" s="232"/>
      <c r="E50" s="232"/>
      <c r="F50" s="264">
        <f>IF('数据-取费表'!B24=0,'数据-取费表'!N16,1)</f>
        <v>0.76500000000000001</v>
      </c>
      <c r="G50" s="247" t="s">
        <v>98</v>
      </c>
    </row>
    <row r="51" spans="1:7" ht="16.5" customHeight="1">
      <c r="A51" s="777" t="s">
        <v>345</v>
      </c>
      <c r="B51" s="210" t="s">
        <v>105</v>
      </c>
      <c r="C51" s="232">
        <f ca="1">ROUND(C49*F50,0)</f>
        <v>88</v>
      </c>
      <c r="D51" s="232"/>
      <c r="E51" s="232"/>
      <c r="F51" s="264"/>
      <c r="G51" s="234" t="s">
        <v>37</v>
      </c>
    </row>
    <row r="52" spans="1:7" s="208" customFormat="1" ht="16.5" thickBot="1">
      <c r="A52" s="265" t="s">
        <v>38</v>
      </c>
      <c r="B52" s="266"/>
      <c r="C52" s="267">
        <f ca="1">C31+C51</f>
        <v>30050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640</v>
      </c>
      <c r="E5" s="1491"/>
    </row>
    <row r="6" spans="1:5" ht="15.75">
      <c r="A6" s="1491"/>
      <c r="B6" s="3455"/>
      <c r="C6" s="1494" t="s">
        <v>911</v>
      </c>
      <c r="D6" s="850" t="str">
        <f ca="1">NUMBERSTRING(INT(D5*10000),2)&amp;"元整"</f>
        <v>陆佰肆拾万元整</v>
      </c>
      <c r="E6" s="1491"/>
    </row>
    <row r="7" spans="1:5" ht="15.75">
      <c r="A7" s="1491"/>
      <c r="B7" s="3460"/>
      <c r="C7" s="1495" t="s">
        <v>912</v>
      </c>
      <c r="D7" s="851">
        <f ca="1">结果表!H102</f>
        <v>38650</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640</v>
      </c>
      <c r="E13" s="1491"/>
    </row>
    <row r="14" spans="1:5" ht="15.75">
      <c r="A14" s="1491"/>
      <c r="B14" s="3455"/>
      <c r="C14" s="1494" t="s">
        <v>911</v>
      </c>
      <c r="D14" s="850" t="str">
        <f ca="1">NUMBERSTRING(INT(D13*10000),2)&amp;"元整"</f>
        <v>陆佰肆拾万元整</v>
      </c>
      <c r="E14" s="1491"/>
    </row>
    <row r="15" spans="1:5" ht="15">
      <c r="A15" s="1491"/>
      <c r="B15" s="3460"/>
      <c r="C15" s="1495" t="s">
        <v>921</v>
      </c>
      <c r="D15" s="859">
        <f ca="1">结果表!H108</f>
        <v>38650</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4" t="s">
        <v>2842</v>
      </c>
      <c r="B1" s="3774"/>
      <c r="C1" s="3774"/>
      <c r="D1" s="3774"/>
      <c r="E1" s="3774"/>
      <c r="F1" s="3774"/>
      <c r="G1" s="3775"/>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2"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3"/>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6" t="s">
        <v>3184</v>
      </c>
      <c r="B1" s="3776"/>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7" t="s">
        <v>3235</v>
      </c>
      <c r="B1" s="3777"/>
      <c r="C1" s="3777"/>
      <c r="D1" s="3777"/>
      <c r="E1" s="3777"/>
      <c r="F1" s="3778"/>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45034</v>
      </c>
      <c r="B1" s="3207" t="s">
        <v>2841</v>
      </c>
      <c r="C1" s="3208"/>
      <c r="D1" s="3208"/>
      <c r="E1" s="3208"/>
      <c r="F1" s="3208"/>
      <c r="G1" s="3208"/>
      <c r="H1" s="3208"/>
      <c r="I1" s="3208"/>
      <c r="J1" s="3162"/>
      <c r="K1" s="3208" t="s">
        <v>454</v>
      </c>
      <c r="L1" s="3208"/>
      <c r="M1" s="3208"/>
      <c r="N1" s="3208"/>
      <c r="O1" s="3208"/>
      <c r="P1" s="3208"/>
      <c r="Q1" s="3162"/>
      <c r="R1" s="3779" t="s">
        <v>456</v>
      </c>
      <c r="S1" s="3780"/>
      <c r="T1" s="3780"/>
      <c r="U1" s="3780"/>
      <c r="V1" s="3780"/>
      <c r="W1" s="3780"/>
      <c r="X1" s="3162"/>
      <c r="Y1" s="3779" t="s">
        <v>457</v>
      </c>
      <c r="Z1" s="3780"/>
      <c r="AA1" s="3780"/>
      <c r="AB1" s="3780"/>
      <c r="AC1" s="3780"/>
      <c r="AD1" s="3780"/>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3" t="s">
        <v>3369</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79" t="s">
        <v>2829</v>
      </c>
      <c r="S21" s="3780"/>
      <c r="T21" s="3780"/>
      <c r="U21" s="3780"/>
      <c r="V21" s="3780"/>
      <c r="W21" s="3780"/>
      <c r="X21" s="3162"/>
      <c r="Y21" s="3779" t="s">
        <v>2830</v>
      </c>
      <c r="Z21" s="3780"/>
      <c r="AA21" s="3780"/>
      <c r="AB21" s="3780"/>
      <c r="AC21" s="3780"/>
      <c r="AD21" s="3780"/>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4"/>
      <c r="AB26" s="3444"/>
      <c r="AC26" s="3210"/>
      <c r="AD26" s="3181"/>
    </row>
    <row r="27" spans="1:30" s="3182" customFormat="1" ht="12.75">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4"/>
      <c r="AB27" s="3444"/>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4"/>
      <c r="AB28" s="3444"/>
      <c r="AC28" s="3210"/>
      <c r="AD28" s="3181"/>
    </row>
    <row r="29" spans="1:30" s="3192" customFormat="1" ht="12.75">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165.59</v>
      </c>
      <c r="C4" s="854">
        <f>项目基本情况!C18</f>
        <v>0</v>
      </c>
      <c r="D4" s="854">
        <f ca="1">结果表!D118</f>
        <v>28</v>
      </c>
      <c r="E4" s="854">
        <f ca="1">结果表!E118</f>
        <v>1691</v>
      </c>
      <c r="F4" s="854">
        <f ca="1">结果表!F118</f>
        <v>612</v>
      </c>
      <c r="G4" s="854">
        <f ca="1">结果表!G118</f>
        <v>36959</v>
      </c>
      <c r="H4" s="854">
        <f ca="1">结果表!H118</f>
        <v>640</v>
      </c>
      <c r="I4" s="854">
        <f ca="1">结果表!I118</f>
        <v>38650</v>
      </c>
    </row>
    <row r="5" spans="1:9" ht="30" customHeight="1">
      <c r="A5" s="3466" t="s">
        <v>927</v>
      </c>
      <c r="B5" s="3466"/>
      <c r="C5" s="3466"/>
      <c r="D5" s="3466" t="str">
        <f ca="1">结果表!D119</f>
        <v>贰拾捌万元整</v>
      </c>
      <c r="E5" s="3466"/>
      <c r="F5" s="3466" t="str">
        <f ca="1">结果表!F119</f>
        <v>陆佰壹拾贰万元整</v>
      </c>
      <c r="G5" s="3466"/>
      <c r="H5" s="3466" t="str">
        <f ca="1">结果表!H119</f>
        <v>陆佰肆拾万元整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640</v>
      </c>
      <c r="E8" s="3467"/>
      <c r="F8" s="3467"/>
      <c r="G8" s="3467"/>
      <c r="H8" s="3467"/>
      <c r="I8" s="3467"/>
    </row>
    <row r="9" spans="1:9" ht="15">
      <c r="A9" s="3466" t="s">
        <v>927</v>
      </c>
      <c r="B9" s="3466"/>
      <c r="C9" s="3466"/>
      <c r="D9" s="3466" t="str">
        <f ca="1">结果表!D123</f>
        <v>陆佰肆拾万元整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2023-04-23T01:45:34Z</dcterms:modified>
</cp:coreProperties>
</file>