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1.xml" ContentType="application/vnd.openxmlformats-officedocument.drawing+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210" windowWidth="11565" windowHeight="9435" tabRatio="875" firstSheet="10"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总表" sheetId="72" r:id="rId17"/>
    <sheet name="结果汇总表" sheetId="71" r:id="rId18"/>
    <sheet name="结果表" sheetId="9" state="hidden" r:id="rId19"/>
    <sheet name="基准地价" sheetId="46" r:id="rId20"/>
    <sheet name="剩余法-待开发" sheetId="12" r:id="rId21"/>
    <sheet name="剩余法-现房" sheetId="43" state="hidden" r:id="rId22"/>
    <sheet name="比较法-住宅、综合" sheetId="39" state="hidden" r:id="rId23"/>
    <sheet name="比较法-工业" sheetId="40" state="hidden" r:id="rId24"/>
    <sheet name="修正" sheetId="49" state="hidden" r:id="rId25"/>
    <sheet name="区片价" sheetId="48" state="hidden" r:id="rId26"/>
    <sheet name="容积率修正" sheetId="45" state="hidden" r:id="rId27"/>
    <sheet name="因素修正幅度" sheetId="56" state="hidden" r:id="rId28"/>
    <sheet name="基准地价（汇总）" sheetId="67" state="hidden" r:id="rId29"/>
    <sheet name="不动产收益法" sheetId="15" state="hidden" r:id="rId30"/>
    <sheet name="酒店收入计算" sheetId="57" state="hidden" r:id="rId31"/>
    <sheet name="成本逼近法" sheetId="11" state="hidden" r:id="rId32"/>
    <sheet name="不动产比较法-住宅" sheetId="21" state="hidden" r:id="rId33"/>
    <sheet name="不动产比较法-商业" sheetId="33" state="hidden" r:id="rId34"/>
    <sheet name="不动产比较法-办公售价" sheetId="34" r:id="rId35"/>
    <sheet name="办公销售案例" sheetId="68" r:id="rId36"/>
    <sheet name="收益还原法" sheetId="44" r:id="rId37"/>
    <sheet name="不动产比较法-办公租金" sheetId="69" r:id="rId38"/>
    <sheet name="地价" sheetId="59" r:id="rId39"/>
    <sheet name="不动产比较法-工业" sheetId="37" state="hidden" r:id="rId40"/>
    <sheet name="不动产比较法-车位" sheetId="35" state="hidden" r:id="rId41"/>
    <sheet name="不动产比较法-仓储" sheetId="36" state="hidden" r:id="rId42"/>
    <sheet name="典型户型修正" sheetId="31" state="hidden" r:id="rId43"/>
    <sheet name="存贷款利率" sheetId="65" state="hidden" r:id="rId44"/>
    <sheet name="办公租金案例" sheetId="70" r:id="rId45"/>
  </sheets>
  <externalReferences>
    <externalReference r:id="rId46"/>
    <externalReference r:id="rId47"/>
  </externalReferences>
  <definedNames>
    <definedName name="_xlnm._FilterDatabase" localSheetId="23" hidden="1">'比较法-工业'!$A$1:$L$45</definedName>
    <definedName name="_xlnm._FilterDatabase" localSheetId="22" hidden="1">'比较法-住宅、综合'!$A$1:$L$50</definedName>
    <definedName name="_xlnm._FilterDatabase" localSheetId="34" hidden="1">'不动产比较法-办公售价'!$A$1:$L$50</definedName>
    <definedName name="_xlnm._FilterDatabase" localSheetId="37" hidden="1">'不动产比较法-办公租金'!$A$1:$L$50</definedName>
    <definedName name="_xlnm._FilterDatabase" localSheetId="41" hidden="1">'不动产比较法-仓储'!$A$1:$L$37</definedName>
    <definedName name="_xlnm._FilterDatabase" localSheetId="40" hidden="1">'不动产比较法-车位'!$A$1:$L$39</definedName>
    <definedName name="_xlnm._FilterDatabase" localSheetId="39"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 localSheetId="35">'[1]不动产比较法-办公'!$B$119:$M$119</definedName>
    <definedName name="办公层高" localSheetId="37">'不动产比较法-办公租金'!$B$119:$M$119</definedName>
    <definedName name="办公层高">'不动产比较法-办公售价'!$B$119:$M$119</definedName>
    <definedName name="办公朝向" localSheetId="35">'[1]不动产比较法-办公'!$B$91:$M$91</definedName>
    <definedName name="办公朝向" localSheetId="37">'不动产比较法-办公租金'!$B$91:$M$91</definedName>
    <definedName name="办公朝向">'不动产比较法-办公售价'!$B$91:$M$91</definedName>
    <definedName name="办公道路级别" localSheetId="35">'[1]不动产比较法-办公'!$B$87:$M$87</definedName>
    <definedName name="办公道路级别" localSheetId="37">'不动产比较法-办公租金'!$B$87:$M$87</definedName>
    <definedName name="办公道路级别">'不动产比较法-办公售价'!$B$87:$M$87</definedName>
    <definedName name="办公公共部分装修" localSheetId="35">'[1]不动产比较法-办公'!$B$108:$M$108</definedName>
    <definedName name="办公公共部分装修" localSheetId="37">'不动产比较法-办公租金'!$B$108:$M$108</definedName>
    <definedName name="办公公共部分装修">'不动产比较法-办公售价'!$B$108:$M$108</definedName>
    <definedName name="办公基础设施水平" localSheetId="35">'[1]不动产比较法-办公'!$B$117:$M$117</definedName>
    <definedName name="办公基础设施水平" localSheetId="37">'不动产比较法-办公租金'!$B$117:$M$117</definedName>
    <definedName name="办公基础设施水平">'不动产比较法-办公售价'!$B$117:$M$117</definedName>
    <definedName name="办公集聚程度" localSheetId="35">[1]定义!$M$1:$M$6</definedName>
    <definedName name="办公集聚程度">定义!$M$1:$M$6</definedName>
    <definedName name="办公建筑结构" localSheetId="35">'[1]不动产比较法-办公'!$B$106:$M$106</definedName>
    <definedName name="办公建筑结构" localSheetId="37">'不动产比较法-办公租金'!$B$106:$M$106</definedName>
    <definedName name="办公建筑结构">'不动产比较法-办公售价'!$B$106:$M$106</definedName>
    <definedName name="办公建筑类型" localSheetId="35">'[1]不动产比较法-办公'!$B$101:$M$101</definedName>
    <definedName name="办公建筑类型" localSheetId="37">'不动产比较法-办公租金'!$B$101:$M$101</definedName>
    <definedName name="办公建筑类型">'不动产比较法-办公售价'!$B$101:$M$101</definedName>
    <definedName name="办公交易情况" localSheetId="35">'[1]不动产比较法-办公'!$A$62:$M$62</definedName>
    <definedName name="办公交易情况" localSheetId="37">'不动产比较法-办公租金'!$A$62:$M$62</definedName>
    <definedName name="办公交易情况">'不动产比较法-办公售价'!$A$62:$M$62</definedName>
    <definedName name="办公楼层" localSheetId="35">'[1]不动产比较法-办公'!$B$89:$M$89</definedName>
    <definedName name="办公楼层" localSheetId="37">'不动产比较法-办公租金'!$B$89:$M$89</definedName>
    <definedName name="办公楼层">'不动产比较法-办公售价'!$B$89:$M$89</definedName>
    <definedName name="办公内部装修" localSheetId="35">'[1]不动产比较法-办公'!$B$123:$M$123</definedName>
    <definedName name="办公内部装修" localSheetId="37">'不动产比较法-办公租金'!$B$123:$M$123</definedName>
    <definedName name="办公内部装修">'不动产比较法-办公售价'!$B$123:$M$123</definedName>
    <definedName name="办公物业管理" localSheetId="35">'[1]不动产比较法-办公'!$B$115:$M$115</definedName>
    <definedName name="办公物业管理" localSheetId="37">'不动产比较法-办公租金'!$B$115:$M$115</definedName>
    <definedName name="办公物业管理">'不动产比较法-办公售价'!$B$115:$M$115</definedName>
    <definedName name="办公用途" localSheetId="35">'[1]不动产比较法-办公'!$B$64:$M$64</definedName>
    <definedName name="办公用途" localSheetId="37">'不动产比较法-办公租金'!$B$64:$M$64</definedName>
    <definedName name="办公用途">'不动产比较法-办公售价'!$B$64:$M$64</definedName>
    <definedName name="仓储公共部分装修" localSheetId="35">#REF!</definedName>
    <definedName name="仓储公共部分装修">'不动产比较法-仓储'!$B$77:$M$77</definedName>
    <definedName name="仓储交易情况" localSheetId="35">#REF!</definedName>
    <definedName name="仓储交易情况">'不动产比较法-仓储'!$A$49:$M$49</definedName>
    <definedName name="仓储楼层" localSheetId="35">#REF!</definedName>
    <definedName name="仓储楼层">'不动产比较法-仓储'!$B$69:$M$69</definedName>
    <definedName name="仓储物业等级" localSheetId="35">#REF!</definedName>
    <definedName name="仓储物业等级">'不动产比较法-仓储'!$B$82:$M$82</definedName>
    <definedName name="仓储用途" localSheetId="35">#REF!</definedName>
    <definedName name="仓储用途">'不动产比较法-仓储'!$B$51:$M$51</definedName>
    <definedName name="产业集聚程度">定义!$N$1:$N$6</definedName>
    <definedName name="车位公共部分装修" localSheetId="35">#REF!</definedName>
    <definedName name="车位公共部分装修">'不动产比较法-车位'!$B$83:$M$83</definedName>
    <definedName name="车位交易情况" localSheetId="35">#REF!</definedName>
    <definedName name="车位交易情况">'不动产比较法-车位'!$A$51:$M$51</definedName>
    <definedName name="车位类型" localSheetId="35">#REF!</definedName>
    <definedName name="车位类型">'不动产比较法-车位'!$B$93:$M$93</definedName>
    <definedName name="车位楼层" localSheetId="35">#REF!</definedName>
    <definedName name="车位楼层">'不动产比较法-车位'!$B$71:$M$71</definedName>
    <definedName name="车位配套类型" localSheetId="35">#REF!</definedName>
    <definedName name="车位配套类型">'不动产比较法-车位'!$B$79:$M$79</definedName>
    <definedName name="车位物业等级" localSheetId="35">#REF!</definedName>
    <definedName name="车位物业等级">'不动产比较法-车位'!$B$88:$M$88</definedName>
    <definedName name="车位用途" localSheetId="35">#REF!</definedName>
    <definedName name="车位用途">'不动产比较法-车位'!$B$53:$M$53</definedName>
    <definedName name="城镇土地纳税等级分级范围" localSheetId="35">'[1]数据-取费表'!$A$53:$A$63</definedName>
    <definedName name="城镇土地纳税等级分级范围">'数据-取费表'!$A$53:$A$63</definedName>
    <definedName name="单价内涵">定义!$V$1:$V$3</definedName>
    <definedName name="地类判定" localSheetId="35">[1]定义!$H$1:$H$9</definedName>
    <definedName name="地类判定">定义!$H$1:$H$9</definedName>
    <definedName name="二级">区片价!$J$1:$J$20</definedName>
    <definedName name="二级分类" localSheetId="35">[1]修正!$C$17:$C$39</definedName>
    <definedName name="二级分类">修正!$C$17:$C$39</definedName>
    <definedName name="法定最高年限" localSheetId="35">[1]定义!$G$2:$G$4</definedName>
    <definedName name="法定最高年限">定义!$G$2:$G$4</definedName>
    <definedName name="工业公共部分装修" localSheetId="35">#REF!</definedName>
    <definedName name="工业公共部分装修">'不动产比较法-工业'!$B$95:$M$95</definedName>
    <definedName name="工业基础设施水平" localSheetId="35">#REF!</definedName>
    <definedName name="工业基础设施水平">'不动产比较法-工业'!$B$102:$M$102</definedName>
    <definedName name="工业建筑结构" localSheetId="35">#REF!</definedName>
    <definedName name="工业建筑结构">'不动产比较法-工业'!$B$93:$M$93</definedName>
    <definedName name="工业建筑类型" localSheetId="35">#REF!</definedName>
    <definedName name="工业建筑类型">'不动产比较法-工业'!$B$88:$M$88</definedName>
    <definedName name="工业交易情况" localSheetId="35">#REF!</definedName>
    <definedName name="工业交易情况">'不动产比较法-工业'!$A$55:$M$55</definedName>
    <definedName name="工业内部装修" localSheetId="35">#REF!</definedName>
    <definedName name="工业内部装修">'不动产比较法-工业'!$B$104:$M$104</definedName>
    <definedName name="工业物业管理" localSheetId="35">#REF!</definedName>
    <definedName name="工业物业管理">'不动产比较法-工业'!$B$100:$M$100</definedName>
    <definedName name="工业用途" localSheetId="35">#REF!</definedName>
    <definedName name="工业用途">'不动产比较法-工业'!$B$57:$M$57</definedName>
    <definedName name="公共配套设施" localSheetId="35">[1]定义!$Q$1:$Q$6</definedName>
    <definedName name="公共配套设施">定义!$Q$1:$Q$6</definedName>
    <definedName name="估价方法" localSheetId="35">[1]定义!$B$1:$B$50</definedName>
    <definedName name="估价方法">定义!$B$1:$B$50</definedName>
    <definedName name="环境" localSheetId="35">[1]定义!$S$1:$S$6</definedName>
    <definedName name="环境">定义!$S$1:$S$6</definedName>
    <definedName name="基础设施水平" localSheetId="35">[1]定义!$R$1:$R$6</definedName>
    <definedName name="基础设施水平">定义!$R$1:$R$6</definedName>
    <definedName name="季度">基准地价!$N$19:$AB$19</definedName>
    <definedName name="季度2014">地价!$A$2:$A$31</definedName>
    <definedName name="价值类型2" localSheetId="35">[1]定义!$B$54:$B$56</definedName>
    <definedName name="价值类型2">定义!$B$54:$B$56</definedName>
    <definedName name="交通便捷度" localSheetId="35">[1]定义!$O$1:$O$6</definedName>
    <definedName name="交通便捷度">定义!$O$1:$O$6</definedName>
    <definedName name="九级">区片价!$Q$1:$Q$46</definedName>
    <definedName name="居住社区成熟度" localSheetId="35">[1]定义!$K$1:$K$6</definedName>
    <definedName name="居住社区成熟度">定义!$K$1:$K$6</definedName>
    <definedName name="类别" localSheetId="35">[1]定义!$J$1:$J$3</definedName>
    <definedName name="类别">定义!$J$1:$J$3</definedName>
    <definedName name="临街状况" localSheetId="35">[1]定义!$T$1:$T$5</definedName>
    <definedName name="临街状况">定义!$T$1:$T$5</definedName>
    <definedName name="六级">区片价!$N$1:$N$49</definedName>
    <definedName name="内部装修维护情况" localSheetId="35">[1]定义!$U$1:$U$6</definedName>
    <definedName name="内部装修维护情况">定义!$U$1:$U$6</definedName>
    <definedName name="判定" localSheetId="35">[1]定义!$D$1:$D$4</definedName>
    <definedName name="判定">定义!$D$1:$D$4</definedName>
    <definedName name="七级">区片价!$O$1:$O$49</definedName>
    <definedName name="七通一平" localSheetId="35">[1]修正!$A$6:$A$14</definedName>
    <definedName name="七通一平">修正!$A$6:$A$14</definedName>
    <definedName name="区域土地利用方向">定义!$P$1:$P$6</definedName>
    <definedName name="三级">区片价!$K$1:$K$21</definedName>
    <definedName name="商业层高" localSheetId="35">'[1]不动产比较法-商业'!$B$116:$M$116</definedName>
    <definedName name="商业层高">'不动产比较法-商业'!$B$116:$M$116</definedName>
    <definedName name="商业成新度">'不动产比较法-商业'!$B$109:$M$109</definedName>
    <definedName name="商业繁华度" localSheetId="35">[1]定义!$L$1:$L$6</definedName>
    <definedName name="商业繁华度">定义!$L$1:$L$6</definedName>
    <definedName name="商业公共部分装修" localSheetId="35">'[1]不动产比较法-商业'!$B$107:$M$107</definedName>
    <definedName name="商业公共部分装修">'不动产比较法-商业'!$B$107:$M$107</definedName>
    <definedName name="商业基础设施水平" localSheetId="35">'[1]不动产比较法-商业'!$B$112:$M$112</definedName>
    <definedName name="商业基础设施水平">'不动产比较法-商业'!$B$112:$M$112</definedName>
    <definedName name="商业建筑结构" localSheetId="35">'[1]不动产比较法-商业'!$B$105:$M$105</definedName>
    <definedName name="商业建筑结构">'不动产比较法-商业'!$B$105:$M$105</definedName>
    <definedName name="商业交易情况" localSheetId="35">'[1]不动产比较法-商业'!$A$61:$M$61</definedName>
    <definedName name="商业交易情况">'不动产比较法-商业'!$A$61:$M$61</definedName>
    <definedName name="商业街名称" localSheetId="35">[1]修正!$C$59:$C$119</definedName>
    <definedName name="商业街名称">修正!$C$59:$C$119</definedName>
    <definedName name="商业进深比" localSheetId="35">'[1]不动产比较法-商业'!$B$120:$M$120</definedName>
    <definedName name="商业进深比">'不动产比较法-商业'!$B$120:$M$120</definedName>
    <definedName name="商业类型" localSheetId="35">'[1]不动产比较法-商业'!$B$100:$M$100</definedName>
    <definedName name="商业类型">'不动产比较法-商业'!$B$100:$M$100</definedName>
    <definedName name="商业临街状况" localSheetId="35">'[1]不动产比较法-商业'!$B$86:$M$86</definedName>
    <definedName name="商业临街状况">'不动产比较法-商业'!$B$86:$M$86</definedName>
    <definedName name="商业楼层" localSheetId="35">'[1]不动产比较法-商业'!$B$92:$M$92</definedName>
    <definedName name="商业楼层">'不动产比较法-商业'!$B$92:$M$92</definedName>
    <definedName name="商业内部装修" localSheetId="35">'[1]不动产比较法-商业'!$B$122:$M$122</definedName>
    <definedName name="商业内部装修">'不动产比较法-商业'!$B$122:$M$122</definedName>
    <definedName name="商业人流量" localSheetId="35">'[1]不动产比较法-商业'!$B$90:$M$90</definedName>
    <definedName name="商业人流量">'不动产比较法-商业'!$B$90:$M$90</definedName>
    <definedName name="商业业态" localSheetId="35">'[1]不动产比较法-商业'!$B$114:$M$114</definedName>
    <definedName name="商业业态">'不动产比较法-商业'!$B$114:$M$114</definedName>
    <definedName name="商业用途" localSheetId="35">'[1]不动产比较法-商业'!$B$63:$M$63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35">#REF!</definedName>
    <definedName name="是否封闭">'不动产比较法-仓储'!$B$89:$M$89</definedName>
    <definedName name="是否直接入户" localSheetId="35">#REF!</definedName>
    <definedName name="是否直接入户">'不动产比较法-车位'!$B$95:$M$95</definedName>
    <definedName name="四级">区片价!$L$1:$L$28</definedName>
    <definedName name="套工工程地质条件" localSheetId="35">#REF!</definedName>
    <definedName name="套工工程地质条件">'比较法-工业'!$B$116:$M$116</definedName>
    <definedName name="套工交易情况" localSheetId="35">#REF!</definedName>
    <definedName name="套工交易情况">'比较法-住宅、综合'!$A$75:$M$75</definedName>
    <definedName name="套工开发程度" localSheetId="35">#REF!</definedName>
    <definedName name="套工开发程度">'比较法-工业'!$B$114:$M$114</definedName>
    <definedName name="套工临街等级" localSheetId="35">#REF!</definedName>
    <definedName name="套工临街等级">'比较法-工业'!$B$99:$M$99</definedName>
    <definedName name="套工土地级别" localSheetId="35">#REF!</definedName>
    <definedName name="套工土地级别">'比较法-工业'!$B$101:$M$101</definedName>
    <definedName name="套工用途" localSheetId="35">#REF!</definedName>
    <definedName name="套工用途">'比较法-工业'!$B$72:$M$72</definedName>
    <definedName name="套工宗地形状" localSheetId="35">#REF!</definedName>
    <definedName name="套工宗地形状">'比较法-工业'!$B$112:$M$112</definedName>
    <definedName name="套综道路等级" localSheetId="35">#REF!</definedName>
    <definedName name="套综道路等级">'比较法-住宅、综合'!$B$108:$M$108</definedName>
    <definedName name="套综工程地质条件" localSheetId="35">#REF!</definedName>
    <definedName name="套综工程地质条件">'比较法-住宅、综合'!$B$127:$M$127</definedName>
    <definedName name="套综交易情况" localSheetId="35">#REF!</definedName>
    <definedName name="套综交易情况">'比较法-住宅、综合'!$A$75:$M$75</definedName>
    <definedName name="套综临街宽度及深度" localSheetId="35">#REF!</definedName>
    <definedName name="套综临街宽度及深度">'比较法-住宅、综合'!$B$123:$M$123</definedName>
    <definedName name="套综土地级别" localSheetId="35">#REF!</definedName>
    <definedName name="套综土地级别">'比较法-住宅、综合'!$B$110:$M$110</definedName>
    <definedName name="套综用途" localSheetId="35">#REF!</definedName>
    <definedName name="套综用途">'比较法-住宅、综合'!$B$77:$M$77</definedName>
    <definedName name="套综宗地内开发程度" localSheetId="35">#REF!</definedName>
    <definedName name="套综宗地内开发程度">'比较法-住宅、综合'!$B$125:$M$125</definedName>
    <definedName name="套综宗地形状" localSheetId="35">#REF!</definedName>
    <definedName name="套综宗地形状">'比较法-住宅、综合'!$B$121:$M$121</definedName>
    <definedName name="土地估价师" localSheetId="35">[1]估价师及机构信息!$D$3:$D$24</definedName>
    <definedName name="土地估价师">估价师及机构信息!$D$3:$D$24</definedName>
    <definedName name="土地级别" localSheetId="35">[1]定义!$C$1:$C$14</definedName>
    <definedName name="土地级别">定义!$C$1:$C$14</definedName>
    <definedName name="土地利用方向">定义!$P$1:$P$6</definedName>
    <definedName name="土地年限区间" localSheetId="35">[1]定义!$I$1:$I$8</definedName>
    <definedName name="土地年限区间">定义!$I$1:$I$8</definedName>
    <definedName name="位置" localSheetId="35">[1]定义!$E$2:$E$4</definedName>
    <definedName name="位置">定义!$E$2:$E$4</definedName>
    <definedName name="五等判定" localSheetId="35">[1]定义!$W$1:$W$6</definedName>
    <definedName name="五等判定">定义!$W$1:$W$6</definedName>
    <definedName name="五级">区片价!$M$1:$M$35</definedName>
    <definedName name="项目类型" localSheetId="35">'[1]数据-汇总表'!$C$17:$C$26</definedName>
    <definedName name="项目类型">'数据-汇总表'!$C$17:$C$26</definedName>
    <definedName name="写字楼等级" localSheetId="35">'[1]不动产比较法-办公'!$B$113:$M$113</definedName>
    <definedName name="写字楼等级" localSheetId="37">'不动产比较法-办公租金'!$B$113:$M$113</definedName>
    <definedName name="写字楼等级">'不动产比较法-办公售价'!$B$113:$M$113</definedName>
    <definedName name="一级">区片价!$I$1:$I$6</definedName>
    <definedName name="一修多修正项2" localSheetId="35">[1]典型户型修正!$5:$5</definedName>
    <definedName name="一修多修正项2">典型户型修正!$5:$5</definedName>
    <definedName name="一修多修正项3" localSheetId="35">[1]典型户型修正!$7:$7</definedName>
    <definedName name="一修多修正项3">典型户型修正!$7:$7</definedName>
    <definedName name="一修多修正项4" localSheetId="35">[1]典型户型修正!$9:$9</definedName>
    <definedName name="一修多修正项4">典型户型修正!$9:$9</definedName>
    <definedName name="一修多修正项5" localSheetId="35">[1]典型户型修正!$11:$11</definedName>
    <definedName name="一修多修正项5">典型户型修正!$11:$11</definedName>
    <definedName name="一修多修正项6" localSheetId="35">[1]典型户型修正!$13:$13</definedName>
    <definedName name="一修多修正项6">典型户型修正!$13:$13</definedName>
    <definedName name="一修多修正项7" localSheetId="35">[1]典型户型修正!$15:$15</definedName>
    <definedName name="一修多修正项7">典型户型修正!$15:$15</definedName>
    <definedName name="一修多修正项8" localSheetId="35">[1]典型户型修正!$17:$17</definedName>
    <definedName name="一修多修正项8">典型户型修正!$17:$17</definedName>
    <definedName name="用途类型" localSheetId="35">[1]定义!$A$1:$A$50</definedName>
    <definedName name="用途类型">定义!$A$1:$A$50</definedName>
    <definedName name="有无电梯" localSheetId="35">#REF!</definedName>
    <definedName name="有无电梯">'不动产比较法-仓储'!$B$84:$M$84</definedName>
    <definedName name="主用途" localSheetId="35">[1]定义!$F$1:$F$10</definedName>
    <definedName name="主用途">定义!$F$1:$F$10</definedName>
    <definedName name="住宅朝向" localSheetId="35">'[1]不动产比较法-住宅'!$B$88:$M$88</definedName>
    <definedName name="住宅朝向">'不动产比较法-住宅'!$B$88:$M$88</definedName>
    <definedName name="住宅房型" localSheetId="35">'[1]不动产比较法-住宅'!$B$118:$M$118</definedName>
    <definedName name="住宅房型">'不动产比较法-住宅'!$B$118:$M$118</definedName>
    <definedName name="住宅公共部分装修" localSheetId="35">'[1]不动产比较法-住宅'!$B$109:$M$109</definedName>
    <definedName name="住宅公共部分装修">'不动产比较法-住宅'!$B$109:$M$109</definedName>
    <definedName name="住宅基础设施水平" localSheetId="35">'[1]不动产比较法-住宅'!$B$116:$M$116</definedName>
    <definedName name="住宅基础设施水平">'不动产比较法-住宅'!$B$116:$M$116</definedName>
    <definedName name="住宅建筑结构" localSheetId="35">'[1]不动产比较法-住宅'!$B$105:$M$105</definedName>
    <definedName name="住宅建筑结构">'不动产比较法-住宅'!$B$105:$M$105</definedName>
    <definedName name="住宅建筑类型" localSheetId="35">'[1]不动产比较法-住宅'!$B$100:$M$100</definedName>
    <definedName name="住宅建筑类型">'不动产比较法-住宅'!$B$100:$M$100</definedName>
    <definedName name="住宅建筑品质" localSheetId="35">'[1]不动产比较法-住宅'!$B$107:$M$107</definedName>
    <definedName name="住宅建筑品质">'不动产比较法-住宅'!$B$107:$M$107</definedName>
    <definedName name="住宅交易情况" localSheetId="35">'[1]不动产比较法-住宅'!$A$61:$M$61</definedName>
    <definedName name="住宅交易情况">'不动产比较法-住宅'!$A$61:$M$61</definedName>
    <definedName name="住宅楼层" localSheetId="35">'[1]不动产比较法-住宅'!$B$86:$M$86</definedName>
    <definedName name="住宅楼层">'不动产比较法-住宅'!$B$86:$M$86</definedName>
    <definedName name="住宅内部装修" localSheetId="35">'[1]不动产比较法-住宅'!$B$122:$M$122</definedName>
    <definedName name="住宅内部装修">'不动产比较法-住宅'!$B$122:$M$122</definedName>
    <definedName name="住宅物业管理" localSheetId="35">'[1]不动产比较法-住宅'!$B$114:$M$114</definedName>
    <definedName name="住宅物业管理">'不动产比较法-住宅'!$B$114:$M$114</definedName>
    <definedName name="住宅用途" localSheetId="35">'[1]不动产比较法-住宅'!$B$63:$M$63</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7" i="72" l="1"/>
  <c r="E8" i="72" s="1"/>
  <c r="G7" i="72"/>
  <c r="G8" i="72" s="1"/>
  <c r="C7" i="72"/>
  <c r="C8" i="72" s="1"/>
  <c r="E4" i="72"/>
  <c r="E3" i="72"/>
  <c r="C4" i="72"/>
  <c r="C34" i="69" l="1"/>
  <c r="E5" i="69"/>
  <c r="I7" i="69"/>
  <c r="G7" i="69"/>
  <c r="E7" i="69"/>
  <c r="C6" i="69"/>
  <c r="C19" i="46"/>
  <c r="N6" i="59"/>
  <c r="O6" i="59"/>
  <c r="P6" i="59"/>
  <c r="Q6" i="59"/>
  <c r="AD6" i="59"/>
  <c r="AE6" i="59"/>
  <c r="AF6" i="59"/>
  <c r="AG6" i="59"/>
  <c r="AH6" i="59"/>
  <c r="L4" i="71"/>
  <c r="L6" i="71" s="1"/>
  <c r="H6" i="71"/>
  <c r="F6" i="71"/>
  <c r="J6" i="71"/>
  <c r="C3" i="71"/>
  <c r="C7" i="71" s="1"/>
  <c r="AE6" i="1"/>
  <c r="AH6" i="1"/>
  <c r="C34" i="34"/>
  <c r="G6" i="34"/>
  <c r="I5" i="34"/>
  <c r="G5" i="34"/>
  <c r="E5" i="34"/>
  <c r="G59" i="46"/>
  <c r="G60" i="46"/>
  <c r="G61" i="46"/>
  <c r="G62" i="46"/>
  <c r="G63" i="46"/>
  <c r="G64" i="46"/>
  <c r="G65" i="46"/>
  <c r="G66" i="46"/>
  <c r="G58" i="46"/>
  <c r="D29" i="46"/>
  <c r="F1" i="46"/>
  <c r="B131" i="69"/>
  <c r="B129" i="69"/>
  <c r="B127" i="69"/>
  <c r="D126" i="69"/>
  <c r="E126" i="69" s="1"/>
  <c r="F126" i="69" s="1"/>
  <c r="G126" i="69" s="1"/>
  <c r="D124" i="69"/>
  <c r="E124" i="69" s="1"/>
  <c r="F124" i="69" s="1"/>
  <c r="G124" i="69" s="1"/>
  <c r="H124" i="69" s="1"/>
  <c r="I124" i="69" s="1"/>
  <c r="J124" i="69" s="1"/>
  <c r="K124" i="69" s="1"/>
  <c r="L124" i="69" s="1"/>
  <c r="M124" i="69" s="1"/>
  <c r="D120" i="69"/>
  <c r="E120" i="69" s="1"/>
  <c r="F120" i="69" s="1"/>
  <c r="G120" i="69" s="1"/>
  <c r="H120" i="69" s="1"/>
  <c r="I120" i="69" s="1"/>
  <c r="J120" i="69" s="1"/>
  <c r="K120" i="69" s="1"/>
  <c r="L120" i="69" s="1"/>
  <c r="M120" i="69" s="1"/>
  <c r="D118" i="69"/>
  <c r="E118" i="69" s="1"/>
  <c r="F118" i="69" s="1"/>
  <c r="G118" i="69" s="1"/>
  <c r="D116" i="69"/>
  <c r="E116" i="69" s="1"/>
  <c r="F116" i="69" s="1"/>
  <c r="G116" i="69" s="1"/>
  <c r="H116" i="69" s="1"/>
  <c r="I116" i="69" s="1"/>
  <c r="J116" i="69" s="1"/>
  <c r="K116" i="69" s="1"/>
  <c r="L116" i="69" s="1"/>
  <c r="M116" i="69" s="1"/>
  <c r="D114" i="69"/>
  <c r="E114" i="69" s="1"/>
  <c r="F114" i="69" s="1"/>
  <c r="G114" i="69" s="1"/>
  <c r="H114" i="69" s="1"/>
  <c r="I114" i="69" s="1"/>
  <c r="J114" i="69" s="1"/>
  <c r="K114" i="69" s="1"/>
  <c r="L114" i="69" s="1"/>
  <c r="M114" i="69" s="1"/>
  <c r="D112" i="69"/>
  <c r="E112" i="69" s="1"/>
  <c r="F112" i="69" s="1"/>
  <c r="G112" i="69" s="1"/>
  <c r="H112" i="69" s="1"/>
  <c r="I112" i="69" s="1"/>
  <c r="J112" i="69" s="1"/>
  <c r="K112" i="69" s="1"/>
  <c r="L112" i="69" s="1"/>
  <c r="M112" i="69" s="1"/>
  <c r="G110" i="69"/>
  <c r="F110" i="69"/>
  <c r="E110" i="69"/>
  <c r="D110" i="69"/>
  <c r="C110" i="69"/>
  <c r="D109" i="69"/>
  <c r="E109" i="69" s="1"/>
  <c r="F109" i="69" s="1"/>
  <c r="G109" i="69" s="1"/>
  <c r="H109" i="69" s="1"/>
  <c r="I109" i="69" s="1"/>
  <c r="J109" i="69" s="1"/>
  <c r="K109" i="69" s="1"/>
  <c r="L109" i="69" s="1"/>
  <c r="M109" i="69" s="1"/>
  <c r="D107" i="69"/>
  <c r="E107" i="69" s="1"/>
  <c r="F107" i="69" s="1"/>
  <c r="G107" i="69" s="1"/>
  <c r="H107" i="69" s="1"/>
  <c r="I107" i="69" s="1"/>
  <c r="J107" i="69" s="1"/>
  <c r="K107" i="69" s="1"/>
  <c r="L107" i="69" s="1"/>
  <c r="M107" i="69" s="1"/>
  <c r="M103" i="69"/>
  <c r="L103" i="69"/>
  <c r="K103" i="69"/>
  <c r="J103" i="69"/>
  <c r="I103" i="69"/>
  <c r="H103" i="69"/>
  <c r="G103" i="69"/>
  <c r="F103" i="69"/>
  <c r="E103" i="69"/>
  <c r="D103" i="69"/>
  <c r="C103" i="69"/>
  <c r="E102" i="69"/>
  <c r="F102" i="69" s="1"/>
  <c r="G102" i="69" s="1"/>
  <c r="H102" i="69" s="1"/>
  <c r="I102" i="69" s="1"/>
  <c r="J102" i="69" s="1"/>
  <c r="K102" i="69" s="1"/>
  <c r="L102" i="69" s="1"/>
  <c r="M102" i="69" s="1"/>
  <c r="D102" i="69"/>
  <c r="B99" i="69"/>
  <c r="B97" i="69"/>
  <c r="B95" i="69"/>
  <c r="B93" i="69"/>
  <c r="E92" i="69"/>
  <c r="F92" i="69" s="1"/>
  <c r="G92" i="69" s="1"/>
  <c r="H92" i="69" s="1"/>
  <c r="I92" i="69" s="1"/>
  <c r="J92" i="69" s="1"/>
  <c r="K92" i="69" s="1"/>
  <c r="L92" i="69" s="1"/>
  <c r="M92" i="69" s="1"/>
  <c r="D92" i="69"/>
  <c r="B91" i="69"/>
  <c r="D90" i="69"/>
  <c r="E90" i="69" s="1"/>
  <c r="F90" i="69" s="1"/>
  <c r="G90" i="69" s="1"/>
  <c r="H90" i="69" s="1"/>
  <c r="I90" i="69" s="1"/>
  <c r="J90" i="69" s="1"/>
  <c r="K90" i="69" s="1"/>
  <c r="L90" i="69" s="1"/>
  <c r="M90" i="69" s="1"/>
  <c r="B89" i="69"/>
  <c r="D88" i="69"/>
  <c r="E88" i="69" s="1"/>
  <c r="E86" i="69"/>
  <c r="F86" i="69" s="1"/>
  <c r="G86" i="69" s="1"/>
  <c r="D86" i="69"/>
  <c r="E84" i="69"/>
  <c r="F84" i="69" s="1"/>
  <c r="G84" i="69" s="1"/>
  <c r="D84" i="69"/>
  <c r="D82" i="69"/>
  <c r="E82" i="69" s="1"/>
  <c r="D80" i="69"/>
  <c r="E80" i="69" s="1"/>
  <c r="D78" i="69"/>
  <c r="E78" i="69" s="1"/>
  <c r="B75" i="69"/>
  <c r="B73" i="69"/>
  <c r="B71" i="69"/>
  <c r="D70" i="69"/>
  <c r="E70" i="69" s="1"/>
  <c r="F70" i="69" s="1"/>
  <c r="G70" i="69" s="1"/>
  <c r="H70" i="69" s="1"/>
  <c r="I70" i="69" s="1"/>
  <c r="J70" i="69" s="1"/>
  <c r="K70" i="69" s="1"/>
  <c r="L70" i="69" s="1"/>
  <c r="M70" i="69" s="1"/>
  <c r="M68" i="69"/>
  <c r="L68" i="69"/>
  <c r="K68" i="69"/>
  <c r="J68" i="69"/>
  <c r="I68" i="69"/>
  <c r="H68" i="69"/>
  <c r="G68" i="69"/>
  <c r="F68" i="69"/>
  <c r="E68" i="69"/>
  <c r="D68" i="69"/>
  <c r="C68" i="69"/>
  <c r="F67" i="69"/>
  <c r="G67" i="69" s="1"/>
  <c r="H67" i="69" s="1"/>
  <c r="I67" i="69" s="1"/>
  <c r="C64" i="69"/>
  <c r="I55" i="69"/>
  <c r="J55" i="69" s="1"/>
  <c r="G55" i="69"/>
  <c r="H55" i="69" s="1"/>
  <c r="E55" i="69"/>
  <c r="F55" i="69" s="1"/>
  <c r="P50" i="69"/>
  <c r="P49" i="69"/>
  <c r="V48" i="69"/>
  <c r="T48" i="69"/>
  <c r="R48" i="69"/>
  <c r="P48" i="69"/>
  <c r="Q47" i="69"/>
  <c r="Z47" i="69" s="1"/>
  <c r="J47" i="69"/>
  <c r="W47" i="69" s="1"/>
  <c r="H47" i="69"/>
  <c r="AB47" i="69" s="1"/>
  <c r="F47" i="69"/>
  <c r="AA47" i="69" s="1"/>
  <c r="Q46" i="69"/>
  <c r="Z46" i="69" s="1"/>
  <c r="J46" i="69"/>
  <c r="AC46" i="69" s="1"/>
  <c r="H46" i="69"/>
  <c r="AB46" i="69" s="1"/>
  <c r="F46" i="69"/>
  <c r="AA46" i="69" s="1"/>
  <c r="Q45" i="69"/>
  <c r="Z45" i="69" s="1"/>
  <c r="J45" i="69"/>
  <c r="AC45" i="69" s="1"/>
  <c r="H45" i="69"/>
  <c r="AB45" i="69" s="1"/>
  <c r="F45" i="69"/>
  <c r="AA45" i="69" s="1"/>
  <c r="Q44" i="69"/>
  <c r="Z44" i="69" s="1"/>
  <c r="J44" i="69"/>
  <c r="AC44" i="69" s="1"/>
  <c r="H44" i="69"/>
  <c r="AB44" i="69" s="1"/>
  <c r="F44" i="69"/>
  <c r="AA44" i="69" s="1"/>
  <c r="Q43" i="69"/>
  <c r="Z43" i="69" s="1"/>
  <c r="J43" i="69"/>
  <c r="AC43" i="69" s="1"/>
  <c r="H43" i="69"/>
  <c r="AB43" i="69" s="1"/>
  <c r="F43" i="69"/>
  <c r="AA43" i="69" s="1"/>
  <c r="Q42" i="69"/>
  <c r="Z42" i="69" s="1"/>
  <c r="J42" i="69"/>
  <c r="AC42" i="69" s="1"/>
  <c r="H42" i="69"/>
  <c r="AB42" i="69" s="1"/>
  <c r="F42" i="69"/>
  <c r="AA42" i="69" s="1"/>
  <c r="Q41" i="69"/>
  <c r="Z41" i="69" s="1"/>
  <c r="J41" i="69"/>
  <c r="AC41" i="69" s="1"/>
  <c r="H41" i="69"/>
  <c r="AB41" i="69" s="1"/>
  <c r="F41" i="69"/>
  <c r="AA41" i="69" s="1"/>
  <c r="Q40" i="69"/>
  <c r="Z40" i="69" s="1"/>
  <c r="J40" i="69"/>
  <c r="AC40" i="69" s="1"/>
  <c r="H40" i="69"/>
  <c r="AB40" i="69" s="1"/>
  <c r="F40" i="69"/>
  <c r="AA40" i="69" s="1"/>
  <c r="Q39" i="69"/>
  <c r="Z39" i="69" s="1"/>
  <c r="J39" i="69"/>
  <c r="AC39" i="69" s="1"/>
  <c r="H39" i="69"/>
  <c r="AB39" i="69" s="1"/>
  <c r="F39" i="69"/>
  <c r="AA39" i="69" s="1"/>
  <c r="Q38" i="69"/>
  <c r="Z38" i="69" s="1"/>
  <c r="J38" i="69"/>
  <c r="AC38" i="69" s="1"/>
  <c r="H38" i="69"/>
  <c r="AB38" i="69" s="1"/>
  <c r="F38" i="69"/>
  <c r="AA38" i="69" s="1"/>
  <c r="Q37" i="69"/>
  <c r="Z37" i="69" s="1"/>
  <c r="J37" i="69"/>
  <c r="AC37" i="69" s="1"/>
  <c r="H37" i="69"/>
  <c r="AB37" i="69" s="1"/>
  <c r="F37" i="69"/>
  <c r="AA37" i="69" s="1"/>
  <c r="Q36" i="69"/>
  <c r="Z36" i="69" s="1"/>
  <c r="J36" i="69"/>
  <c r="AC36" i="69" s="1"/>
  <c r="H36" i="69"/>
  <c r="AB36" i="69" s="1"/>
  <c r="F36" i="69"/>
  <c r="AA36" i="69" s="1"/>
  <c r="Q35" i="69"/>
  <c r="Z35" i="69" s="1"/>
  <c r="J35" i="69"/>
  <c r="AC35" i="69" s="1"/>
  <c r="H35" i="69"/>
  <c r="AB35" i="69" s="1"/>
  <c r="F35" i="69"/>
  <c r="AA35" i="69" s="1"/>
  <c r="Q34" i="69"/>
  <c r="Z34" i="69" s="1"/>
  <c r="J34" i="69"/>
  <c r="AC34" i="69" s="1"/>
  <c r="H34" i="69"/>
  <c r="AB34" i="69" s="1"/>
  <c r="F34" i="69"/>
  <c r="AA34" i="69" s="1"/>
  <c r="Q33" i="69"/>
  <c r="Z33" i="69" s="1"/>
  <c r="J33" i="69"/>
  <c r="AC33" i="69" s="1"/>
  <c r="H33" i="69"/>
  <c r="AB33" i="69" s="1"/>
  <c r="F33" i="69"/>
  <c r="AA33" i="69" s="1"/>
  <c r="Q32" i="69"/>
  <c r="Z32" i="69" s="1"/>
  <c r="J32" i="69"/>
  <c r="AC32" i="69" s="1"/>
  <c r="H32" i="69"/>
  <c r="AB32" i="69" s="1"/>
  <c r="F32" i="69"/>
  <c r="AA32" i="69" s="1"/>
  <c r="Q31" i="69"/>
  <c r="Z31" i="69" s="1"/>
  <c r="J31" i="69"/>
  <c r="AC31" i="69" s="1"/>
  <c r="H31" i="69"/>
  <c r="AB31" i="69" s="1"/>
  <c r="F31" i="69"/>
  <c r="AA31" i="69" s="1"/>
  <c r="Q30" i="69"/>
  <c r="Z30" i="69" s="1"/>
  <c r="J30" i="69"/>
  <c r="AC30" i="69" s="1"/>
  <c r="H30" i="69"/>
  <c r="AB30" i="69" s="1"/>
  <c r="F30" i="69"/>
  <c r="AA30" i="69" s="1"/>
  <c r="Q29" i="69"/>
  <c r="Z29" i="69" s="1"/>
  <c r="J29" i="69"/>
  <c r="AC29" i="69" s="1"/>
  <c r="H29" i="69"/>
  <c r="AB29" i="69" s="1"/>
  <c r="F29" i="69"/>
  <c r="AA29" i="69" s="1"/>
  <c r="Q28" i="69"/>
  <c r="Z28" i="69" s="1"/>
  <c r="J28" i="69"/>
  <c r="AC28" i="69" s="1"/>
  <c r="H28" i="69"/>
  <c r="AB28" i="69" s="1"/>
  <c r="F28" i="69"/>
  <c r="AA28" i="69" s="1"/>
  <c r="Q27" i="69"/>
  <c r="Z27" i="69" s="1"/>
  <c r="J27" i="69"/>
  <c r="AC27" i="69" s="1"/>
  <c r="H27" i="69"/>
  <c r="AB27" i="69" s="1"/>
  <c r="F27" i="69"/>
  <c r="AA27" i="69" s="1"/>
  <c r="Q25" i="69"/>
  <c r="Z25" i="69" s="1"/>
  <c r="J25" i="69"/>
  <c r="AC25" i="69" s="1"/>
  <c r="H25" i="69"/>
  <c r="AB25" i="69" s="1"/>
  <c r="Q23" i="69"/>
  <c r="Z23" i="69" s="1"/>
  <c r="J23" i="69"/>
  <c r="AC23" i="69" s="1"/>
  <c r="H23" i="69"/>
  <c r="AB23" i="69" s="1"/>
  <c r="F23" i="69"/>
  <c r="AA23" i="69" s="1"/>
  <c r="C23" i="69"/>
  <c r="Q21" i="69"/>
  <c r="Z21" i="69" s="1"/>
  <c r="J21" i="69"/>
  <c r="H21" i="69"/>
  <c r="AB21" i="69" s="1"/>
  <c r="F21" i="69"/>
  <c r="C21" i="69"/>
  <c r="Q19" i="69"/>
  <c r="Z19" i="69" s="1"/>
  <c r="C19" i="69"/>
  <c r="Q17" i="69"/>
  <c r="Z17" i="69" s="1"/>
  <c r="C17" i="69"/>
  <c r="Q15" i="69"/>
  <c r="Z15" i="69" s="1"/>
  <c r="C15" i="69"/>
  <c r="Q14" i="69"/>
  <c r="Z14" i="69" s="1"/>
  <c r="J14" i="69"/>
  <c r="AC14" i="69" s="1"/>
  <c r="H14" i="69"/>
  <c r="AB14" i="69" s="1"/>
  <c r="F14" i="69"/>
  <c r="AA14" i="69" s="1"/>
  <c r="Q13" i="69"/>
  <c r="Z13" i="69" s="1"/>
  <c r="J13" i="69"/>
  <c r="AC13" i="69" s="1"/>
  <c r="H13" i="69"/>
  <c r="AB13" i="69" s="1"/>
  <c r="F13" i="69"/>
  <c r="AA13" i="69" s="1"/>
  <c r="Q12" i="69"/>
  <c r="Z12" i="69" s="1"/>
  <c r="J12" i="69"/>
  <c r="AC12" i="69" s="1"/>
  <c r="H12" i="69"/>
  <c r="AB12" i="69" s="1"/>
  <c r="F12" i="69"/>
  <c r="AA12" i="69" s="1"/>
  <c r="Q11" i="69"/>
  <c r="Z11" i="69" s="1"/>
  <c r="J11" i="69"/>
  <c r="AC11" i="69" s="1"/>
  <c r="H11" i="69"/>
  <c r="AB11" i="69" s="1"/>
  <c r="F11" i="69"/>
  <c r="AA11" i="69" s="1"/>
  <c r="Q10" i="69"/>
  <c r="Z10" i="69" s="1"/>
  <c r="J10" i="69"/>
  <c r="AC10" i="69" s="1"/>
  <c r="H10" i="69"/>
  <c r="AB10" i="69" s="1"/>
  <c r="F10" i="69"/>
  <c r="AA10" i="69" s="1"/>
  <c r="Q9" i="69"/>
  <c r="Z9" i="69" s="1"/>
  <c r="J9" i="69"/>
  <c r="AC9" i="69" s="1"/>
  <c r="H9" i="69"/>
  <c r="AB9" i="69" s="1"/>
  <c r="F9" i="69"/>
  <c r="AA9" i="69" s="1"/>
  <c r="J8" i="69"/>
  <c r="W8" i="69" s="1"/>
  <c r="H8" i="69"/>
  <c r="AB8" i="69" s="1"/>
  <c r="F8" i="69"/>
  <c r="S8" i="69" s="1"/>
  <c r="C7" i="69"/>
  <c r="C59" i="69" s="1"/>
  <c r="D59" i="69" s="1"/>
  <c r="E59" i="69" s="1"/>
  <c r="F59" i="69" s="1"/>
  <c r="G59" i="69" s="1"/>
  <c r="H59" i="69" s="1"/>
  <c r="I59" i="69" s="1"/>
  <c r="J59" i="69" s="1"/>
  <c r="K59" i="69" s="1"/>
  <c r="L59" i="69" s="1"/>
  <c r="M59" i="69" s="1"/>
  <c r="N59" i="69" s="1"/>
  <c r="O59" i="69" s="1"/>
  <c r="D3" i="69"/>
  <c r="B60" i="68"/>
  <c r="F19" i="6"/>
  <c r="F82" i="69" l="1"/>
  <c r="G82" i="69" s="1"/>
  <c r="H19" i="69"/>
  <c r="AB19" i="69" s="1"/>
  <c r="J19" i="69"/>
  <c r="AC19" i="69" s="1"/>
  <c r="F19" i="69"/>
  <c r="AA19" i="69" s="1"/>
  <c r="F78" i="69"/>
  <c r="G78" i="69" s="1"/>
  <c r="J15" i="69"/>
  <c r="AC15" i="69" s="1"/>
  <c r="F15" i="69"/>
  <c r="AA15" i="69" s="1"/>
  <c r="H15" i="69"/>
  <c r="AB15" i="69" s="1"/>
  <c r="F80" i="69"/>
  <c r="G80" i="69" s="1"/>
  <c r="H17" i="69"/>
  <c r="AB17" i="69" s="1"/>
  <c r="T49" i="69" s="1"/>
  <c r="J17" i="69"/>
  <c r="AC17" i="69" s="1"/>
  <c r="V49" i="69" s="1"/>
  <c r="F17" i="69"/>
  <c r="AA17" i="69" s="1"/>
  <c r="F88" i="69"/>
  <c r="G88" i="69" s="1"/>
  <c r="H88" i="69" s="1"/>
  <c r="I88" i="69" s="1"/>
  <c r="J88" i="69" s="1"/>
  <c r="K88" i="69" s="1"/>
  <c r="L88" i="69" s="1"/>
  <c r="M88" i="69" s="1"/>
  <c r="F25" i="69"/>
  <c r="AA25" i="69" s="1"/>
  <c r="U8" i="69"/>
  <c r="C4" i="71"/>
  <c r="C8" i="71" s="1"/>
  <c r="U9" i="69"/>
  <c r="S10" i="69"/>
  <c r="W10" i="69"/>
  <c r="U11" i="69"/>
  <c r="S12" i="69"/>
  <c r="W12" i="69"/>
  <c r="U13" i="69"/>
  <c r="S14" i="69"/>
  <c r="W14" i="69"/>
  <c r="S15" i="69"/>
  <c r="W15" i="69"/>
  <c r="W17" i="69"/>
  <c r="W19" i="69"/>
  <c r="AA21" i="69"/>
  <c r="S21" i="69"/>
  <c r="AC21" i="69"/>
  <c r="W21" i="69"/>
  <c r="U21" i="69"/>
  <c r="U23" i="69"/>
  <c r="H7" i="69"/>
  <c r="AA8" i="69"/>
  <c r="AC8" i="69"/>
  <c r="F7" i="69"/>
  <c r="J7" i="69"/>
  <c r="S9" i="69"/>
  <c r="W9" i="69"/>
  <c r="U10" i="69"/>
  <c r="S11" i="69"/>
  <c r="W11" i="69"/>
  <c r="U12" i="69"/>
  <c r="S13" i="69"/>
  <c r="W13" i="69"/>
  <c r="U14" i="69"/>
  <c r="U15" i="69"/>
  <c r="U17" i="69"/>
  <c r="W25" i="69"/>
  <c r="U27" i="69"/>
  <c r="S28" i="69"/>
  <c r="W28" i="69"/>
  <c r="U29" i="69"/>
  <c r="S30" i="69"/>
  <c r="W30" i="69"/>
  <c r="U31" i="69"/>
  <c r="S32" i="69"/>
  <c r="W32" i="69"/>
  <c r="U33" i="69"/>
  <c r="S34" i="69"/>
  <c r="W34" i="69"/>
  <c r="U35" i="69"/>
  <c r="S36" i="69"/>
  <c r="W36" i="69"/>
  <c r="U37" i="69"/>
  <c r="S38" i="69"/>
  <c r="W38" i="69"/>
  <c r="U39" i="69"/>
  <c r="S40" i="69"/>
  <c r="W40" i="69"/>
  <c r="U41" i="69"/>
  <c r="S42" i="69"/>
  <c r="W42" i="69"/>
  <c r="U43" i="69"/>
  <c r="S44" i="69"/>
  <c r="W44" i="69"/>
  <c r="U45" i="69"/>
  <c r="S46" i="69"/>
  <c r="W46" i="69"/>
  <c r="U47" i="69"/>
  <c r="AC47" i="69"/>
  <c r="S23" i="69"/>
  <c r="W23" i="69"/>
  <c r="U25" i="69"/>
  <c r="S27" i="69"/>
  <c r="W27" i="69"/>
  <c r="U28" i="69"/>
  <c r="S29" i="69"/>
  <c r="W29" i="69"/>
  <c r="U30" i="69"/>
  <c r="S31" i="69"/>
  <c r="W31" i="69"/>
  <c r="U32" i="69"/>
  <c r="S33" i="69"/>
  <c r="W33" i="69"/>
  <c r="U34" i="69"/>
  <c r="S35" i="69"/>
  <c r="W35" i="69"/>
  <c r="U36" i="69"/>
  <c r="S37" i="69"/>
  <c r="W37" i="69"/>
  <c r="U38" i="69"/>
  <c r="S39" i="69"/>
  <c r="W39" i="69"/>
  <c r="U40" i="69"/>
  <c r="S41" i="69"/>
  <c r="W41" i="69"/>
  <c r="U42" i="69"/>
  <c r="S43" i="69"/>
  <c r="W43" i="69"/>
  <c r="U44" i="69"/>
  <c r="S45" i="69"/>
  <c r="W45" i="69"/>
  <c r="U46" i="69"/>
  <c r="S47" i="69"/>
  <c r="AH5" i="59"/>
  <c r="AG5" i="59"/>
  <c r="AE5" i="59"/>
  <c r="AF5" i="59" s="1"/>
  <c r="AD5" i="59"/>
  <c r="Q5" i="59"/>
  <c r="P5" i="59"/>
  <c r="O5" i="59"/>
  <c r="N5" i="59"/>
  <c r="U19" i="69" l="1"/>
  <c r="S19" i="69"/>
  <c r="R49" i="69"/>
  <c r="R50" i="69" s="1"/>
  <c r="S17" i="69"/>
  <c r="S25" i="69"/>
  <c r="AC7" i="69"/>
  <c r="I49" i="69" s="1"/>
  <c r="W7" i="69"/>
  <c r="U7" i="69"/>
  <c r="AB7" i="69"/>
  <c r="G49" i="69" s="1"/>
  <c r="AA7" i="69"/>
  <c r="S7" i="69"/>
  <c r="G54" i="69" l="1"/>
  <c r="H54" i="69" s="1"/>
  <c r="G53" i="69"/>
  <c r="H53" i="69" s="1"/>
  <c r="E49" i="69"/>
  <c r="I54" i="69" s="1"/>
  <c r="J54" i="69" s="1"/>
  <c r="I53" i="69"/>
  <c r="J53" i="69" s="1"/>
  <c r="C50" i="69" l="1"/>
  <c r="C49" i="69"/>
  <c r="E54" i="69"/>
  <c r="F54" i="69" s="1"/>
  <c r="E53" i="69"/>
  <c r="F53" i="69" s="1"/>
  <c r="F25" i="12"/>
  <c r="N8" i="59"/>
  <c r="O8" i="59"/>
  <c r="P8" i="59"/>
  <c r="Q8" i="59"/>
  <c r="AH7" i="59"/>
  <c r="AG7" i="59"/>
  <c r="AE7" i="59"/>
  <c r="AF7" i="59" s="1"/>
  <c r="AD7" i="59"/>
  <c r="Q7" i="59"/>
  <c r="P7" i="59"/>
  <c r="O7" i="59"/>
  <c r="N7" i="59"/>
  <c r="Q9" i="59"/>
  <c r="Q10" i="59"/>
  <c r="P9" i="59"/>
  <c r="P10" i="59"/>
  <c r="O9" i="59"/>
  <c r="O10" i="59"/>
  <c r="N9" i="59"/>
  <c r="N10" i="59"/>
  <c r="AD8" i="59"/>
  <c r="AE8" i="59"/>
  <c r="AF8" i="59" s="1"/>
  <c r="AG8" i="59"/>
  <c r="AH8" i="59"/>
  <c r="C25" i="12"/>
  <c r="AH9" i="59"/>
  <c r="AG9" i="59"/>
  <c r="AE9" i="59"/>
  <c r="AF9" i="59" s="1"/>
  <c r="AD9" i="59"/>
  <c r="AH10" i="59"/>
  <c r="AG10" i="59"/>
  <c r="AE10" i="59"/>
  <c r="AF10" i="59"/>
  <c r="AD10" i="59"/>
  <c r="M15" i="49"/>
  <c r="L15" i="49"/>
  <c r="K15" i="49"/>
  <c r="J15" i="49"/>
  <c r="I15" i="49"/>
  <c r="H15" i="49"/>
  <c r="G15" i="49"/>
  <c r="F15" i="49"/>
  <c r="E15" i="49"/>
  <c r="D15" i="49"/>
  <c r="C15" i="49"/>
  <c r="B15" i="49"/>
  <c r="AH11" i="59"/>
  <c r="AG11" i="59"/>
  <c r="AF11" i="59"/>
  <c r="AE11" i="59"/>
  <c r="AD11" i="59"/>
  <c r="Q11" i="59"/>
  <c r="P11" i="59"/>
  <c r="O11" i="59"/>
  <c r="N11" i="59"/>
  <c r="L3" i="59"/>
  <c r="AH3" i="59" s="1"/>
  <c r="K3" i="59"/>
  <c r="AG3" i="59" s="1"/>
  <c r="J3" i="59"/>
  <c r="AE3" i="59" s="1"/>
  <c r="AF3" i="59" s="1"/>
  <c r="I3" i="59"/>
  <c r="AD3" i="59" s="1"/>
  <c r="AH12" i="59"/>
  <c r="AG12" i="59"/>
  <c r="AE12" i="59"/>
  <c r="AF12" i="59"/>
  <c r="AD12" i="59"/>
  <c r="Q12" i="59"/>
  <c r="Q13" i="59"/>
  <c r="P12" i="59"/>
  <c r="P13" i="59"/>
  <c r="O12" i="59"/>
  <c r="O13" i="59"/>
  <c r="N12" i="59"/>
  <c r="N13" i="59"/>
  <c r="AH13" i="59"/>
  <c r="AG13" i="59"/>
  <c r="AE13" i="59"/>
  <c r="AF13" i="59" s="1"/>
  <c r="AD13" i="59"/>
  <c r="Q14" i="59"/>
  <c r="P14" i="59"/>
  <c r="O14" i="59"/>
  <c r="N14" i="59"/>
  <c r="J50" i="15"/>
  <c r="J51" i="15"/>
  <c r="D16" i="59"/>
  <c r="AH14" i="59"/>
  <c r="AG14" i="59"/>
  <c r="AE14" i="59"/>
  <c r="AF14" i="59" s="1"/>
  <c r="AD14" i="59"/>
  <c r="AE15" i="59"/>
  <c r="AF15" i="59"/>
  <c r="AG15" i="59"/>
  <c r="AH15" i="59"/>
  <c r="AD15" i="59"/>
  <c r="Q15" i="59"/>
  <c r="F15" i="59" s="1"/>
  <c r="P15" i="59"/>
  <c r="O15" i="59"/>
  <c r="N15" i="59"/>
  <c r="N16" i="59"/>
  <c r="Q16" i="59"/>
  <c r="P16" i="59"/>
  <c r="O16" i="59"/>
  <c r="A30" i="64"/>
  <c r="A30" i="51"/>
  <c r="K59" i="15"/>
  <c r="P62" i="15"/>
  <c r="P75" i="15"/>
  <c r="Q74" i="44"/>
  <c r="Q61" i="44"/>
  <c r="Q60" i="44"/>
  <c r="Q53" i="44"/>
  <c r="J51" i="44"/>
  <c r="J52" i="44" s="1"/>
  <c r="M48" i="44"/>
  <c r="A16" i="55"/>
  <c r="A15" i="55"/>
  <c r="B66" i="63" s="1"/>
  <c r="A14" i="55"/>
  <c r="A11" i="55"/>
  <c r="A10" i="55"/>
  <c r="B61" i="63" s="1"/>
  <c r="A9" i="55"/>
  <c r="B60" i="63" s="1"/>
  <c r="A8" i="55"/>
  <c r="A6" i="54"/>
  <c r="A8" i="54"/>
  <c r="A7" i="54"/>
  <c r="A28" i="51"/>
  <c r="N4" i="63" s="1"/>
  <c r="A27" i="51"/>
  <c r="B20" i="63" s="1"/>
  <c r="Q17" i="59"/>
  <c r="O17" i="59"/>
  <c r="N18" i="59"/>
  <c r="O18" i="59"/>
  <c r="P18" i="59"/>
  <c r="Q18" i="59"/>
  <c r="N17" i="59"/>
  <c r="P17" i="59"/>
  <c r="K75" i="9"/>
  <c r="K77" i="9" s="1"/>
  <c r="K79" i="9" s="1"/>
  <c r="K81" i="9" s="1"/>
  <c r="K6" i="4"/>
  <c r="O76" i="9"/>
  <c r="L76" i="9"/>
  <c r="K76" i="9"/>
  <c r="B22" i="31"/>
  <c r="E15" i="66"/>
  <c r="F15" i="66"/>
  <c r="E16" i="66"/>
  <c r="F16" i="66"/>
  <c r="E17" i="66"/>
  <c r="F17" i="66"/>
  <c r="E18" i="66"/>
  <c r="F18" i="66"/>
  <c r="E19" i="66"/>
  <c r="F19" i="66"/>
  <c r="E20" i="66"/>
  <c r="F20" i="66"/>
  <c r="E21" i="66"/>
  <c r="F21" i="66"/>
  <c r="E22" i="66"/>
  <c r="F22" i="66"/>
  <c r="E23" i="66"/>
  <c r="F23" i="66"/>
  <c r="B3" i="66"/>
  <c r="B15" i="59"/>
  <c r="B14" i="59" s="1"/>
  <c r="B13" i="59" s="1"/>
  <c r="B12" i="59" s="1"/>
  <c r="B11" i="59" s="1"/>
  <c r="E15" i="59"/>
  <c r="E14" i="59" s="1"/>
  <c r="E13" i="59" s="1"/>
  <c r="E12" i="59" s="1"/>
  <c r="E11" i="59" s="1"/>
  <c r="E10" i="59" s="1"/>
  <c r="E9" i="59" s="1"/>
  <c r="E8" i="59" s="1"/>
  <c r="U15" i="59"/>
  <c r="AD16" i="59"/>
  <c r="AE16" i="59"/>
  <c r="AF16" i="59"/>
  <c r="AG16" i="59"/>
  <c r="AH16" i="59"/>
  <c r="AD17" i="59"/>
  <c r="AE17" i="59"/>
  <c r="AF17" i="59" s="1"/>
  <c r="AG17" i="59"/>
  <c r="AH17" i="59"/>
  <c r="AD18" i="59"/>
  <c r="AE18" i="59"/>
  <c r="AF18" i="59" s="1"/>
  <c r="AG18" i="59"/>
  <c r="AH18" i="59"/>
  <c r="AD19" i="59"/>
  <c r="AE19" i="59"/>
  <c r="AF19" i="59" s="1"/>
  <c r="AG19" i="59"/>
  <c r="AH19" i="59"/>
  <c r="AD20" i="59"/>
  <c r="AE20" i="59"/>
  <c r="AF20" i="59"/>
  <c r="AG20" i="59"/>
  <c r="AH20" i="59"/>
  <c r="AD21" i="59"/>
  <c r="AE21" i="59"/>
  <c r="AF21" i="59" s="1"/>
  <c r="AG21" i="59"/>
  <c r="AH21" i="59"/>
  <c r="AD22" i="59"/>
  <c r="AE22" i="59"/>
  <c r="AF22" i="59" s="1"/>
  <c r="AG22" i="59"/>
  <c r="AH22" i="59"/>
  <c r="AD23" i="59"/>
  <c r="AE23" i="59"/>
  <c r="AF23" i="59" s="1"/>
  <c r="AG23" i="59"/>
  <c r="AH23" i="59"/>
  <c r="AD24" i="59"/>
  <c r="AE24" i="59"/>
  <c r="AF24" i="59"/>
  <c r="AG24" i="59"/>
  <c r="AH24" i="59"/>
  <c r="AD25" i="59"/>
  <c r="AE25" i="59"/>
  <c r="AF25" i="59" s="1"/>
  <c r="AG25" i="59"/>
  <c r="AH25" i="59"/>
  <c r="AD26" i="59"/>
  <c r="AE26" i="59"/>
  <c r="AF26" i="59" s="1"/>
  <c r="AG26" i="59"/>
  <c r="AH26" i="59"/>
  <c r="AD27" i="59"/>
  <c r="AE27" i="59"/>
  <c r="AF27" i="59" s="1"/>
  <c r="AG27" i="59"/>
  <c r="AH27" i="59"/>
  <c r="AD28" i="59"/>
  <c r="AE28" i="59"/>
  <c r="AF28" i="59"/>
  <c r="AG28" i="59"/>
  <c r="AH28" i="59"/>
  <c r="AD29" i="59"/>
  <c r="AE29" i="59"/>
  <c r="AF29" i="59" s="1"/>
  <c r="AG29" i="59"/>
  <c r="AH29" i="59"/>
  <c r="AH30" i="59"/>
  <c r="AG30" i="59"/>
  <c r="AE30" i="59"/>
  <c r="AF30" i="59" s="1"/>
  <c r="AD30" i="59"/>
  <c r="AD31" i="59"/>
  <c r="AE31" i="59"/>
  <c r="AF31" i="59" s="1"/>
  <c r="AG31" i="59"/>
  <c r="AH31" i="59"/>
  <c r="S2" i="31"/>
  <c r="M2" i="31"/>
  <c r="N2" i="31"/>
  <c r="O2" i="31"/>
  <c r="P2" i="31"/>
  <c r="Q2" i="31"/>
  <c r="R2" i="31"/>
  <c r="C15" i="59"/>
  <c r="C14" i="59" s="1"/>
  <c r="C3" i="65"/>
  <c r="C1" i="65"/>
  <c r="N1" i="65"/>
  <c r="D15"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B21" i="63"/>
  <c r="B67" i="63"/>
  <c r="I19" i="46"/>
  <c r="Q19" i="59"/>
  <c r="P19" i="59"/>
  <c r="O19" i="59"/>
  <c r="N19" i="59"/>
  <c r="D80" i="59"/>
  <c r="F79" i="59"/>
  <c r="F78" i="59" s="1"/>
  <c r="F77" i="59" s="1"/>
  <c r="E79" i="59"/>
  <c r="E78" i="59"/>
  <c r="E77" i="59" s="1"/>
  <c r="C79" i="59"/>
  <c r="D79" i="59" s="1"/>
  <c r="B79" i="59"/>
  <c r="B78" i="59" s="1"/>
  <c r="B77" i="59" s="1"/>
  <c r="D76" i="59"/>
  <c r="F75" i="59"/>
  <c r="F74" i="59" s="1"/>
  <c r="F73" i="59" s="1"/>
  <c r="E75" i="59"/>
  <c r="E74" i="59"/>
  <c r="E73" i="59" s="1"/>
  <c r="C75" i="59"/>
  <c r="D75" i="59" s="1"/>
  <c r="B75" i="59"/>
  <c r="B74" i="59" s="1"/>
  <c r="B73" i="59" s="1"/>
  <c r="D72" i="59"/>
  <c r="Q71" i="59"/>
  <c r="P71" i="59"/>
  <c r="O71" i="59"/>
  <c r="N71" i="59"/>
  <c r="F71" i="59"/>
  <c r="V71" i="59" s="1"/>
  <c r="E71" i="59"/>
  <c r="U71" i="59" s="1"/>
  <c r="C71" i="59"/>
  <c r="T71" i="59" s="1"/>
  <c r="B71" i="59"/>
  <c r="S71" i="59" s="1"/>
  <c r="Q70" i="59"/>
  <c r="P70" i="59"/>
  <c r="O70" i="59"/>
  <c r="N70" i="59"/>
  <c r="F70" i="59"/>
  <c r="F69" i="59" s="1"/>
  <c r="B70" i="59"/>
  <c r="B69" i="59" s="1"/>
  <c r="Q69" i="59"/>
  <c r="P69" i="59"/>
  <c r="O69" i="59"/>
  <c r="N69" i="59"/>
  <c r="Q68" i="59"/>
  <c r="P68" i="59"/>
  <c r="O68" i="59"/>
  <c r="N68"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s="1"/>
  <c r="E63" i="59"/>
  <c r="U63" i="59" s="1"/>
  <c r="C63" i="59"/>
  <c r="T63" i="59" s="1"/>
  <c r="B63" i="59"/>
  <c r="S63" i="59" s="1"/>
  <c r="Q62" i="59"/>
  <c r="P62" i="59"/>
  <c r="O62" i="59"/>
  <c r="N62" i="59"/>
  <c r="F62" i="59"/>
  <c r="F61" i="59" s="1"/>
  <c r="B62" i="59"/>
  <c r="B61" i="59" s="1"/>
  <c r="Q61" i="59"/>
  <c r="P61" i="59"/>
  <c r="O61" i="59"/>
  <c r="N61" i="59"/>
  <c r="Q60" i="59"/>
  <c r="P60" i="59"/>
  <c r="O60" i="59"/>
  <c r="N60" i="59"/>
  <c r="D60" i="59"/>
  <c r="F59" i="59"/>
  <c r="V59" i="59"/>
  <c r="E59" i="59"/>
  <c r="E58" i="59"/>
  <c r="P58" i="59" s="1"/>
  <c r="C59" i="59"/>
  <c r="B59" i="59"/>
  <c r="N59" i="59" s="1"/>
  <c r="F58" i="59"/>
  <c r="F57" i="59" s="1"/>
  <c r="Q57" i="59" s="1"/>
  <c r="B58" i="59"/>
  <c r="D56" i="59"/>
  <c r="Q55" i="59"/>
  <c r="P55" i="59"/>
  <c r="O55" i="59"/>
  <c r="N55" i="59"/>
  <c r="Q54" i="59"/>
  <c r="P54" i="59"/>
  <c r="O54" i="59"/>
  <c r="N54" i="59"/>
  <c r="Q53" i="59"/>
  <c r="P53" i="59"/>
  <c r="O53" i="59"/>
  <c r="N53" i="59"/>
  <c r="Q52" i="59"/>
  <c r="F53" i="59" s="1"/>
  <c r="F54" i="59" s="1"/>
  <c r="F55" i="59" s="1"/>
  <c r="V55" i="59" s="1"/>
  <c r="P52" i="59"/>
  <c r="E53" i="59" s="1"/>
  <c r="E54" i="59" s="1"/>
  <c r="E55" i="59" s="1"/>
  <c r="U55" i="59" s="1"/>
  <c r="O52" i="59"/>
  <c r="C53" i="59" s="1"/>
  <c r="N52" i="59"/>
  <c r="B53" i="59" s="1"/>
  <c r="B54" i="59" s="1"/>
  <c r="B55" i="59" s="1"/>
  <c r="S55" i="59" s="1"/>
  <c r="D52" i="59"/>
  <c r="Q51" i="59"/>
  <c r="P51" i="59"/>
  <c r="O51" i="59"/>
  <c r="N51" i="59"/>
  <c r="Q50" i="59"/>
  <c r="P50" i="59"/>
  <c r="O50" i="59"/>
  <c r="N50" i="59"/>
  <c r="Q49" i="59"/>
  <c r="P49" i="59"/>
  <c r="O49" i="59"/>
  <c r="N49" i="59"/>
  <c r="Q48" i="59"/>
  <c r="F49" i="59" s="1"/>
  <c r="P48" i="59"/>
  <c r="E49" i="59" s="1"/>
  <c r="E50" i="59"/>
  <c r="E51" i="59" s="1"/>
  <c r="U51" i="59" s="1"/>
  <c r="O48" i="59"/>
  <c r="C49" i="59"/>
  <c r="C50" i="59" s="1"/>
  <c r="N48" i="59"/>
  <c r="B49" i="59"/>
  <c r="B50" i="59" s="1"/>
  <c r="B51" i="59" s="1"/>
  <c r="S51" i="59" s="1"/>
  <c r="D48" i="59"/>
  <c r="Q47" i="59"/>
  <c r="P47" i="59"/>
  <c r="O47" i="59"/>
  <c r="N47" i="59"/>
  <c r="Q46" i="59"/>
  <c r="P46" i="59"/>
  <c r="O46" i="59"/>
  <c r="N46" i="59"/>
  <c r="Q45" i="59"/>
  <c r="P45" i="59"/>
  <c r="O45" i="59"/>
  <c r="N45" i="59"/>
  <c r="Q44" i="59"/>
  <c r="F45" i="59"/>
  <c r="F46" i="59" s="1"/>
  <c r="F47" i="59" s="1"/>
  <c r="V47" i="59" s="1"/>
  <c r="P44" i="59"/>
  <c r="E45" i="59"/>
  <c r="E46" i="59" s="1"/>
  <c r="E47" i="59" s="1"/>
  <c r="U47" i="59" s="1"/>
  <c r="O44" i="59"/>
  <c r="C45" i="59" s="1"/>
  <c r="C46" i="59" s="1"/>
  <c r="N44" i="59"/>
  <c r="B45" i="59" s="1"/>
  <c r="D44" i="59"/>
  <c r="Q43" i="59"/>
  <c r="P43" i="59"/>
  <c r="O43" i="59"/>
  <c r="N43" i="59"/>
  <c r="Q42" i="59"/>
  <c r="P42" i="59"/>
  <c r="O42" i="59"/>
  <c r="N42" i="59"/>
  <c r="Q41" i="59"/>
  <c r="P41" i="59"/>
  <c r="O41" i="59"/>
  <c r="N41" i="59"/>
  <c r="Q40" i="59"/>
  <c r="F41" i="59" s="1"/>
  <c r="F42" i="59" s="1"/>
  <c r="F43" i="59" s="1"/>
  <c r="V43" i="59" s="1"/>
  <c r="P40" i="59"/>
  <c r="E41" i="59" s="1"/>
  <c r="E42" i="59" s="1"/>
  <c r="E43" i="59" s="1"/>
  <c r="U43" i="59" s="1"/>
  <c r="O40" i="59"/>
  <c r="C41" i="59" s="1"/>
  <c r="N40" i="59"/>
  <c r="B41" i="59" s="1"/>
  <c r="B42" i="59" s="1"/>
  <c r="B43" i="59" s="1"/>
  <c r="S43" i="59" s="1"/>
  <c r="D40" i="59"/>
  <c r="T39" i="59"/>
  <c r="Q39" i="59"/>
  <c r="P39" i="59"/>
  <c r="O39" i="59"/>
  <c r="N39" i="59"/>
  <c r="D39" i="59"/>
  <c r="Q38" i="59"/>
  <c r="P38" i="59"/>
  <c r="O38" i="59"/>
  <c r="N38" i="59"/>
  <c r="Q37" i="59"/>
  <c r="P37" i="59"/>
  <c r="O37" i="59"/>
  <c r="N37" i="59"/>
  <c r="Q36" i="59"/>
  <c r="F37" i="59" s="1"/>
  <c r="P36" i="59"/>
  <c r="E37" i="59" s="1"/>
  <c r="E38" i="59" s="1"/>
  <c r="E39" i="59" s="1"/>
  <c r="U39" i="59" s="1"/>
  <c r="O36" i="59"/>
  <c r="C37" i="59" s="1"/>
  <c r="N36" i="59"/>
  <c r="B37" i="59" s="1"/>
  <c r="B38" i="59" s="1"/>
  <c r="B39" i="59" s="1"/>
  <c r="S39" i="59" s="1"/>
  <c r="D36" i="59"/>
  <c r="Q35" i="59"/>
  <c r="P35" i="59"/>
  <c r="O35" i="59"/>
  <c r="N35" i="59"/>
  <c r="Q34" i="59"/>
  <c r="P34" i="59"/>
  <c r="O34" i="59"/>
  <c r="N34" i="59"/>
  <c r="Q33" i="59"/>
  <c r="P33" i="59"/>
  <c r="O33" i="59"/>
  <c r="N33" i="59"/>
  <c r="Q32" i="59"/>
  <c r="F33" i="59" s="1"/>
  <c r="F34" i="59" s="1"/>
  <c r="F35" i="59" s="1"/>
  <c r="V35" i="59" s="1"/>
  <c r="P32" i="59"/>
  <c r="E33" i="59" s="1"/>
  <c r="E34" i="59" s="1"/>
  <c r="E35" i="59" s="1"/>
  <c r="U35" i="59" s="1"/>
  <c r="O32" i="59"/>
  <c r="C33" i="59" s="1"/>
  <c r="N32" i="59"/>
  <c r="B33" i="59" s="1"/>
  <c r="B34" i="59" s="1"/>
  <c r="B35" i="59" s="1"/>
  <c r="S35" i="59" s="1"/>
  <c r="D32" i="59"/>
  <c r="Q31" i="59"/>
  <c r="P31" i="59"/>
  <c r="O31" i="59"/>
  <c r="N31" i="59"/>
  <c r="Q30" i="59"/>
  <c r="AB30" i="59" s="1"/>
  <c r="P30" i="59"/>
  <c r="AA30" i="59" s="1"/>
  <c r="O30" i="59"/>
  <c r="Y30" i="59" s="1"/>
  <c r="Z30" i="59" s="1"/>
  <c r="N30" i="59"/>
  <c r="X30" i="59" s="1"/>
  <c r="Q29" i="59"/>
  <c r="AB29" i="59" s="1"/>
  <c r="P29" i="59"/>
  <c r="AA29" i="59" s="1"/>
  <c r="O29" i="59"/>
  <c r="Y29" i="59" s="1"/>
  <c r="Z29" i="59" s="1"/>
  <c r="N29" i="59"/>
  <c r="X29" i="59" s="1"/>
  <c r="Q28" i="59"/>
  <c r="P28" i="59"/>
  <c r="O28" i="59"/>
  <c r="C29" i="59" s="1"/>
  <c r="D29" i="59" s="1"/>
  <c r="N28" i="59"/>
  <c r="X28" i="59" s="1"/>
  <c r="D28" i="59"/>
  <c r="Q27" i="59"/>
  <c r="AB27" i="59" s="1"/>
  <c r="P27" i="59"/>
  <c r="AA27" i="59" s="1"/>
  <c r="O27" i="59"/>
  <c r="Y27" i="59" s="1"/>
  <c r="Z27" i="59" s="1"/>
  <c r="N27" i="59"/>
  <c r="Q26" i="59"/>
  <c r="AB26" i="59" s="1"/>
  <c r="P26" i="59"/>
  <c r="AA26" i="59" s="1"/>
  <c r="O26" i="59"/>
  <c r="Y26" i="59" s="1"/>
  <c r="Z26" i="59" s="1"/>
  <c r="N26" i="59"/>
  <c r="Q25" i="59"/>
  <c r="AB25" i="59" s="1"/>
  <c r="P25" i="59"/>
  <c r="AA25" i="59" s="1"/>
  <c r="O25" i="59"/>
  <c r="Y25" i="59" s="1"/>
  <c r="Z25" i="59" s="1"/>
  <c r="N25" i="59"/>
  <c r="Q24" i="59"/>
  <c r="AB24" i="59" s="1"/>
  <c r="P24" i="59"/>
  <c r="AA24" i="59" s="1"/>
  <c r="O24" i="59"/>
  <c r="C25" i="59" s="1"/>
  <c r="N24" i="59"/>
  <c r="X24" i="59" s="1"/>
  <c r="D24" i="59"/>
  <c r="Q23" i="59"/>
  <c r="P23" i="59"/>
  <c r="AA23" i="59" s="1"/>
  <c r="O23" i="59"/>
  <c r="N23" i="59"/>
  <c r="X23" i="59" s="1"/>
  <c r="Q22" i="59"/>
  <c r="P22" i="59"/>
  <c r="AA22" i="59" s="1"/>
  <c r="O22" i="59"/>
  <c r="N22" i="59"/>
  <c r="X22" i="59" s="1"/>
  <c r="Q21" i="59"/>
  <c r="P21" i="59"/>
  <c r="AA21" i="59" s="1"/>
  <c r="O21" i="59"/>
  <c r="N21" i="59"/>
  <c r="X21" i="59" s="1"/>
  <c r="Q20" i="59"/>
  <c r="F21" i="59"/>
  <c r="F22" i="59" s="1"/>
  <c r="F23" i="59" s="1"/>
  <c r="V23" i="59" s="1"/>
  <c r="P20" i="59"/>
  <c r="O20" i="59"/>
  <c r="Y20" i="59" s="1"/>
  <c r="Z20" i="59" s="1"/>
  <c r="N20" i="59"/>
  <c r="D20" i="59"/>
  <c r="AB3" i="59"/>
  <c r="E21" i="59"/>
  <c r="S59" i="59"/>
  <c r="F38" i="59"/>
  <c r="F39" i="59"/>
  <c r="V39" i="59" s="1"/>
  <c r="F50" i="59"/>
  <c r="F51" i="59" s="1"/>
  <c r="V51" i="59" s="1"/>
  <c r="C34" i="59"/>
  <c r="C35" i="59" s="1"/>
  <c r="D33" i="59"/>
  <c r="D45" i="59"/>
  <c r="D49" i="59"/>
  <c r="C54" i="59"/>
  <c r="C55" i="59" s="1"/>
  <c r="D53" i="59"/>
  <c r="E57" i="59"/>
  <c r="P56" i="59" s="1"/>
  <c r="N58" i="59"/>
  <c r="B57" i="59"/>
  <c r="N56" i="59" s="1"/>
  <c r="Q58" i="59"/>
  <c r="T59" i="59"/>
  <c r="O59" i="59"/>
  <c r="D59" i="59"/>
  <c r="C58" i="59"/>
  <c r="P59" i="59"/>
  <c r="U59" i="59"/>
  <c r="Q59" i="59"/>
  <c r="C62" i="59"/>
  <c r="E62" i="59"/>
  <c r="E61" i="59" s="1"/>
  <c r="D63" i="59"/>
  <c r="C66" i="59"/>
  <c r="C65" i="59" s="1"/>
  <c r="D65" i="59" s="1"/>
  <c r="E66" i="59"/>
  <c r="E65" i="59" s="1"/>
  <c r="D67" i="59"/>
  <c r="C70" i="59"/>
  <c r="E70" i="59"/>
  <c r="E69" i="59" s="1"/>
  <c r="D71" i="59"/>
  <c r="C74" i="59"/>
  <c r="C73" i="59" s="1"/>
  <c r="D73" i="59" s="1"/>
  <c r="C78" i="59"/>
  <c r="D78" i="59" s="1"/>
  <c r="U16" i="4"/>
  <c r="S16" i="4"/>
  <c r="Q16" i="4"/>
  <c r="O16" i="4"/>
  <c r="N16" i="4" s="1"/>
  <c r="M16" i="4"/>
  <c r="K16" i="4"/>
  <c r="P57" i="59"/>
  <c r="C77" i="59"/>
  <c r="D77" i="59" s="1"/>
  <c r="D70" i="59"/>
  <c r="C69" i="59"/>
  <c r="D69" i="59"/>
  <c r="D62" i="59"/>
  <c r="C61" i="59"/>
  <c r="D61" i="59" s="1"/>
  <c r="C57" i="59"/>
  <c r="D57" i="59" s="1"/>
  <c r="O58" i="59"/>
  <c r="D58" i="59"/>
  <c r="D74" i="59"/>
  <c r="D66" i="59"/>
  <c r="D54" i="59"/>
  <c r="D34" i="59"/>
  <c r="L16" i="4"/>
  <c r="O57" i="59"/>
  <c r="O5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21"/>
  <c r="S27" i="40"/>
  <c r="S31" i="39"/>
  <c r="C27" i="40"/>
  <c r="C31" i="39"/>
  <c r="B54" i="46"/>
  <c r="B74" i="46"/>
  <c r="E66" i="36"/>
  <c r="H18" i="35"/>
  <c r="J18" i="35"/>
  <c r="H21" i="37"/>
  <c r="J21" i="37"/>
  <c r="E84" i="34"/>
  <c r="F84" i="34" s="1"/>
  <c r="G84" i="34" s="1"/>
  <c r="J21" i="34"/>
  <c r="H21" i="34"/>
  <c r="F21" i="33"/>
  <c r="H21" i="33"/>
  <c r="J21" i="33"/>
  <c r="F83" i="21"/>
  <c r="H21" i="21"/>
  <c r="G83" i="21"/>
  <c r="J21" i="21"/>
  <c r="F96" i="40"/>
  <c r="H27" i="40"/>
  <c r="F105" i="39"/>
  <c r="H31" i="39"/>
  <c r="F23" i="15"/>
  <c r="D22" i="15" s="1"/>
  <c r="G17" i="11"/>
  <c r="D23" i="15"/>
  <c r="F15" i="15"/>
  <c r="F17" i="15"/>
  <c r="F18" i="15"/>
  <c r="F20" i="15"/>
  <c r="F21" i="15"/>
  <c r="F33" i="15"/>
  <c r="F60" i="15"/>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s="1"/>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s="1"/>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s="1"/>
  <c r="K66" i="46"/>
  <c r="M65" i="46"/>
  <c r="N65" i="46"/>
  <c r="K65" i="46"/>
  <c r="J65" i="46"/>
  <c r="D65" i="46"/>
  <c r="M64" i="46"/>
  <c r="N64" i="46"/>
  <c r="K64" i="46"/>
  <c r="J64" i="46"/>
  <c r="D64" i="46"/>
  <c r="M63" i="46"/>
  <c r="N63" i="46" s="1"/>
  <c r="K63" i="46"/>
  <c r="J63" i="46" s="1"/>
  <c r="D63" i="46"/>
  <c r="M62" i="46"/>
  <c r="N62" i="46"/>
  <c r="K62" i="46"/>
  <c r="J62" i="46"/>
  <c r="D62" i="46"/>
  <c r="M61" i="46"/>
  <c r="N61" i="46" s="1"/>
  <c r="K61" i="46"/>
  <c r="J61" i="46" s="1"/>
  <c r="D61" i="46"/>
  <c r="M60" i="46"/>
  <c r="N60" i="46"/>
  <c r="K60" i="46"/>
  <c r="J60" i="46"/>
  <c r="D60" i="46"/>
  <c r="M59" i="46"/>
  <c r="N59" i="46" s="1"/>
  <c r="K59" i="46"/>
  <c r="J59" i="46" s="1"/>
  <c r="D59" i="46"/>
  <c r="M58" i="46"/>
  <c r="N58" i="46"/>
  <c r="M55" i="46"/>
  <c r="N55" i="46" s="1"/>
  <c r="K55" i="46"/>
  <c r="J55" i="46" s="1"/>
  <c r="M54" i="46"/>
  <c r="N54" i="46" s="1"/>
  <c r="K54" i="46"/>
  <c r="M53" i="46"/>
  <c r="N53" i="46" s="1"/>
  <c r="K53" i="46"/>
  <c r="J53" i="46" s="1"/>
  <c r="D53" i="46"/>
  <c r="M52" i="46"/>
  <c r="N52" i="46"/>
  <c r="K52" i="46"/>
  <c r="J52" i="46"/>
  <c r="D52" i="46"/>
  <c r="M51" i="46"/>
  <c r="N51" i="46" s="1"/>
  <c r="K51" i="46"/>
  <c r="J51" i="46" s="1"/>
  <c r="M50" i="46"/>
  <c r="N50" i="46" s="1"/>
  <c r="M49" i="46"/>
  <c r="N49" i="46" s="1"/>
  <c r="K49" i="46"/>
  <c r="J49" i="46" s="1"/>
  <c r="D49" i="46"/>
  <c r="M48" i="46"/>
  <c r="N48" i="46"/>
  <c r="K48" i="46"/>
  <c r="J48" i="46"/>
  <c r="D48" i="46"/>
  <c r="M47" i="46"/>
  <c r="N47" i="46" s="1"/>
  <c r="K47" i="46"/>
  <c r="J47" i="46" s="1"/>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A12" i="1"/>
  <c r="R12" i="1"/>
  <c r="A13" i="1"/>
  <c r="B13" i="1"/>
  <c r="E13" i="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s="1"/>
  <c r="C62" i="40" s="1"/>
  <c r="H61" i="40"/>
  <c r="I61" i="40"/>
  <c r="C61" i="40"/>
  <c r="H60" i="40"/>
  <c r="H59" i="40"/>
  <c r="H58" i="40"/>
  <c r="I58" i="40" s="1"/>
  <c r="C58" i="40" s="1"/>
  <c r="H57" i="40"/>
  <c r="I57" i="40"/>
  <c r="C57" i="40"/>
  <c r="H56" i="40"/>
  <c r="I56" i="40"/>
  <c r="C56" i="40"/>
  <c r="H55" i="40"/>
  <c r="I55" i="40"/>
  <c r="C55" i="40"/>
  <c r="H54" i="40"/>
  <c r="I54" i="40"/>
  <c r="C54" i="40"/>
  <c r="H63" i="39"/>
  <c r="I63" i="39"/>
  <c r="C63" i="39" s="1"/>
  <c r="H59" i="39"/>
  <c r="I59" i="39"/>
  <c r="C59" i="39"/>
  <c r="H67" i="39"/>
  <c r="I67" i="39"/>
  <c r="C67" i="39" s="1"/>
  <c r="H66" i="39"/>
  <c r="I66" i="39"/>
  <c r="C66" i="39"/>
  <c r="H65" i="39"/>
  <c r="I65" i="39"/>
  <c r="C65" i="39" s="1"/>
  <c r="H64" i="39"/>
  <c r="I64" i="39" s="1"/>
  <c r="C64" i="39" s="1"/>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s="1"/>
  <c r="A3" i="51"/>
  <c r="R41" i="4"/>
  <c r="Q41" i="4"/>
  <c r="P41" i="4"/>
  <c r="O41" i="4"/>
  <c r="N41" i="4"/>
  <c r="M41" i="4"/>
  <c r="L41" i="4"/>
  <c r="K40" i="4"/>
  <c r="T40" i="4"/>
  <c r="F23" i="4"/>
  <c r="D19" i="4"/>
  <c r="I19" i="4"/>
  <c r="H19" i="4"/>
  <c r="G19" i="4"/>
  <c r="F9" i="1"/>
  <c r="AP9" i="1" s="1"/>
  <c r="F19" i="4"/>
  <c r="F8" i="1"/>
  <c r="AP8" i="1" s="1"/>
  <c r="E19" i="4"/>
  <c r="F7" i="1"/>
  <c r="G7" i="1" s="1"/>
  <c r="B2" i="52"/>
  <c r="B6" i="52" s="1"/>
  <c r="I2" i="46"/>
  <c r="N12" i="46"/>
  <c r="A7" i="46"/>
  <c r="F41" i="4"/>
  <c r="J52" i="40"/>
  <c r="H61" i="49"/>
  <c r="H39" i="46"/>
  <c r="H38" i="46"/>
  <c r="H37" i="46"/>
  <c r="H36" i="46"/>
  <c r="H35" i="46"/>
  <c r="H34" i="46"/>
  <c r="H33" i="46"/>
  <c r="J20" i="46"/>
  <c r="C18" i="46"/>
  <c r="F15" i="46"/>
  <c r="E15" i="46"/>
  <c r="D15" i="46"/>
  <c r="C15" i="46"/>
  <c r="C10" i="46"/>
  <c r="C11" i="46" s="1"/>
  <c r="C9" i="46"/>
  <c r="E19" i="6"/>
  <c r="E32" i="6"/>
  <c r="E20" i="6"/>
  <c r="E21" i="6"/>
  <c r="K8" i="1"/>
  <c r="M8" i="1" s="1"/>
  <c r="O8" i="1" s="1"/>
  <c r="P8" i="1" s="1"/>
  <c r="E22" i="6"/>
  <c r="E23" i="6"/>
  <c r="E24" i="6"/>
  <c r="E25" i="6"/>
  <c r="E26" i="6"/>
  <c r="D38" i="4"/>
  <c r="C39" i="4" s="1"/>
  <c r="C35" i="4"/>
  <c r="E16" i="12"/>
  <c r="F14" i="12"/>
  <c r="F15" i="12"/>
  <c r="F17" i="12"/>
  <c r="E19" i="12"/>
  <c r="E21" i="12"/>
  <c r="E22" i="12"/>
  <c r="F23" i="12"/>
  <c r="F24" i="12"/>
  <c r="C43" i="9"/>
  <c r="K47" i="9"/>
  <c r="B65" i="63"/>
  <c r="I73" i="9"/>
  <c r="F73" i="9"/>
  <c r="P73" i="9" s="1"/>
  <c r="D107" i="9"/>
  <c r="C107" i="9"/>
  <c r="C105" i="9" s="1"/>
  <c r="C110" i="9" s="1"/>
  <c r="C17" i="9"/>
  <c r="D17" i="9"/>
  <c r="C18" i="9"/>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C13" i="3"/>
  <c r="BB13" i="3"/>
  <c r="BR13" i="3"/>
  <c r="B24" i="1"/>
  <c r="E77" i="9"/>
  <c r="O75" i="9" s="1"/>
  <c r="L75" i="9"/>
  <c r="F77" i="9"/>
  <c r="P75" i="9"/>
  <c r="O74" i="9"/>
  <c r="O73" i="9"/>
  <c r="E66" i="9"/>
  <c r="O72" i="9"/>
  <c r="F74" i="9"/>
  <c r="P74" i="9"/>
  <c r="N67" i="9"/>
  <c r="K44" i="9"/>
  <c r="K43" i="9"/>
  <c r="B31" i="1"/>
  <c r="E10" i="1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s="1"/>
  <c r="G55" i="34"/>
  <c r="H55" i="34" s="1"/>
  <c r="E55" i="34"/>
  <c r="F55" i="34" s="1"/>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AC38" i="34" s="1"/>
  <c r="D114" i="34"/>
  <c r="F38" i="34"/>
  <c r="AA38" i="34" s="1"/>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F14" i="34" s="1"/>
  <c r="B73" i="34"/>
  <c r="B71" i="34"/>
  <c r="J12" i="34" s="1"/>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s="1"/>
  <c r="H67" i="34" s="1"/>
  <c r="I67" i="34" s="1"/>
  <c r="H10" i="34"/>
  <c r="AB10" i="34" s="1"/>
  <c r="D126" i="34"/>
  <c r="E126" i="34" s="1"/>
  <c r="F126" i="34" s="1"/>
  <c r="G126" i="34" s="1"/>
  <c r="D124" i="34"/>
  <c r="E124" i="34" s="1"/>
  <c r="D118" i="34"/>
  <c r="E118" i="34"/>
  <c r="F118" i="34"/>
  <c r="G118" i="34"/>
  <c r="H40" i="34"/>
  <c r="U40" i="34"/>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J36" i="34"/>
  <c r="AC36" i="34" s="1"/>
  <c r="D107" i="34"/>
  <c r="E107" i="34"/>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s="1"/>
  <c r="F88" i="34" s="1"/>
  <c r="G88" i="34" s="1"/>
  <c r="H88" i="34" s="1"/>
  <c r="I88" i="34" s="1"/>
  <c r="J88" i="34" s="1"/>
  <c r="K88" i="34" s="1"/>
  <c r="L88" i="34" s="1"/>
  <c r="M88" i="34" s="1"/>
  <c r="D86" i="34"/>
  <c r="E86" i="34" s="1"/>
  <c r="F86" i="34" s="1"/>
  <c r="G86" i="34" s="1"/>
  <c r="D82" i="34"/>
  <c r="E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s="1"/>
  <c r="Q43" i="34"/>
  <c r="Z43" i="34"/>
  <c r="Q42" i="34"/>
  <c r="Z42" i="34"/>
  <c r="Q41" i="34"/>
  <c r="Z41" i="34"/>
  <c r="Q40" i="34"/>
  <c r="Z40" i="34"/>
  <c r="F40" i="34"/>
  <c r="S40" i="34"/>
  <c r="Q39" i="34"/>
  <c r="Z39" i="34"/>
  <c r="J39" i="34"/>
  <c r="AC39" i="34" s="1"/>
  <c r="H39" i="34"/>
  <c r="U39" i="34" s="1"/>
  <c r="F39" i="34"/>
  <c r="AA39" i="34" s="1"/>
  <c r="Q38" i="34"/>
  <c r="Z38" i="34"/>
  <c r="Q37" i="34"/>
  <c r="Z37" i="34"/>
  <c r="Q36" i="34"/>
  <c r="Z36" i="34"/>
  <c r="Q35" i="34"/>
  <c r="Z35" i="34"/>
  <c r="Q34" i="34"/>
  <c r="Z34" i="34"/>
  <c r="J34" i="34"/>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s="1"/>
  <c r="Q9" i="34"/>
  <c r="Z9" i="34"/>
  <c r="J9" i="34"/>
  <c r="AC9" i="34" s="1"/>
  <c r="H9" i="34"/>
  <c r="AB9" i="34" s="1"/>
  <c r="F9" i="34"/>
  <c r="AA9" i="34" s="1"/>
  <c r="J8" i="34"/>
  <c r="AC8" i="34" s="1"/>
  <c r="H8" i="34"/>
  <c r="U8" i="34" s="1"/>
  <c r="F8" i="34"/>
  <c r="AA8" i="34" s="1"/>
  <c r="C7" i="34"/>
  <c r="C59" i="34" s="1"/>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s="1"/>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s="1"/>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U42" i="34"/>
  <c r="E114" i="34"/>
  <c r="H36" i="34"/>
  <c r="U36" i="34" s="1"/>
  <c r="F37" i="34"/>
  <c r="AA37" i="34" s="1"/>
  <c r="F33" i="34"/>
  <c r="S33" i="34"/>
  <c r="AA28" i="34"/>
  <c r="J10" i="34"/>
  <c r="AC10" i="34" s="1"/>
  <c r="J28" i="34"/>
  <c r="W28" i="34"/>
  <c r="S38" i="33"/>
  <c r="E113" i="33"/>
  <c r="F36" i="33"/>
  <c r="S36" i="33"/>
  <c r="F19" i="33"/>
  <c r="S19" i="33"/>
  <c r="J19" i="33"/>
  <c r="S10" i="21"/>
  <c r="W40" i="33"/>
  <c r="F125" i="21"/>
  <c r="G125" i="21"/>
  <c r="G86" i="40"/>
  <c r="AB30" i="36"/>
  <c r="AC34" i="36"/>
  <c r="S22" i="35"/>
  <c r="H29" i="35"/>
  <c r="U34" i="37"/>
  <c r="S34" i="37"/>
  <c r="AA34" i="37"/>
  <c r="AB42" i="34"/>
  <c r="AB40" i="34"/>
  <c r="F113" i="33"/>
  <c r="G113" i="33"/>
  <c r="H113" i="33"/>
  <c r="I113" i="33"/>
  <c r="J113" i="33"/>
  <c r="K113" i="33"/>
  <c r="L113" i="33"/>
  <c r="M113" i="33"/>
  <c r="H37" i="33"/>
  <c r="AB37" i="33"/>
  <c r="S37" i="33"/>
  <c r="AC42" i="34"/>
  <c r="W42" i="34"/>
  <c r="AA42" i="34"/>
  <c r="S42" i="34"/>
  <c r="W38" i="34"/>
  <c r="J37" i="33"/>
  <c r="W37" i="33"/>
  <c r="J42" i="21"/>
  <c r="AC42" i="21"/>
  <c r="J44" i="34"/>
  <c r="AC44" i="34" s="1"/>
  <c r="F44" i="34"/>
  <c r="S44" i="34" s="1"/>
  <c r="J10" i="35"/>
  <c r="W10" i="35"/>
  <c r="AL5" i="3"/>
  <c r="BQ13" i="3"/>
  <c r="BL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s="1"/>
  <c r="J13" i="34"/>
  <c r="W13" i="34" s="1"/>
  <c r="F13" i="34"/>
  <c r="AA13" i="34" s="1"/>
  <c r="J29" i="34"/>
  <c r="AC29" i="34"/>
  <c r="F29" i="34"/>
  <c r="S29" i="34"/>
  <c r="H29" i="34"/>
  <c r="U29" i="34"/>
  <c r="J31" i="34"/>
  <c r="AC31" i="34"/>
  <c r="H31" i="34"/>
  <c r="AB31" i="34"/>
  <c r="F31" i="34"/>
  <c r="S31" i="34"/>
  <c r="H45" i="34"/>
  <c r="U45" i="34" s="1"/>
  <c r="J45" i="34"/>
  <c r="W45" i="34" s="1"/>
  <c r="F45" i="34"/>
  <c r="AA45" i="34" s="1"/>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s="1"/>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s="1"/>
  <c r="I60" i="40"/>
  <c r="C60" i="40" s="1"/>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C14" i="37"/>
  <c r="AB35" i="35"/>
  <c r="S25" i="35"/>
  <c r="W44" i="33"/>
  <c r="AC30" i="33"/>
  <c r="W30" i="33"/>
  <c r="AC29" i="37"/>
  <c r="W32" i="36"/>
  <c r="AC32" i="36"/>
  <c r="U28" i="33"/>
  <c r="AB28" i="33"/>
  <c r="J33" i="34"/>
  <c r="AC33" i="34"/>
  <c r="AB36" i="34"/>
  <c r="J40" i="34"/>
  <c r="W40" i="34"/>
  <c r="F16" i="35"/>
  <c r="AA16" i="35"/>
  <c r="S24" i="36"/>
  <c r="W42" i="33"/>
  <c r="J35" i="34"/>
  <c r="W35" i="34" s="1"/>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F11" i="34"/>
  <c r="S11" i="34" s="1"/>
  <c r="E80" i="34"/>
  <c r="F80" i="34"/>
  <c r="H17" i="34"/>
  <c r="AB17" i="34" s="1"/>
  <c r="AC27" i="34"/>
  <c r="W27" i="34"/>
  <c r="S12" i="35"/>
  <c r="AB28" i="35"/>
  <c r="U28" i="35"/>
  <c r="J13" i="33"/>
  <c r="W13" i="33"/>
  <c r="H13" i="33"/>
  <c r="U13" i="33"/>
  <c r="H29" i="33"/>
  <c r="AB29" i="33"/>
  <c r="F29" i="33"/>
  <c r="AA29" i="33"/>
  <c r="H12" i="34"/>
  <c r="AB12" i="34" s="1"/>
  <c r="J14" i="34"/>
  <c r="W14" i="34" s="1"/>
  <c r="H14" i="34"/>
  <c r="AB14" i="34" s="1"/>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U31" i="34"/>
  <c r="AC40" i="37"/>
  <c r="W40" i="37"/>
  <c r="W27" i="33"/>
  <c r="AC45" i="21"/>
  <c r="S28" i="33"/>
  <c r="S14" i="21"/>
  <c r="AB29" i="35"/>
  <c r="U29" i="35"/>
  <c r="AC19" i="33"/>
  <c r="W19" i="33"/>
  <c r="AC34" i="37"/>
  <c r="S35" i="37"/>
  <c r="AA35" i="37"/>
  <c r="AB10" i="35"/>
  <c r="AA32" i="21"/>
  <c r="S32" i="21"/>
  <c r="U38" i="21"/>
  <c r="AB34" i="21"/>
  <c r="BL571" i="3"/>
  <c r="BA571" i="3"/>
  <c r="AZ571" i="3"/>
  <c r="BL570" i="3"/>
  <c r="AZ570" i="3"/>
  <c r="BE5" i="3"/>
  <c r="F42" i="21"/>
  <c r="AA42" i="21"/>
  <c r="AB40" i="33"/>
  <c r="U40" i="33"/>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s="1"/>
  <c r="H114" i="34" s="1"/>
  <c r="I114" i="34" s="1"/>
  <c r="J114" i="34" s="1"/>
  <c r="K114" i="34" s="1"/>
  <c r="L114" i="34" s="1"/>
  <c r="M114" i="34" s="1"/>
  <c r="H38" i="34"/>
  <c r="U38" i="34" s="1"/>
  <c r="H30" i="40"/>
  <c r="AB30" i="40"/>
  <c r="G100" i="40"/>
  <c r="J30" i="40"/>
  <c r="AC30" i="40"/>
  <c r="F38" i="40"/>
  <c r="AA38" i="40"/>
  <c r="AC12" i="21"/>
  <c r="W12" i="21"/>
  <c r="AB33" i="21"/>
  <c r="S35" i="21"/>
  <c r="AB10" i="21"/>
  <c r="U8" i="21"/>
  <c r="AB8" i="21"/>
  <c r="S34" i="21"/>
  <c r="AC36" i="21"/>
  <c r="AB8" i="33"/>
  <c r="U8" i="33"/>
  <c r="E106" i="33"/>
  <c r="H34" i="33"/>
  <c r="U34" i="33"/>
  <c r="F34" i="33"/>
  <c r="S34" i="33"/>
  <c r="E121" i="33"/>
  <c r="F41" i="33"/>
  <c r="S41" i="33"/>
  <c r="AC34" i="34"/>
  <c r="W34" i="34"/>
  <c r="E78" i="34"/>
  <c r="F15" i="34"/>
  <c r="AA15" i="34" s="1"/>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7" i="39"/>
  <c r="F27" i="39"/>
  <c r="AA27" i="39"/>
  <c r="H27" i="39"/>
  <c r="AB27" i="39"/>
  <c r="J27" i="39"/>
  <c r="AC27" i="39"/>
  <c r="F15" i="40"/>
  <c r="AA15" i="40"/>
  <c r="J15" i="40"/>
  <c r="H15" i="40"/>
  <c r="AB15" i="40"/>
  <c r="E92" i="40"/>
  <c r="F92" i="40"/>
  <c r="H23" i="40"/>
  <c r="U23" i="40"/>
  <c r="H41" i="40"/>
  <c r="AB41" i="40"/>
  <c r="F41" i="40"/>
  <c r="AA41" i="40"/>
  <c r="J41" i="40"/>
  <c r="H36" i="33"/>
  <c r="AB36" i="33"/>
  <c r="H37" i="34"/>
  <c r="U37" i="34" s="1"/>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F34" i="44" s="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s="1"/>
  <c r="AZ164" i="3"/>
  <c r="AZ167" i="3"/>
  <c r="AZ177" i="3"/>
  <c r="AZ180" i="3"/>
  <c r="AZ24" i="3"/>
  <c r="AZ32" i="3"/>
  <c r="AZ40" i="3"/>
  <c r="AZ48" i="3"/>
  <c r="AZ56" i="3"/>
  <c r="AZ63" i="3"/>
  <c r="AZ71" i="3"/>
  <c r="AZ79" i="3"/>
  <c r="AZ91" i="3"/>
  <c r="AZ99" i="3"/>
  <c r="AZ107" i="3"/>
  <c r="AZ112" i="3"/>
  <c r="J13" i="40"/>
  <c r="W13" i="40"/>
  <c r="AB14" i="40"/>
  <c r="W40" i="40"/>
  <c r="F27" i="43"/>
  <c r="F71" i="9"/>
  <c r="AC14" i="40"/>
  <c r="W35" i="40"/>
  <c r="S33" i="40"/>
  <c r="AB32" i="40"/>
  <c r="AC47" i="39"/>
  <c r="S47" i="39"/>
  <c r="AB25" i="39"/>
  <c r="AB37" i="34"/>
  <c r="AC41" i="40"/>
  <c r="W41" i="40"/>
  <c r="U41" i="40"/>
  <c r="J23" i="40"/>
  <c r="AC23" i="40"/>
  <c r="G92" i="40"/>
  <c r="F23" i="40"/>
  <c r="S23" i="40"/>
  <c r="AC15" i="40"/>
  <c r="W15" i="40"/>
  <c r="W27" i="39"/>
  <c r="S23" i="39"/>
  <c r="AB16" i="39"/>
  <c r="W14" i="39"/>
  <c r="U23" i="35"/>
  <c r="AB23" i="35"/>
  <c r="H20" i="35"/>
  <c r="F20" i="35"/>
  <c r="S20" i="35"/>
  <c r="H15" i="34"/>
  <c r="AB15" i="34" s="1"/>
  <c r="F78" i="34"/>
  <c r="G78" i="34" s="1"/>
  <c r="J15" i="34"/>
  <c r="W15" i="34" s="1"/>
  <c r="H41" i="33"/>
  <c r="U41" i="33"/>
  <c r="F121" i="33"/>
  <c r="G121" i="33"/>
  <c r="H121" i="33"/>
  <c r="I121" i="33"/>
  <c r="J121" i="33"/>
  <c r="K121" i="33"/>
  <c r="L121" i="33"/>
  <c r="M121" i="33"/>
  <c r="F30" i="40"/>
  <c r="AA30" i="40"/>
  <c r="H100" i="40"/>
  <c r="I100" i="40"/>
  <c r="J100" i="40"/>
  <c r="K100" i="40"/>
  <c r="L100" i="40"/>
  <c r="M100" i="40"/>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U29" i="33"/>
  <c r="AC13" i="33"/>
  <c r="AA11" i="34"/>
  <c r="W32" i="33"/>
  <c r="H15" i="33"/>
  <c r="U15" i="33"/>
  <c r="AA11" i="33"/>
  <c r="AA40" i="21"/>
  <c r="U17" i="21"/>
  <c r="S13" i="39"/>
  <c r="AA13" i="39"/>
  <c r="U16" i="40"/>
  <c r="W34" i="40"/>
  <c r="AB34" i="40"/>
  <c r="AB42" i="40"/>
  <c r="U42" i="40"/>
  <c r="AC16" i="40"/>
  <c r="W32" i="40"/>
  <c r="H25" i="40"/>
  <c r="AB25" i="40"/>
  <c r="F94" i="40"/>
  <c r="G94" i="40"/>
  <c r="U47" i="39"/>
  <c r="W15" i="39"/>
  <c r="J37" i="34"/>
  <c r="AC37" i="34" s="1"/>
  <c r="J36" i="33"/>
  <c r="W36" i="33"/>
  <c r="S41" i="40"/>
  <c r="AB23" i="40"/>
  <c r="U27" i="39"/>
  <c r="H23" i="39"/>
  <c r="AB23" i="39"/>
  <c r="J23" i="39"/>
  <c r="AC23" i="39"/>
  <c r="F97" i="39"/>
  <c r="G97" i="39"/>
  <c r="S16" i="39"/>
  <c r="S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U12" i="34"/>
  <c r="AB13" i="33"/>
  <c r="G80" i="34"/>
  <c r="F17" i="34"/>
  <c r="AA17" i="34" s="1"/>
  <c r="J17" i="34"/>
  <c r="AC17" i="34" s="1"/>
  <c r="H11" i="34"/>
  <c r="AB11" i="34" s="1"/>
  <c r="J35" i="33"/>
  <c r="W35" i="33"/>
  <c r="S32" i="33"/>
  <c r="AC15" i="33"/>
  <c r="H11" i="33"/>
  <c r="U11" i="33"/>
  <c r="H10" i="33"/>
  <c r="U10" i="33"/>
  <c r="I66" i="33"/>
  <c r="J10" i="33"/>
  <c r="AC10" i="33"/>
  <c r="U40" i="21"/>
  <c r="U11" i="37"/>
  <c r="U13" i="39"/>
  <c r="AC16" i="35"/>
  <c r="AC13" i="40"/>
  <c r="J11" i="34"/>
  <c r="W11" i="34" s="1"/>
  <c r="AC36" i="33"/>
  <c r="F25" i="40"/>
  <c r="AA25" i="40"/>
  <c r="J11" i="33"/>
  <c r="W11" i="33"/>
  <c r="H33" i="37"/>
  <c r="AB33" i="37"/>
  <c r="U20" i="35"/>
  <c r="AB20" i="35"/>
  <c r="W23" i="40"/>
  <c r="D73" i="9"/>
  <c r="N73" i="9" s="1"/>
  <c r="AP11" i="1"/>
  <c r="B11" i="1"/>
  <c r="E11" i="1"/>
  <c r="K11" i="1"/>
  <c r="M11" i="1" s="1"/>
  <c r="B9" i="1"/>
  <c r="E9" i="1"/>
  <c r="K9" i="1"/>
  <c r="M9" i="1" s="1"/>
  <c r="B7" i="1"/>
  <c r="E7" i="1"/>
  <c r="K7" i="1"/>
  <c r="M7" i="1" s="1"/>
  <c r="C20" i="43"/>
  <c r="F6" i="1"/>
  <c r="AP6" i="1" s="1"/>
  <c r="G11" i="1"/>
  <c r="M22" i="44"/>
  <c r="D86" i="9"/>
  <c r="F31" i="43"/>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A40" i="34"/>
  <c r="W33" i="34"/>
  <c r="U30" i="34"/>
  <c r="S32" i="34"/>
  <c r="AB33" i="34"/>
  <c r="AC35" i="34"/>
  <c r="AA30" i="34"/>
  <c r="AC32" i="34"/>
  <c r="AA33" i="34"/>
  <c r="U44" i="34"/>
  <c r="U34" i="34"/>
  <c r="U28" i="34"/>
  <c r="AA27" i="34"/>
  <c r="J25" i="34"/>
  <c r="AC25" i="34" s="1"/>
  <c r="H25" i="34"/>
  <c r="U25" i="34" s="1"/>
  <c r="F25" i="34"/>
  <c r="S25" i="34" s="1"/>
  <c r="J23" i="34"/>
  <c r="AC23" i="34" s="1"/>
  <c r="F23" i="34"/>
  <c r="H23" i="34"/>
  <c r="U23" i="34" s="1"/>
  <c r="U10" i="34"/>
  <c r="AC40" i="34"/>
  <c r="W44" i="34"/>
  <c r="W29" i="34"/>
  <c r="AC21" i="34"/>
  <c r="W21" i="34"/>
  <c r="AB21" i="34"/>
  <c r="U21" i="34"/>
  <c r="U27" i="34"/>
  <c r="AB41" i="34"/>
  <c r="S13" i="34"/>
  <c r="AA41"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c r="M43" i="9"/>
  <c r="B22" i="63"/>
  <c r="M20" i="15"/>
  <c r="D96" i="9"/>
  <c r="M18" i="15"/>
  <c r="A18" i="64"/>
  <c r="B74" i="63"/>
  <c r="C53" i="10"/>
  <c r="A25" i="64"/>
  <c r="A18" i="51"/>
  <c r="B14" i="63"/>
  <c r="BA16" i="3"/>
  <c r="BA17" i="3"/>
  <c r="AZ17" i="3"/>
  <c r="F3" i="35"/>
  <c r="K1" i="43"/>
  <c r="K1" i="12"/>
  <c r="G1" i="44"/>
  <c r="I4" i="6"/>
  <c r="G3" i="46"/>
  <c r="AZ15" i="3"/>
  <c r="G5" i="3"/>
  <c r="B3" i="3"/>
  <c r="BK5" i="3"/>
  <c r="BO5" i="3"/>
  <c r="BP5" i="3"/>
  <c r="BN5" i="3"/>
  <c r="BL18" i="3"/>
  <c r="AZ18" i="3"/>
  <c r="BC5" i="3"/>
  <c r="E8" i="6"/>
  <c r="BD5" i="3"/>
  <c r="BR5" i="3"/>
  <c r="G28" i="6" s="1"/>
  <c r="BS5" i="3"/>
  <c r="BQ5" i="3"/>
  <c r="BL16" i="3"/>
  <c r="BL5" i="3"/>
  <c r="BM5" i="3"/>
  <c r="BA13" i="3"/>
  <c r="G28" i="12"/>
  <c r="G22" i="43"/>
  <c r="G26" i="12"/>
  <c r="D24" i="44"/>
  <c r="D26" i="44"/>
  <c r="G27" i="12"/>
  <c r="G23" i="43"/>
  <c r="G21" i="43"/>
  <c r="N8" i="46"/>
  <c r="F58" i="46" s="1"/>
  <c r="N4" i="46"/>
  <c r="N1" i="46"/>
  <c r="F47" i="46"/>
  <c r="M9" i="46"/>
  <c r="M2" i="46"/>
  <c r="N11" i="46"/>
  <c r="N9" i="46"/>
  <c r="M4" i="46"/>
  <c r="M12" i="46"/>
  <c r="M8" i="46"/>
  <c r="C6" i="46" s="1"/>
  <c r="M3" i="46"/>
  <c r="M5" i="46"/>
  <c r="H6" i="48"/>
  <c r="H15" i="48"/>
  <c r="H5" i="48"/>
  <c r="H14" i="48"/>
  <c r="F36" i="46"/>
  <c r="K17" i="46"/>
  <c r="F39" i="46"/>
  <c r="H13" i="48"/>
  <c r="H11" i="48"/>
  <c r="D17" i="46"/>
  <c r="D71" i="46"/>
  <c r="D84" i="46"/>
  <c r="E80" i="46"/>
  <c r="B78" i="46"/>
  <c r="D69" i="46"/>
  <c r="E69" i="46"/>
  <c r="B67" i="46"/>
  <c r="E47" i="46"/>
  <c r="E58" i="46"/>
  <c r="B56" i="46" s="1"/>
  <c r="C24" i="46" s="1"/>
  <c r="A4" i="64"/>
  <c r="A4" i="51"/>
  <c r="C51" i="10"/>
  <c r="I100"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H86" i="46"/>
  <c r="H82" i="46"/>
  <c r="H10" i="48"/>
  <c r="H87" i="46"/>
  <c r="H85" i="46"/>
  <c r="H83" i="46"/>
  <c r="K10" i="1"/>
  <c r="M10" i="1" s="1"/>
  <c r="O10" i="1" s="1"/>
  <c r="P10" i="1" s="1"/>
  <c r="S11" i="1"/>
  <c r="R11" i="1"/>
  <c r="S13" i="1"/>
  <c r="R13" i="1"/>
  <c r="B6" i="1"/>
  <c r="E6" i="1"/>
  <c r="B10" i="1"/>
  <c r="E10" i="1"/>
  <c r="S10" i="1"/>
  <c r="B8" i="1"/>
  <c r="E8" i="1"/>
  <c r="B12" i="1"/>
  <c r="E12" i="1"/>
  <c r="S12" i="1"/>
  <c r="K6" i="1"/>
  <c r="M6" i="1" s="1"/>
  <c r="O6" i="1" s="1"/>
  <c r="P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W47" i="34"/>
  <c r="AB29" i="34"/>
  <c r="AB47" i="34"/>
  <c r="AB13" i="34"/>
  <c r="AC13" i="34"/>
  <c r="S47" i="34"/>
  <c r="AA2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E29" i="6" s="1"/>
  <c r="K15" i="1" s="1"/>
  <c r="F28"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AA23" i="34"/>
  <c r="S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F27" i="6"/>
  <c r="E5" i="6"/>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E27" i="6" s="1"/>
  <c r="AZ13" i="3"/>
  <c r="G29" i="6"/>
  <c r="AZ16" i="3"/>
  <c r="H16" i="1"/>
  <c r="A9" i="64"/>
  <c r="A9" i="51"/>
  <c r="B9" i="63" s="1"/>
  <c r="A3" i="55"/>
  <c r="B56" i="63"/>
  <c r="E4" i="4"/>
  <c r="B21" i="55" s="1"/>
  <c r="B72" i="63" s="1"/>
  <c r="C4" i="4"/>
  <c r="B20" i="55"/>
  <c r="B70" i="63" s="1"/>
  <c r="G66" i="36"/>
  <c r="J18" i="36"/>
  <c r="AE8" i="1"/>
  <c r="AE7" i="1"/>
  <c r="W18" i="36"/>
  <c r="AC18" i="36"/>
  <c r="L20" i="6"/>
  <c r="AZ5" i="3"/>
  <c r="E3" i="6" s="1"/>
  <c r="L19" i="6"/>
  <c r="L27" i="6" s="1"/>
  <c r="S7" i="1"/>
  <c r="S8" i="1"/>
  <c r="S9" i="1"/>
  <c r="R9" i="1"/>
  <c r="R7" i="1"/>
  <c r="R8" i="1"/>
  <c r="C45" i="9"/>
  <c r="H14" i="66"/>
  <c r="B7" i="66"/>
  <c r="C44" i="9"/>
  <c r="G14" i="66"/>
  <c r="B6" i="66"/>
  <c r="D45" i="9"/>
  <c r="O40" i="9"/>
  <c r="K31" i="9"/>
  <c r="K32" i="9"/>
  <c r="R7" i="54"/>
  <c r="B52" i="63"/>
  <c r="N69" i="9"/>
  <c r="O39" i="9"/>
  <c r="K29" i="9"/>
  <c r="M86" i="9"/>
  <c r="N86" i="9" s="1"/>
  <c r="M84" i="9"/>
  <c r="N84" i="9" s="1"/>
  <c r="M88" i="9"/>
  <c r="N88" i="9" s="1"/>
  <c r="M87" i="9"/>
  <c r="N87" i="9" s="1"/>
  <c r="M85" i="9"/>
  <c r="N85" i="9" s="1"/>
  <c r="M83" i="9"/>
  <c r="N83" i="9" s="1"/>
  <c r="N89" i="9" s="1"/>
  <c r="O89" i="9" s="1"/>
  <c r="K30" i="9"/>
  <c r="R6" i="54"/>
  <c r="B50" i="63"/>
  <c r="N76" i="9"/>
  <c r="C46" i="9"/>
  <c r="K33" i="9" s="1"/>
  <c r="K34" i="9" s="1"/>
  <c r="O41" i="9"/>
  <c r="R8" i="54" s="1"/>
  <c r="B54" i="63" s="1"/>
  <c r="A25" i="51"/>
  <c r="B18" i="63" s="1"/>
  <c r="D58" i="21"/>
  <c r="E58" i="21" s="1"/>
  <c r="D70" i="39"/>
  <c r="C72" i="39"/>
  <c r="D58" i="33"/>
  <c r="E58" i="33"/>
  <c r="F58" i="33" s="1"/>
  <c r="C67" i="40"/>
  <c r="D65" i="40"/>
  <c r="J17" i="46"/>
  <c r="C17" i="46"/>
  <c r="F34" i="46"/>
  <c r="F38" i="46"/>
  <c r="F37" i="46"/>
  <c r="H113" i="46"/>
  <c r="H49" i="46"/>
  <c r="H53" i="46"/>
  <c r="D14" i="59"/>
  <c r="C13" i="59"/>
  <c r="D13" i="59" s="1"/>
  <c r="U11" i="59"/>
  <c r="D10" i="11"/>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s="1"/>
  <c r="E311" i="3"/>
  <c r="E266" i="3"/>
  <c r="E222" i="3"/>
  <c r="E299" i="3"/>
  <c r="E263" i="3"/>
  <c r="E215" i="3"/>
  <c r="E388" i="3"/>
  <c r="E327" i="3"/>
  <c r="E424" i="3"/>
  <c r="I6" i="3"/>
  <c r="E430" i="3"/>
  <c r="E103" i="3"/>
  <c r="E82" i="3"/>
  <c r="E548" i="3"/>
  <c r="E146" i="3"/>
  <c r="E200" i="3"/>
  <c r="E164" i="3"/>
  <c r="Z6" i="3"/>
  <c r="E77" i="3"/>
  <c r="E62" i="3"/>
  <c r="E99" i="3"/>
  <c r="E454" i="3"/>
  <c r="E434" i="3"/>
  <c r="E389" i="3"/>
  <c r="E262" i="3"/>
  <c r="E520" i="3"/>
  <c r="E552" i="3"/>
  <c r="E230" i="3"/>
  <c r="E101" i="3"/>
  <c r="AK6" i="3"/>
  <c r="E57" i="3"/>
  <c r="E143" i="3"/>
  <c r="H1" i="65"/>
  <c r="Q16" i="1"/>
  <c r="F31" i="6"/>
  <c r="H51" i="46"/>
  <c r="X7" i="46"/>
  <c r="E17" i="46"/>
  <c r="N17" i="46"/>
  <c r="O17" i="46"/>
  <c r="M17" i="46"/>
  <c r="L17" i="46"/>
  <c r="H22" i="46"/>
  <c r="Y11" i="46"/>
  <c r="Y13" i="46"/>
  <c r="H101" i="46"/>
  <c r="H102" i="46"/>
  <c r="G22" i="46"/>
  <c r="J22" i="46"/>
  <c r="F101" i="46"/>
  <c r="F106" i="46"/>
  <c r="D101" i="46"/>
  <c r="D106" i="46"/>
  <c r="O7" i="1"/>
  <c r="O11" i="1"/>
  <c r="O13" i="1"/>
  <c r="O9" i="1"/>
  <c r="E14" i="6"/>
  <c r="E13" i="6"/>
  <c r="E65" i="39" s="1"/>
  <c r="E10" i="6"/>
  <c r="O12" i="1"/>
  <c r="AP7" i="1"/>
  <c r="G13" i="1"/>
  <c r="E52" i="37"/>
  <c r="D46" i="36"/>
  <c r="E48" i="35"/>
  <c r="H70" i="46"/>
  <c r="F107" i="46"/>
  <c r="H73" i="46"/>
  <c r="H50" i="46"/>
  <c r="H48" i="46"/>
  <c r="F35" i="46"/>
  <c r="I17" i="46"/>
  <c r="I101" i="46"/>
  <c r="M101" i="46"/>
  <c r="N101" i="46"/>
  <c r="N105" i="46" s="1"/>
  <c r="AC11" i="46"/>
  <c r="AC13" i="46" s="1"/>
  <c r="AD11" i="46"/>
  <c r="AJ11" i="46"/>
  <c r="AJ13" i="46" s="1"/>
  <c r="D100" i="46"/>
  <c r="F104" i="46"/>
  <c r="F109" i="46"/>
  <c r="AF12" i="46"/>
  <c r="K100" i="46"/>
  <c r="AB12" i="46"/>
  <c r="AJ12" i="46"/>
  <c r="F102" i="46"/>
  <c r="F105" i="46"/>
  <c r="F103" i="46"/>
  <c r="C101" i="46"/>
  <c r="C103" i="46" s="1"/>
  <c r="G101" i="46"/>
  <c r="J101" i="46"/>
  <c r="J106" i="46" s="1"/>
  <c r="B113" i="46"/>
  <c r="N104" i="45"/>
  <c r="L101" i="46"/>
  <c r="F22" i="46"/>
  <c r="E101" i="46"/>
  <c r="Z7" i="46"/>
  <c r="K101" i="46"/>
  <c r="E22" i="46"/>
  <c r="AG11" i="46"/>
  <c r="AG13" i="46" s="1"/>
  <c r="Z11" i="46"/>
  <c r="Z13" i="46" s="1"/>
  <c r="AH11" i="46"/>
  <c r="AH13" i="46" s="1"/>
  <c r="AA11" i="46"/>
  <c r="AA13" i="46" s="1"/>
  <c r="AI11" i="46"/>
  <c r="AI13" i="46" s="1"/>
  <c r="AF11" i="46"/>
  <c r="AF13" i="46" s="1"/>
  <c r="AE11" i="46"/>
  <c r="AE13" i="46" s="1"/>
  <c r="H74" i="46"/>
  <c r="AB11" i="46"/>
  <c r="AB13" i="46" s="1"/>
  <c r="H75" i="46"/>
  <c r="H103" i="46"/>
  <c r="I106" i="46"/>
  <c r="H72" i="46"/>
  <c r="H69" i="46"/>
  <c r="H77" i="46"/>
  <c r="H76" i="46"/>
  <c r="H55" i="46"/>
  <c r="H54" i="46"/>
  <c r="H52" i="46"/>
  <c r="H47" i="46"/>
  <c r="AD12" i="46"/>
  <c r="AH12" i="46"/>
  <c r="E65" i="40"/>
  <c r="D67" i="40"/>
  <c r="E70" i="39"/>
  <c r="D72" i="39"/>
  <c r="D107" i="46"/>
  <c r="M104" i="46"/>
  <c r="H107" i="46"/>
  <c r="H105" i="46"/>
  <c r="H109" i="46"/>
  <c r="D103" i="46"/>
  <c r="D102" i="46"/>
  <c r="H104" i="46"/>
  <c r="H106" i="46"/>
  <c r="D105" i="46"/>
  <c r="D109" i="46"/>
  <c r="D104" i="46"/>
  <c r="F48" i="35"/>
  <c r="E46" i="36"/>
  <c r="F52" i="37"/>
  <c r="G52" i="37" s="1"/>
  <c r="H52" i="37" s="1"/>
  <c r="I104" i="46"/>
  <c r="N104" i="46"/>
  <c r="N107" i="46"/>
  <c r="AD13" i="46"/>
  <c r="I103" i="46"/>
  <c r="N109" i="46"/>
  <c r="N106" i="46"/>
  <c r="N103" i="46"/>
  <c r="N102" i="46"/>
  <c r="I105" i="46"/>
  <c r="I107" i="46"/>
  <c r="K103" i="46"/>
  <c r="K105" i="46"/>
  <c r="E103" i="46"/>
  <c r="L105" i="46"/>
  <c r="C23" i="46"/>
  <c r="I115" i="46"/>
  <c r="J115" i="46" s="1"/>
  <c r="K115" i="46" s="1"/>
  <c r="L115" i="46" s="1"/>
  <c r="M115" i="46" s="1"/>
  <c r="B116" i="46"/>
  <c r="C116" i="46" s="1"/>
  <c r="G118" i="46"/>
  <c r="H118" i="46" s="1"/>
  <c r="B118" i="46"/>
  <c r="C118" i="46" s="1"/>
  <c r="G102" i="46"/>
  <c r="G109" i="46"/>
  <c r="J102" i="46"/>
  <c r="C104" i="46"/>
  <c r="E109" i="46"/>
  <c r="F70" i="39"/>
  <c r="E72" i="39"/>
  <c r="F65" i="40"/>
  <c r="E67" i="40"/>
  <c r="G48" i="35"/>
  <c r="F46" i="36"/>
  <c r="G46" i="36"/>
  <c r="H46" i="36" s="1"/>
  <c r="I46" i="36" s="1"/>
  <c r="F67" i="40"/>
  <c r="G65" i="40"/>
  <c r="F72" i="39"/>
  <c r="G70" i="39"/>
  <c r="H48" i="35"/>
  <c r="H70" i="39"/>
  <c r="G72" i="39"/>
  <c r="H65" i="40"/>
  <c r="G67" i="40"/>
  <c r="I52" i="37"/>
  <c r="J52" i="37" s="1"/>
  <c r="I48" i="35"/>
  <c r="H67" i="40"/>
  <c r="I65" i="40"/>
  <c r="I70" i="39"/>
  <c r="I72" i="39" s="1"/>
  <c r="H72" i="39"/>
  <c r="J48" i="35"/>
  <c r="J65" i="40"/>
  <c r="I67" i="40"/>
  <c r="J70" i="39"/>
  <c r="J72" i="39" s="1"/>
  <c r="K48" i="35"/>
  <c r="L48" i="35" s="1"/>
  <c r="K70" i="39"/>
  <c r="K65" i="40"/>
  <c r="J67" i="40"/>
  <c r="L70" i="39"/>
  <c r="K72" i="39"/>
  <c r="K67" i="40"/>
  <c r="L65" i="40"/>
  <c r="M65" i="40"/>
  <c r="L67" i="40"/>
  <c r="L72" i="39"/>
  <c r="M70" i="39"/>
  <c r="N70" i="39"/>
  <c r="N72" i="39"/>
  <c r="M72" i="39"/>
  <c r="N65" i="40"/>
  <c r="N67" i="40"/>
  <c r="M67" i="40"/>
  <c r="F9" i="40"/>
  <c r="S9" i="40" s="1"/>
  <c r="J9" i="40"/>
  <c r="AC9" i="40" s="1"/>
  <c r="V44" i="40" s="1"/>
  <c r="I44" i="40" s="1"/>
  <c r="H9" i="40"/>
  <c r="AB9" i="40" s="1"/>
  <c r="T44" i="40" s="1"/>
  <c r="G44" i="40" s="1"/>
  <c r="M23" i="15"/>
  <c r="B11" i="67"/>
  <c r="B14" i="67"/>
  <c r="D21" i="12"/>
  <c r="I5" i="65"/>
  <c r="M10" i="44"/>
  <c r="M28" i="15"/>
  <c r="N5" i="65"/>
  <c r="B9" i="67"/>
  <c r="M24" i="15"/>
  <c r="F28" i="44"/>
  <c r="F43" i="15"/>
  <c r="I4" i="65"/>
  <c r="F38" i="44"/>
  <c r="B8" i="67"/>
  <c r="M30" i="44"/>
  <c r="F9" i="67"/>
  <c r="F13" i="15"/>
  <c r="F9" i="15"/>
  <c r="I6" i="65"/>
  <c r="F11" i="44"/>
  <c r="J3" i="65"/>
  <c r="C19" i="44"/>
  <c r="M11" i="44"/>
  <c r="F18" i="44"/>
  <c r="E13" i="67"/>
  <c r="L48" i="15"/>
  <c r="B12" i="67"/>
  <c r="F38" i="15"/>
  <c r="B10" i="67"/>
  <c r="N4" i="65"/>
  <c r="J17" i="44"/>
  <c r="F35" i="15"/>
  <c r="J4" i="65"/>
  <c r="M8" i="44"/>
  <c r="F16" i="15"/>
  <c r="M27" i="15"/>
  <c r="F33" i="12"/>
  <c r="E11" i="67"/>
  <c r="N3" i="65"/>
  <c r="F11" i="67"/>
  <c r="N7" i="65"/>
  <c r="M29" i="15"/>
  <c r="E14" i="67"/>
  <c r="M28" i="44"/>
  <c r="D20" i="9"/>
  <c r="J7" i="65"/>
  <c r="E9" i="67"/>
  <c r="F37" i="15"/>
  <c r="J15" i="15"/>
  <c r="F8" i="67"/>
  <c r="F37" i="44"/>
  <c r="J6" i="65"/>
  <c r="M6" i="15"/>
  <c r="F10" i="44"/>
  <c r="F43" i="44"/>
  <c r="F14" i="67"/>
  <c r="C19" i="9"/>
  <c r="F8" i="15"/>
  <c r="D21" i="9"/>
  <c r="M22" i="15"/>
  <c r="M8" i="15"/>
  <c r="F13" i="67"/>
  <c r="E12" i="67"/>
  <c r="F10" i="67"/>
  <c r="F9" i="44"/>
  <c r="F6" i="15"/>
  <c r="F39" i="44"/>
  <c r="F40" i="44"/>
  <c r="F15" i="44"/>
  <c r="C20" i="9"/>
  <c r="L48" i="44"/>
  <c r="F36" i="15"/>
  <c r="I7" i="65"/>
  <c r="C21" i="9"/>
  <c r="L49" i="44"/>
  <c r="F42" i="15"/>
  <c r="E10" i="67"/>
  <c r="M31" i="44"/>
  <c r="M21" i="15"/>
  <c r="J5" i="65"/>
  <c r="D19" i="9"/>
  <c r="M26" i="15"/>
  <c r="B13" i="67"/>
  <c r="M26" i="44"/>
  <c r="M25" i="44"/>
  <c r="M9" i="15"/>
  <c r="J36" i="15"/>
  <c r="F40" i="15"/>
  <c r="M23" i="44"/>
  <c r="L47" i="15"/>
  <c r="M24" i="44"/>
  <c r="F7" i="15"/>
  <c r="F12" i="67"/>
  <c r="F45" i="44"/>
  <c r="F41" i="15"/>
  <c r="E8" i="67"/>
  <c r="F26" i="15"/>
  <c r="I3" i="65"/>
  <c r="N6" i="65"/>
  <c r="B3" i="69" l="1"/>
  <c r="B2" i="69" s="1"/>
  <c r="U6" i="1"/>
  <c r="D25" i="59"/>
  <c r="C26" i="59"/>
  <c r="D41" i="59"/>
  <c r="C42" i="59"/>
  <c r="V15" i="59"/>
  <c r="F14" i="59"/>
  <c r="F13" i="59" s="1"/>
  <c r="F12" i="59" s="1"/>
  <c r="F11" i="59" s="1"/>
  <c r="D35" i="59"/>
  <c r="T35" i="59"/>
  <c r="C38" i="59"/>
  <c r="D38" i="59" s="1"/>
  <c r="D37" i="59"/>
  <c r="C47" i="59"/>
  <c r="D46" i="59"/>
  <c r="D50" i="59"/>
  <c r="C51" i="59"/>
  <c r="N57" i="59"/>
  <c r="E22" i="59"/>
  <c r="E23" i="59" s="1"/>
  <c r="U23" i="59" s="1"/>
  <c r="AA3" i="59"/>
  <c r="X20" i="59"/>
  <c r="B25" i="59"/>
  <c r="B26" i="59" s="1"/>
  <c r="B27" i="59" s="1"/>
  <c r="S27" i="59" s="1"/>
  <c r="X25" i="59"/>
  <c r="X26" i="59"/>
  <c r="X27" i="59"/>
  <c r="B29" i="59"/>
  <c r="B30" i="59" s="1"/>
  <c r="B31" i="59" s="1"/>
  <c r="S31" i="59" s="1"/>
  <c r="B46" i="59"/>
  <c r="B47" i="59" s="1"/>
  <c r="S47" i="59" s="1"/>
  <c r="S15" i="59"/>
  <c r="Y6" i="59"/>
  <c r="Z6" i="59" s="1"/>
  <c r="AB6" i="59"/>
  <c r="C12" i="59"/>
  <c r="X6" i="59"/>
  <c r="AA6" i="59"/>
  <c r="B10" i="59"/>
  <c r="B9" i="59" s="1"/>
  <c r="B8" i="59" s="1"/>
  <c r="B7" i="59" s="1"/>
  <c r="B6" i="59" s="1"/>
  <c r="S11" i="59"/>
  <c r="F10" i="59"/>
  <c r="F9" i="59" s="1"/>
  <c r="F8" i="59" s="1"/>
  <c r="F7" i="59" s="1"/>
  <c r="F6" i="59" s="1"/>
  <c r="V11" i="59"/>
  <c r="T55" i="59"/>
  <c r="D55" i="59"/>
  <c r="T47" i="59"/>
  <c r="D47" i="59"/>
  <c r="C30" i="59"/>
  <c r="Y3" i="59"/>
  <c r="Z3" i="59" s="1"/>
  <c r="X3" i="59"/>
  <c r="B21" i="59"/>
  <c r="B22" i="59" s="1"/>
  <c r="B23" i="59" s="1"/>
  <c r="S23" i="59" s="1"/>
  <c r="C21" i="59"/>
  <c r="AA20" i="59"/>
  <c r="AB20" i="59"/>
  <c r="Y21" i="59"/>
  <c r="Z21" i="59" s="1"/>
  <c r="AB21" i="59"/>
  <c r="Y22" i="59"/>
  <c r="Z22" i="59" s="1"/>
  <c r="AB22" i="59"/>
  <c r="Y23" i="59"/>
  <c r="Z23" i="59" s="1"/>
  <c r="AB23" i="59"/>
  <c r="Y24" i="59"/>
  <c r="Z24" i="59" s="1"/>
  <c r="E25" i="59"/>
  <c r="E26" i="59" s="1"/>
  <c r="E27" i="59" s="1"/>
  <c r="U27" i="59" s="1"/>
  <c r="F25" i="59"/>
  <c r="F26" i="59" s="1"/>
  <c r="F27" i="59" s="1"/>
  <c r="V27" i="59" s="1"/>
  <c r="AA28" i="59"/>
  <c r="E29" i="59"/>
  <c r="E30" i="59" s="1"/>
  <c r="E31" i="59" s="1"/>
  <c r="U31" i="59" s="1"/>
  <c r="AB28" i="59"/>
  <c r="F29" i="59"/>
  <c r="F30" i="59" s="1"/>
  <c r="F31" i="59" s="1"/>
  <c r="V31" i="59" s="1"/>
  <c r="Y28" i="59"/>
  <c r="Z28" i="59" s="1"/>
  <c r="Q56" i="59"/>
  <c r="Y19" i="59"/>
  <c r="Z19" i="59" s="1"/>
  <c r="C19" i="59"/>
  <c r="AB19" i="59"/>
  <c r="F19" i="59"/>
  <c r="T15" i="59"/>
  <c r="X17" i="59"/>
  <c r="AA18" i="59"/>
  <c r="X18" i="59"/>
  <c r="AB17" i="59"/>
  <c r="Y16" i="59"/>
  <c r="Z16" i="59" s="1"/>
  <c r="AB16" i="59"/>
  <c r="X15" i="59"/>
  <c r="AA15" i="59"/>
  <c r="X14" i="59"/>
  <c r="AA14" i="59"/>
  <c r="X13" i="59"/>
  <c r="Y13" i="59"/>
  <c r="Z13" i="59" s="1"/>
  <c r="AA13" i="59"/>
  <c r="AB13" i="59"/>
  <c r="Y11" i="59"/>
  <c r="Z11" i="59" s="1"/>
  <c r="AB11" i="59"/>
  <c r="X8" i="59"/>
  <c r="Y9" i="59"/>
  <c r="Z9" i="59" s="1"/>
  <c r="AA9" i="59"/>
  <c r="Y7" i="59"/>
  <c r="Z7" i="59" s="1"/>
  <c r="AA8" i="59"/>
  <c r="X19" i="59"/>
  <c r="B19" i="59"/>
  <c r="AA19" i="59"/>
  <c r="E19" i="59"/>
  <c r="AA17" i="59"/>
  <c r="AB18" i="59"/>
  <c r="Y18" i="59"/>
  <c r="Z18" i="59" s="1"/>
  <c r="Y17" i="59"/>
  <c r="Z17" i="59" s="1"/>
  <c r="AA16" i="59"/>
  <c r="X16" i="59"/>
  <c r="Y15" i="59"/>
  <c r="Z15" i="59" s="1"/>
  <c r="AB15" i="59"/>
  <c r="Y14" i="59"/>
  <c r="Z14" i="59" s="1"/>
  <c r="AB14" i="59"/>
  <c r="X12" i="59"/>
  <c r="Y12" i="59"/>
  <c r="Z12" i="59" s="1"/>
  <c r="AA12" i="59"/>
  <c r="AB12" i="59"/>
  <c r="X11" i="59"/>
  <c r="AA11" i="59"/>
  <c r="X9" i="59"/>
  <c r="Y8" i="59"/>
  <c r="Z8" i="59" s="1"/>
  <c r="AA10" i="59"/>
  <c r="AB9" i="59"/>
  <c r="X7" i="59"/>
  <c r="AB8" i="59"/>
  <c r="AB10" i="59"/>
  <c r="X10" i="59"/>
  <c r="Y10" i="59"/>
  <c r="Z10" i="59" s="1"/>
  <c r="B5" i="59"/>
  <c r="S7" i="59"/>
  <c r="AB7" i="59"/>
  <c r="AB5" i="59"/>
  <c r="X5" i="59"/>
  <c r="F5" i="59"/>
  <c r="V7" i="59"/>
  <c r="AA5" i="59"/>
  <c r="Y5" i="59"/>
  <c r="Z5" i="59" s="1"/>
  <c r="F124" i="34"/>
  <c r="J43" i="34"/>
  <c r="AA44" i="34"/>
  <c r="S38" i="34"/>
  <c r="W37" i="34"/>
  <c r="W36" i="34"/>
  <c r="AB35" i="34"/>
  <c r="S45" i="34"/>
  <c r="AC45" i="34"/>
  <c r="AB45" i="34"/>
  <c r="S39" i="34"/>
  <c r="AB39" i="34"/>
  <c r="AB38" i="34"/>
  <c r="AA36" i="34"/>
  <c r="W25" i="34"/>
  <c r="AB25" i="34"/>
  <c r="AA25" i="34"/>
  <c r="W23" i="34"/>
  <c r="AB23" i="34"/>
  <c r="F21" i="34"/>
  <c r="AA21" i="34" s="1"/>
  <c r="F82" i="34"/>
  <c r="G82" i="34" s="1"/>
  <c r="F19" i="34"/>
  <c r="H19" i="34"/>
  <c r="J19" i="34"/>
  <c r="AC19" i="34" s="1"/>
  <c r="W19" i="34"/>
  <c r="S17" i="34"/>
  <c r="W17" i="34"/>
  <c r="U17" i="34"/>
  <c r="U15" i="34"/>
  <c r="AC15" i="34"/>
  <c r="AC12" i="34"/>
  <c r="W12" i="34"/>
  <c r="S14" i="34"/>
  <c r="AA14" i="34"/>
  <c r="AC14" i="34"/>
  <c r="F12" i="34"/>
  <c r="AC11" i="34"/>
  <c r="U11" i="34"/>
  <c r="W10" i="34"/>
  <c r="S10" i="34"/>
  <c r="S9" i="34"/>
  <c r="U9" i="34"/>
  <c r="W9" i="34"/>
  <c r="W8" i="34"/>
  <c r="G17" i="46"/>
  <c r="C16" i="46" s="1"/>
  <c r="E10" i="46"/>
  <c r="E11" i="46"/>
  <c r="E9" i="46"/>
  <c r="E8" i="46"/>
  <c r="D22" i="46"/>
  <c r="C21" i="46" s="1"/>
  <c r="H61" i="46"/>
  <c r="H64" i="46"/>
  <c r="H59" i="46"/>
  <c r="H65" i="46"/>
  <c r="H58" i="46"/>
  <c r="H63" i="46"/>
  <c r="H66" i="46"/>
  <c r="H62" i="46"/>
  <c r="H60" i="46"/>
  <c r="C21" i="12"/>
  <c r="C34" i="12"/>
  <c r="D33" i="12" s="1"/>
  <c r="F28" i="15"/>
  <c r="F30" i="44"/>
  <c r="M20" i="44"/>
  <c r="F70" i="9"/>
  <c r="F32" i="15"/>
  <c r="F59" i="15" s="1"/>
  <c r="F72" i="9"/>
  <c r="F66" i="9"/>
  <c r="P72" i="9" s="1"/>
  <c r="J109" i="46"/>
  <c r="C106" i="46"/>
  <c r="J103" i="46"/>
  <c r="J107" i="46"/>
  <c r="I102" i="46"/>
  <c r="I109" i="46"/>
  <c r="G30" i="6"/>
  <c r="G31" i="6" s="1"/>
  <c r="E28" i="6"/>
  <c r="M107" i="46"/>
  <c r="M103" i="46"/>
  <c r="M109" i="46"/>
  <c r="M106" i="46"/>
  <c r="M102" i="46"/>
  <c r="M105" i="46"/>
  <c r="E15" i="6"/>
  <c r="E12" i="6"/>
  <c r="E11" i="6"/>
  <c r="AY6" i="3"/>
  <c r="D12" i="11"/>
  <c r="C12" i="11" s="1"/>
  <c r="J105" i="46"/>
  <c r="J104" i="46"/>
  <c r="AY530" i="3"/>
  <c r="AY87" i="3"/>
  <c r="AY97" i="3"/>
  <c r="AY109" i="3"/>
  <c r="AY198" i="3"/>
  <c r="AY142" i="3"/>
  <c r="AY77" i="3"/>
  <c r="AY537" i="3"/>
  <c r="AY73" i="3"/>
  <c r="AY144" i="3"/>
  <c r="AY57" i="3"/>
  <c r="AY136" i="3"/>
  <c r="AY262" i="3"/>
  <c r="AY232" i="3"/>
  <c r="AY349" i="3"/>
  <c r="AY448" i="3"/>
  <c r="AY397" i="3"/>
  <c r="AY49" i="3"/>
  <c r="AY149" i="3"/>
  <c r="AY381" i="3"/>
  <c r="AY379" i="3"/>
  <c r="AY326" i="3"/>
  <c r="AY463" i="3"/>
  <c r="AY178" i="3"/>
  <c r="AY135" i="3"/>
  <c r="AY294" i="3"/>
  <c r="AY372" i="3"/>
  <c r="AY550" i="3"/>
  <c r="AY62" i="3"/>
  <c r="AY269" i="3"/>
  <c r="AY376" i="3"/>
  <c r="AY389" i="3"/>
  <c r="AY155" i="3"/>
  <c r="AY302" i="3"/>
  <c r="AY450" i="3"/>
  <c r="AY122" i="3"/>
  <c r="AY307" i="3"/>
  <c r="AY457" i="3"/>
  <c r="AY412" i="3"/>
  <c r="AY188" i="3"/>
  <c r="AY442" i="3"/>
  <c r="AY143" i="3"/>
  <c r="AY43" i="3"/>
  <c r="AY157" i="3"/>
  <c r="AY572"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549" i="3"/>
  <c r="AY88" i="3"/>
  <c r="AY129" i="3"/>
  <c r="AY104" i="3"/>
  <c r="AY74" i="3"/>
  <c r="AY106" i="3"/>
  <c r="AY291" i="3"/>
  <c r="AY361" i="3"/>
  <c r="AY422" i="3"/>
  <c r="AY146" i="3"/>
  <c r="AY324" i="3"/>
  <c r="AY39" i="3"/>
  <c r="AY258" i="3"/>
  <c r="AY315" i="3"/>
  <c r="AY168" i="3"/>
  <c r="AY464" i="3"/>
  <c r="AY295" i="3"/>
  <c r="AY194" i="3"/>
  <c r="AY16" i="3"/>
  <c r="AY278" i="3"/>
  <c r="AY336" i="3"/>
  <c r="AY253" i="3"/>
  <c r="AY352" i="3"/>
  <c r="AY35" i="3"/>
  <c r="AY124" i="3"/>
  <c r="AY525" i="3"/>
  <c r="AY21" i="3"/>
  <c r="AY92" i="3"/>
  <c r="AY293" i="3"/>
  <c r="AY386" i="3"/>
  <c r="AY411" i="3"/>
  <c r="AY187" i="3"/>
  <c r="AY271" i="3"/>
  <c r="AY445" i="3"/>
  <c r="AY200" i="3"/>
  <c r="AY335" i="3"/>
  <c r="AY558" i="3"/>
  <c r="AY111" i="3"/>
  <c r="AY120" i="3"/>
  <c r="AY224" i="3"/>
  <c r="AY424" i="3"/>
  <c r="AY85" i="3"/>
  <c r="AY266" i="3"/>
  <c r="AY369" i="3"/>
  <c r="AY156" i="3"/>
  <c r="AY229" i="3"/>
  <c r="AY14" i="3"/>
  <c r="AY430" i="3"/>
  <c r="AY378" i="3"/>
  <c r="AY314" i="3"/>
  <c r="AY193" i="3"/>
  <c r="AY320" i="3"/>
  <c r="AY27" i="3"/>
  <c r="AY268" i="3"/>
  <c r="BN6" i="3"/>
  <c r="AY207" i="3"/>
  <c r="BD6" i="3"/>
  <c r="AY510" i="3"/>
  <c r="BL6" i="3"/>
  <c r="AY154" i="3"/>
  <c r="AY160" i="3"/>
  <c r="AY75" i="3"/>
  <c r="AY145" i="3"/>
  <c r="AY259" i="3"/>
  <c r="AY248" i="3"/>
  <c r="AY368" i="3"/>
  <c r="AY472" i="3"/>
  <c r="AY409" i="3"/>
  <c r="AY96" i="3"/>
  <c r="AY171" i="3"/>
  <c r="AY233" i="3"/>
  <c r="AY365" i="3"/>
  <c r="AY329" i="3"/>
  <c r="AY471" i="3"/>
  <c r="AY131" i="3"/>
  <c r="AY138" i="3"/>
  <c r="AY206" i="3"/>
  <c r="AY316" i="3"/>
  <c r="AY520" i="3"/>
  <c r="AY29" i="3"/>
  <c r="AY249" i="3"/>
  <c r="AY367" i="3"/>
  <c r="AY453" i="3"/>
  <c r="AY166" i="3"/>
  <c r="AY225" i="3"/>
  <c r="AY413" i="3"/>
  <c r="AY184" i="3"/>
  <c r="AY319" i="3"/>
  <c r="BQ6" i="3"/>
  <c r="BT6" i="3"/>
  <c r="AY151" i="3"/>
  <c r="AY323" i="3"/>
  <c r="AY360" i="3"/>
  <c r="AY370" i="3"/>
  <c r="AY531" i="3"/>
  <c r="AY38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AY506" i="3"/>
  <c r="AY71" i="3"/>
  <c r="AY108" i="3"/>
  <c r="AY190" i="3"/>
  <c r="AY240" i="3"/>
  <c r="AY440" i="3"/>
  <c r="AY60" i="3"/>
  <c r="AY235" i="3"/>
  <c r="AY475" i="3"/>
  <c r="AY195" i="3"/>
  <c r="AY40" i="3"/>
  <c r="AY401" i="3"/>
  <c r="AY281" i="3"/>
  <c r="AY495" i="3"/>
  <c r="AY322" i="3"/>
  <c r="AY267" i="3"/>
  <c r="AY395" i="3"/>
  <c r="AY363" i="3"/>
  <c r="AY189" i="3"/>
  <c r="AY545" i="3"/>
  <c r="AY393" i="3"/>
  <c r="AY339" i="3"/>
  <c r="BO6" i="3"/>
  <c r="AY433" i="3"/>
  <c r="AY490" i="3"/>
  <c r="AY547" i="3"/>
  <c r="AY210" i="3"/>
  <c r="AY455" i="3"/>
  <c r="AY297" i="3"/>
  <c r="AY213" i="3"/>
  <c r="AY468" i="3"/>
  <c r="AY502" i="3"/>
  <c r="AY377" i="3"/>
  <c r="AY110" i="3"/>
  <c r="BI6" i="3"/>
  <c r="AY298" i="3"/>
  <c r="AY164" i="3"/>
  <c r="AY403" i="3"/>
  <c r="AY469" i="3"/>
  <c r="AY514" i="3"/>
  <c r="AY177" i="3"/>
  <c r="AY69" i="3"/>
  <c r="AY529" i="3"/>
  <c r="AY98" i="3"/>
  <c r="AY383" i="3"/>
  <c r="AY170" i="3"/>
  <c r="AY476" i="3"/>
  <c r="AY366" i="3"/>
  <c r="AY256" i="3"/>
  <c r="AY342" i="3"/>
  <c r="AY438" i="3"/>
  <c r="AY201" i="3"/>
  <c r="AY330" i="3"/>
  <c r="AY449" i="3"/>
  <c r="AY191" i="3"/>
  <c r="AY275" i="3"/>
  <c r="AY414" i="3"/>
  <c r="AY304" i="3"/>
  <c r="AY22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220" i="3"/>
  <c r="BR6" i="3"/>
  <c r="AY497" i="3"/>
  <c r="AY285" i="3"/>
  <c r="AY404" i="3"/>
  <c r="AY327" i="3"/>
  <c r="AY567" i="3"/>
  <c r="AY538" i="3"/>
  <c r="AY534" i="3"/>
  <c r="AY557" i="3"/>
  <c r="AY478" i="3"/>
  <c r="AY418" i="3"/>
  <c r="AY434" i="3"/>
  <c r="AY289" i="3"/>
  <c r="AY93" i="3"/>
  <c r="AY130" i="3"/>
  <c r="AY334" i="3"/>
  <c r="AY331" i="3"/>
  <c r="AY270" i="3"/>
  <c r="AY487" i="3"/>
  <c r="AY571" i="3"/>
  <c r="AY509" i="3"/>
  <c r="D16" i="43"/>
  <c r="C16" i="43" s="1"/>
  <c r="L38" i="9"/>
  <c r="B14" i="66" s="1"/>
  <c r="B1" i="66" s="1"/>
  <c r="D44" i="9"/>
  <c r="C21" i="4"/>
  <c r="O5" i="54" s="1"/>
  <c r="B45" i="63" s="1"/>
  <c r="H6" i="3"/>
  <c r="E6" i="3" s="1"/>
  <c r="D3" i="6"/>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101" i="3"/>
  <c r="AY132" i="3"/>
  <c r="AY272" i="3"/>
  <c r="AY382" i="3"/>
  <c r="AY305" i="3"/>
  <c r="AY420" i="3"/>
  <c r="AY405" i="3"/>
  <c r="AY555" i="3"/>
  <c r="AY429" i="3"/>
  <c r="D13" i="6"/>
  <c r="E60" i="40"/>
  <c r="E6" i="6"/>
  <c r="K107" i="46"/>
  <c r="K102" i="46"/>
  <c r="K104" i="46"/>
  <c r="K109" i="46"/>
  <c r="E104" i="46"/>
  <c r="E105" i="46"/>
  <c r="E102" i="46"/>
  <c r="L102" i="46"/>
  <c r="L104" i="46"/>
  <c r="L109" i="46"/>
  <c r="L107" i="46"/>
  <c r="I116" i="46"/>
  <c r="J116" i="46" s="1"/>
  <c r="K116" i="46" s="1"/>
  <c r="L116" i="46" s="1"/>
  <c r="M116" i="46" s="1"/>
  <c r="I118" i="46"/>
  <c r="J118" i="46" s="1"/>
  <c r="K118" i="46" s="1"/>
  <c r="L118" i="46" s="1"/>
  <c r="M118" i="46" s="1"/>
  <c r="D116" i="46"/>
  <c r="E116" i="46" s="1"/>
  <c r="F116" i="46" s="1"/>
  <c r="G116" i="46" s="1"/>
  <c r="H116" i="46" s="1"/>
  <c r="D118" i="46"/>
  <c r="E118" i="46" s="1"/>
  <c r="F118" i="46" s="1"/>
  <c r="I117" i="46"/>
  <c r="J117" i="46" s="1"/>
  <c r="K117" i="46" s="1"/>
  <c r="L117" i="46" s="1"/>
  <c r="M117" i="46" s="1"/>
  <c r="G106" i="46"/>
  <c r="G104" i="46"/>
  <c r="G107" i="46"/>
  <c r="E16" i="6"/>
  <c r="D10" i="6"/>
  <c r="E66" i="39"/>
  <c r="D14" i="6"/>
  <c r="P9" i="1"/>
  <c r="P13" i="1"/>
  <c r="G105" i="46"/>
  <c r="G103" i="46"/>
  <c r="B117" i="46"/>
  <c r="C117" i="46" s="1"/>
  <c r="D115" i="46"/>
  <c r="E115" i="46" s="1"/>
  <c r="F115" i="46" s="1"/>
  <c r="G115" i="46" s="1"/>
  <c r="H115" i="46" s="1"/>
  <c r="D117" i="46"/>
  <c r="E117" i="46" s="1"/>
  <c r="F117" i="46" s="1"/>
  <c r="G117" i="46" s="1"/>
  <c r="H117" i="46" s="1"/>
  <c r="B115" i="46"/>
  <c r="L103" i="46"/>
  <c r="L106" i="46"/>
  <c r="E107" i="46"/>
  <c r="E106" i="46"/>
  <c r="K106" i="46"/>
  <c r="E61" i="40"/>
  <c r="C109" i="46"/>
  <c r="C107" i="46"/>
  <c r="C102" i="46"/>
  <c r="C105" i="46"/>
  <c r="P7" i="1"/>
  <c r="P11" i="1"/>
  <c r="P12" i="1"/>
  <c r="F24" i="43"/>
  <c r="C26" i="43" s="1"/>
  <c r="D24" i="43" s="1"/>
  <c r="F18" i="11"/>
  <c r="C18" i="11" s="1"/>
  <c r="C5" i="46"/>
  <c r="D5" i="46"/>
  <c r="G6" i="1"/>
  <c r="G16" i="1" s="1"/>
  <c r="F12" i="39" s="1"/>
  <c r="AP16" i="1"/>
  <c r="F22" i="11" s="1"/>
  <c r="K17" i="4"/>
  <c r="A22" i="51" s="1"/>
  <c r="B16" i="63" s="1"/>
  <c r="M48" i="35"/>
  <c r="N48" i="35" s="1"/>
  <c r="O48" i="35" s="1"/>
  <c r="F7" i="35"/>
  <c r="H7" i="35"/>
  <c r="F9" i="39"/>
  <c r="S9" i="39" s="1"/>
  <c r="H9" i="39"/>
  <c r="U9" i="39" s="1"/>
  <c r="J9" i="39"/>
  <c r="W9" i="39" s="1"/>
  <c r="K52" i="37"/>
  <c r="J46" i="36"/>
  <c r="K46" i="36" s="1"/>
  <c r="L46" i="36" s="1"/>
  <c r="M46" i="36" s="1"/>
  <c r="N46" i="36" s="1"/>
  <c r="O46" i="36" s="1"/>
  <c r="J7" i="36"/>
  <c r="H7" i="36"/>
  <c r="J7" i="35"/>
  <c r="J12" i="40"/>
  <c r="G58" i="33"/>
  <c r="H58" i="33" s="1"/>
  <c r="I58" i="33" s="1"/>
  <c r="J58" i="33" s="1"/>
  <c r="K58" i="33" s="1"/>
  <c r="L58" i="33" s="1"/>
  <c r="M58" i="33" s="1"/>
  <c r="N58" i="33" s="1"/>
  <c r="O58" i="33" s="1"/>
  <c r="F58" i="21"/>
  <c r="G58" i="21" s="1"/>
  <c r="H58" i="21" s="1"/>
  <c r="I58" i="21" s="1"/>
  <c r="J58" i="21" s="1"/>
  <c r="K58" i="21" s="1"/>
  <c r="L58" i="21" s="1"/>
  <c r="M58" i="21" s="1"/>
  <c r="N58" i="21" s="1"/>
  <c r="O58" i="21" s="1"/>
  <c r="H7" i="21"/>
  <c r="F7" i="21"/>
  <c r="D59" i="34"/>
  <c r="E59" i="34" s="1"/>
  <c r="F59" i="34" s="1"/>
  <c r="G59" i="34" s="1"/>
  <c r="H59" i="34" s="1"/>
  <c r="I59" i="34" s="1"/>
  <c r="J59" i="34" s="1"/>
  <c r="K59" i="34" s="1"/>
  <c r="L59" i="34" s="1"/>
  <c r="M59" i="34" s="1"/>
  <c r="N59" i="34" s="1"/>
  <c r="O59" i="34" s="1"/>
  <c r="J7" i="34"/>
  <c r="F7" i="34"/>
  <c r="H7" i="34"/>
  <c r="C27" i="43"/>
  <c r="C28" i="15"/>
  <c r="C30" i="44"/>
  <c r="C15" i="43"/>
  <c r="C31" i="43"/>
  <c r="J7" i="33"/>
  <c r="J7" i="21"/>
  <c r="C92" i="9"/>
  <c r="E46" i="9"/>
  <c r="D46" i="9"/>
  <c r="I14" i="66"/>
  <c r="B8" i="66" s="1"/>
  <c r="C8" i="66" s="1"/>
  <c r="E21" i="52"/>
  <c r="B4" i="52"/>
  <c r="E4" i="52"/>
  <c r="E13" i="52"/>
  <c r="B13" i="52"/>
  <c r="E7" i="52"/>
  <c r="E6" i="52"/>
  <c r="E10" i="52"/>
  <c r="E11" i="52"/>
  <c r="B7" i="52"/>
  <c r="E9" i="52"/>
  <c r="AB9" i="39"/>
  <c r="T49" i="39" s="1"/>
  <c r="G49" i="39" s="1"/>
  <c r="E22" i="52"/>
  <c r="E8" i="52"/>
  <c r="B9" i="52"/>
  <c r="B11" i="52"/>
  <c r="E14" i="52"/>
  <c r="B10" i="52"/>
  <c r="B8" i="52"/>
  <c r="B14" i="52"/>
  <c r="B22" i="52"/>
  <c r="AA9" i="39"/>
  <c r="R49" i="39" s="1"/>
  <c r="R50" i="39" s="1"/>
  <c r="C50" i="39" s="1"/>
  <c r="W9" i="40"/>
  <c r="AA9" i="40"/>
  <c r="R44" i="40" s="1"/>
  <c r="R45" i="40" s="1"/>
  <c r="C45" i="40" s="1"/>
  <c r="U9" i="40"/>
  <c r="E7" i="59"/>
  <c r="E6" i="59" s="1"/>
  <c r="AA7" i="59"/>
  <c r="I48" i="40"/>
  <c r="J48" i="40" s="1"/>
  <c r="P23" i="46"/>
  <c r="P24" i="46"/>
  <c r="B68" i="40" s="1"/>
  <c r="P25" i="46"/>
  <c r="B73" i="39" s="1"/>
  <c r="P21" i="46"/>
  <c r="P22" i="46"/>
  <c r="G49" i="40"/>
  <c r="H49" i="40" s="1"/>
  <c r="G48" i="40"/>
  <c r="H48" i="40" s="1"/>
  <c r="C49" i="39"/>
  <c r="G53" i="39"/>
  <c r="H53" i="39" s="1"/>
  <c r="J1" i="65"/>
  <c r="F65" i="15"/>
  <c r="M9" i="44"/>
  <c r="J8" i="44" s="1"/>
  <c r="L59" i="15"/>
  <c r="L58" i="15"/>
  <c r="L44" i="9"/>
  <c r="C34" i="15"/>
  <c r="F62" i="15"/>
  <c r="C61" i="15" s="1"/>
  <c r="J22" i="44"/>
  <c r="G21" i="9"/>
  <c r="L43" i="9"/>
  <c r="D22" i="9"/>
  <c r="G19" i="9"/>
  <c r="F50" i="15"/>
  <c r="F67" i="15"/>
  <c r="F64" i="15"/>
  <c r="Q73" i="44"/>
  <c r="G20" i="9"/>
  <c r="J57" i="15"/>
  <c r="J55" i="15" s="1"/>
  <c r="J58" i="15" s="1"/>
  <c r="Q51" i="15" s="1"/>
  <c r="L56" i="15"/>
  <c r="J53" i="15"/>
  <c r="I54" i="15"/>
  <c r="M7" i="15"/>
  <c r="F49" i="15"/>
  <c r="C29" i="44"/>
  <c r="Q72" i="15"/>
  <c r="F70" i="15"/>
  <c r="F63" i="15"/>
  <c r="C4" i="65"/>
  <c r="B39" i="1" s="1"/>
  <c r="J20" i="15"/>
  <c r="F68" i="15"/>
  <c r="J54" i="44"/>
  <c r="I55" i="44"/>
  <c r="J60" i="44"/>
  <c r="J61" i="44"/>
  <c r="Q50" i="44" s="1"/>
  <c r="L57" i="44"/>
  <c r="J58" i="44"/>
  <c r="J56" i="44" s="1"/>
  <c r="J59" i="44" s="1"/>
  <c r="Q52" i="44" s="1"/>
  <c r="C27" i="15"/>
  <c r="L59" i="44"/>
  <c r="L60" i="44"/>
  <c r="E20" i="46"/>
  <c r="I1" i="65"/>
  <c r="C36" i="44"/>
  <c r="C6" i="15"/>
  <c r="F33" i="44"/>
  <c r="M17" i="15"/>
  <c r="M19" i="44"/>
  <c r="F58" i="15"/>
  <c r="F31" i="15"/>
  <c r="E2" i="65"/>
  <c r="C16" i="15"/>
  <c r="F8" i="44"/>
  <c r="C15" i="12"/>
  <c r="C17" i="15"/>
  <c r="D16" i="12"/>
  <c r="E3" i="65"/>
  <c r="C18" i="44"/>
  <c r="C8" i="44" l="1"/>
  <c r="C34" i="44" s="1"/>
  <c r="C11" i="59"/>
  <c r="D12" i="59"/>
  <c r="D51" i="59"/>
  <c r="T51" i="59"/>
  <c r="C43" i="59"/>
  <c r="D42" i="59"/>
  <c r="C27" i="59"/>
  <c r="D26" i="59"/>
  <c r="D21" i="59"/>
  <c r="C22" i="59"/>
  <c r="D30" i="59"/>
  <c r="C31" i="59"/>
  <c r="AC9" i="39"/>
  <c r="V49" i="39" s="1"/>
  <c r="I49" i="39" s="1"/>
  <c r="I53" i="39" s="1"/>
  <c r="J53" i="39" s="1"/>
  <c r="U19" i="59"/>
  <c r="E18" i="59"/>
  <c r="E17" i="59" s="1"/>
  <c r="B18" i="59"/>
  <c r="B17" i="59" s="1"/>
  <c r="S19" i="59"/>
  <c r="V19" i="59"/>
  <c r="F18" i="59"/>
  <c r="F17" i="59" s="1"/>
  <c r="D19" i="59"/>
  <c r="T19" i="59"/>
  <c r="C18" i="59"/>
  <c r="U7" i="59"/>
  <c r="AC43" i="34"/>
  <c r="W43" i="34"/>
  <c r="F43" i="34"/>
  <c r="G124" i="34"/>
  <c r="H124" i="34" s="1"/>
  <c r="I124" i="34" s="1"/>
  <c r="J124" i="34" s="1"/>
  <c r="K124" i="34" s="1"/>
  <c r="L124" i="34" s="1"/>
  <c r="M124" i="34" s="1"/>
  <c r="H43" i="34"/>
  <c r="S21" i="34"/>
  <c r="AA19" i="34"/>
  <c r="S19" i="34"/>
  <c r="AB19" i="34"/>
  <c r="U19" i="34"/>
  <c r="S12" i="34"/>
  <c r="AA12" i="34"/>
  <c r="C7" i="46"/>
  <c r="D19" i="12"/>
  <c r="C19" i="12" s="1"/>
  <c r="C16" i="12"/>
  <c r="S2" i="46"/>
  <c r="S7" i="46"/>
  <c r="S4" i="46"/>
  <c r="S5" i="46"/>
  <c r="S3" i="46"/>
  <c r="S6" i="46"/>
  <c r="AY53" i="3"/>
  <c r="AY427" i="3"/>
  <c r="AY116" i="3"/>
  <c r="AY81" i="3"/>
  <c r="BC6" i="3"/>
  <c r="AY91" i="3"/>
  <c r="AY274" i="3"/>
  <c r="AY114" i="3"/>
  <c r="AY337" i="3"/>
  <c r="AY341" i="3"/>
  <c r="AY76" i="3"/>
  <c r="AY465" i="3"/>
  <c r="AY86" i="3"/>
  <c r="AY428" i="3"/>
  <c r="AY42" i="3"/>
  <c r="AY218" i="3"/>
  <c r="AY392" i="3"/>
  <c r="AY356" i="3"/>
  <c r="AY288" i="3"/>
  <c r="AY147" i="3"/>
  <c r="AY162" i="3"/>
  <c r="AY562" i="3"/>
  <c r="AY303" i="3"/>
  <c r="AY498" i="3"/>
  <c r="AY552" i="3"/>
  <c r="AY527" i="3"/>
  <c r="AY519" i="3"/>
  <c r="AY325" i="3"/>
  <c r="BF6" i="3"/>
  <c r="AY390" i="3"/>
  <c r="AY484" i="3"/>
  <c r="AY17" i="3"/>
  <c r="AY68" i="3"/>
  <c r="AY133" i="3"/>
  <c r="AY276" i="3"/>
  <c r="AY113" i="3"/>
  <c r="AY387" i="3"/>
  <c r="AY56" i="3"/>
  <c r="AY313" i="3"/>
  <c r="AY421" i="3"/>
  <c r="AY205" i="3"/>
  <c r="BM6" i="3"/>
  <c r="AY454" i="3"/>
  <c r="AY263" i="3"/>
  <c r="AY499" i="3"/>
  <c r="AY524" i="3"/>
  <c r="AY391" i="3"/>
  <c r="AY231" i="3"/>
  <c r="AY507" i="3"/>
  <c r="AY300" i="3"/>
  <c r="AY48" i="3"/>
  <c r="AY19" i="3"/>
  <c r="AY215" i="3"/>
  <c r="AY513" i="3"/>
  <c r="AY61" i="3"/>
  <c r="AY347" i="3"/>
  <c r="AY23" i="3"/>
  <c r="AY345" i="3"/>
  <c r="AY237" i="3"/>
  <c r="AY470" i="3"/>
  <c r="AY173" i="3"/>
  <c r="AY119" i="3"/>
  <c r="AY59" i="3"/>
  <c r="AY533" i="3"/>
  <c r="AY522" i="3"/>
  <c r="AY89" i="3"/>
  <c r="AY217" i="3"/>
  <c r="AY548" i="3"/>
  <c r="AY543" i="3"/>
  <c r="AY556" i="3"/>
  <c r="AY25" i="3"/>
  <c r="AY321" i="3"/>
  <c r="AY431" i="3"/>
  <c r="AY34" i="3"/>
  <c r="AY176" i="3"/>
  <c r="AY318" i="3"/>
  <c r="AY22" i="3"/>
  <c r="AY127" i="3"/>
  <c r="AY140" i="3"/>
  <c r="AY66" i="3"/>
  <c r="AY222" i="3"/>
  <c r="AY505" i="3"/>
  <c r="AY357" i="3"/>
  <c r="AY436" i="3"/>
  <c r="AY410" i="3"/>
  <c r="AY125" i="3"/>
  <c r="AY252" i="3"/>
  <c r="AY554" i="3"/>
  <c r="AY539" i="3"/>
  <c r="AY532" i="3"/>
  <c r="AY564" i="3"/>
  <c r="AY212" i="3"/>
  <c r="BB6" i="3"/>
  <c r="AY251" i="3"/>
  <c r="AY296" i="3"/>
  <c r="AY353" i="3"/>
  <c r="AY338" i="3"/>
  <c r="AY284" i="3"/>
  <c r="AY79" i="3"/>
  <c r="AY306" i="3"/>
  <c r="AY102" i="3"/>
  <c r="AY33" i="3"/>
  <c r="AY332" i="3"/>
  <c r="AY473" i="3"/>
  <c r="AY462" i="3"/>
  <c r="AY551" i="3"/>
  <c r="AY51" i="3"/>
  <c r="AY541" i="3"/>
  <c r="AY94" i="3"/>
  <c r="AY167" i="3"/>
  <c r="AY511" i="3"/>
  <c r="AY439" i="3"/>
  <c r="AY536" i="3"/>
  <c r="AY180" i="3"/>
  <c r="BJ6" i="3"/>
  <c r="AY477" i="3"/>
  <c r="AY517" i="3"/>
  <c r="AY292" i="3"/>
  <c r="AY535" i="3"/>
  <c r="AY452" i="3"/>
  <c r="AY523" i="3"/>
  <c r="AY26" i="3"/>
  <c r="AY214" i="3"/>
  <c r="AY279" i="3"/>
  <c r="AY13" i="3"/>
  <c r="AY38" i="3"/>
  <c r="AY197" i="3"/>
  <c r="BH6" i="3"/>
  <c r="AY526" i="3"/>
  <c r="AY309" i="3"/>
  <c r="AY44" i="3"/>
  <c r="AY561" i="3"/>
  <c r="AY406" i="3"/>
  <c r="AY407" i="3"/>
  <c r="AY461" i="3"/>
  <c r="AY186" i="3"/>
  <c r="AY540" i="3"/>
  <c r="AY563" i="3"/>
  <c r="AY84" i="3"/>
  <c r="AY192" i="3"/>
  <c r="AY512" i="3"/>
  <c r="AY362" i="3"/>
  <c r="AY260" i="3"/>
  <c r="AY423" i="3"/>
  <c r="AY228" i="3"/>
  <c r="AY18" i="3"/>
  <c r="AY566" i="3"/>
  <c r="AY488" i="3"/>
  <c r="AY568" i="3"/>
  <c r="AY451" i="3"/>
  <c r="AY54" i="3"/>
  <c r="AY460" i="3"/>
  <c r="AY312" i="3"/>
  <c r="AY444" i="3"/>
  <c r="AY134" i="3"/>
  <c r="AY419" i="3"/>
  <c r="AY261" i="3"/>
  <c r="AY243" i="3"/>
  <c r="BG6" i="3"/>
  <c r="AY426" i="3"/>
  <c r="AY196" i="3"/>
  <c r="AY373" i="3"/>
  <c r="AY165" i="3"/>
  <c r="AY301" i="3"/>
  <c r="AY570" i="3"/>
  <c r="AY466" i="3"/>
  <c r="AY255" i="3"/>
  <c r="AY496" i="3"/>
  <c r="AY521" i="3"/>
  <c r="AY474" i="3"/>
  <c r="AY354" i="3"/>
  <c r="AY482" i="3"/>
  <c r="BE6" i="3"/>
  <c r="AY441" i="3"/>
  <c r="AY121" i="3"/>
  <c r="AY491" i="3"/>
  <c r="AY508" i="3"/>
  <c r="E64" i="39"/>
  <c r="E59" i="40"/>
  <c r="K19" i="6"/>
  <c r="K26" i="6"/>
  <c r="M26" i="6" s="1"/>
  <c r="I26" i="6" s="1"/>
  <c r="K22" i="6"/>
  <c r="M22" i="6" s="1"/>
  <c r="I22" i="6" s="1"/>
  <c r="K25" i="6"/>
  <c r="M25" i="6" s="1"/>
  <c r="I25" i="6" s="1"/>
  <c r="K20" i="6"/>
  <c r="M20" i="6" s="1"/>
  <c r="I20" i="6" s="1"/>
  <c r="S20" i="6" s="1"/>
  <c r="K14" i="1"/>
  <c r="K24" i="6"/>
  <c r="M24" i="6" s="1"/>
  <c r="I24" i="6" s="1"/>
  <c r="E30" i="6"/>
  <c r="E31" i="6" s="1"/>
  <c r="K23" i="6"/>
  <c r="M23" i="6" s="1"/>
  <c r="I23" i="6" s="1"/>
  <c r="K21" i="6"/>
  <c r="M21" i="6" s="1"/>
  <c r="I21" i="6" s="1"/>
  <c r="E63" i="39"/>
  <c r="E58" i="40"/>
  <c r="E67" i="39"/>
  <c r="E62" i="40"/>
  <c r="H12" i="40"/>
  <c r="U12" i="40" s="1"/>
  <c r="C7" i="66"/>
  <c r="C6" i="66"/>
  <c r="E63" i="40"/>
  <c r="C22" i="4"/>
  <c r="D21" i="6"/>
  <c r="D23" i="6"/>
  <c r="D20" i="6"/>
  <c r="E45" i="9"/>
  <c r="F44" i="9"/>
  <c r="K38" i="9"/>
  <c r="C14" i="66" s="1"/>
  <c r="B2" i="66" s="1"/>
  <c r="D26" i="6"/>
  <c r="D11" i="6"/>
  <c r="D9" i="6"/>
  <c r="D29" i="6"/>
  <c r="E44" i="9"/>
  <c r="D19" i="6"/>
  <c r="D25" i="6"/>
  <c r="D28" i="6"/>
  <c r="D30" i="6" s="1"/>
  <c r="D8" i="6"/>
  <c r="D16" i="6" s="1"/>
  <c r="F45" i="9"/>
  <c r="E68" i="39"/>
  <c r="D24" i="6"/>
  <c r="D22" i="6"/>
  <c r="D12" i="6"/>
  <c r="D5" i="6"/>
  <c r="D15" i="6"/>
  <c r="F46" i="9"/>
  <c r="D6" i="6"/>
  <c r="D13" i="11"/>
  <c r="C13" i="11" s="1"/>
  <c r="C115" i="46"/>
  <c r="D113" i="46" s="1"/>
  <c r="F12" i="40"/>
  <c r="AA12" i="40" s="1"/>
  <c r="J12" i="39"/>
  <c r="W12" i="39" s="1"/>
  <c r="H12" i="39"/>
  <c r="AB12" i="39" s="1"/>
  <c r="E44" i="40"/>
  <c r="E48" i="40" s="1"/>
  <c r="F48" i="40" s="1"/>
  <c r="AC7" i="21"/>
  <c r="V48" i="21" s="1"/>
  <c r="I48" i="21" s="1"/>
  <c r="W7" i="21"/>
  <c r="AB7" i="34"/>
  <c r="U7" i="34"/>
  <c r="W7" i="34"/>
  <c r="AC7" i="34"/>
  <c r="V49" i="34" s="1"/>
  <c r="I49" i="34" s="1"/>
  <c r="AA7" i="21"/>
  <c r="R48" i="21" s="1"/>
  <c r="S7" i="21"/>
  <c r="AA12" i="39"/>
  <c r="S12" i="39"/>
  <c r="W7" i="35"/>
  <c r="AC7" i="35"/>
  <c r="V38" i="35" s="1"/>
  <c r="I38" i="35" s="1"/>
  <c r="W7" i="36"/>
  <c r="AC7" i="36"/>
  <c r="V36" i="36" s="1"/>
  <c r="I36" i="36" s="1"/>
  <c r="AA7" i="35"/>
  <c r="R38" i="35" s="1"/>
  <c r="S7" i="35"/>
  <c r="AC7" i="33"/>
  <c r="V48" i="33" s="1"/>
  <c r="I48" i="33" s="1"/>
  <c r="W7" i="33"/>
  <c r="S7" i="34"/>
  <c r="AA7" i="34"/>
  <c r="AB7" i="21"/>
  <c r="T48" i="21" s="1"/>
  <c r="G48" i="21" s="1"/>
  <c r="U7" i="21"/>
  <c r="H7" i="33"/>
  <c r="F7" i="33"/>
  <c r="AB12" i="40"/>
  <c r="AC12" i="40"/>
  <c r="W12" i="40"/>
  <c r="U7" i="36"/>
  <c r="AB7" i="36"/>
  <c r="T36" i="36" s="1"/>
  <c r="G36" i="36" s="1"/>
  <c r="F7" i="36"/>
  <c r="L52" i="37"/>
  <c r="AB7" i="35"/>
  <c r="T38" i="35" s="1"/>
  <c r="G38" i="35" s="1"/>
  <c r="U7" i="35"/>
  <c r="E49" i="39"/>
  <c r="G54" i="39"/>
  <c r="H54" i="39" s="1"/>
  <c r="C44" i="40"/>
  <c r="E5" i="59"/>
  <c r="D8" i="66"/>
  <c r="B61" i="39"/>
  <c r="F61" i="39" s="1"/>
  <c r="B67" i="39"/>
  <c r="F67" i="39" s="1"/>
  <c r="B60" i="39"/>
  <c r="F60" i="39" s="1"/>
  <c r="B62" i="39"/>
  <c r="F62" i="39" s="1"/>
  <c r="F68" i="39"/>
  <c r="B2" i="39" s="1"/>
  <c r="B58" i="39"/>
  <c r="F58" i="39" s="1"/>
  <c r="B59" i="39"/>
  <c r="F59" i="39" s="1"/>
  <c r="B65" i="39"/>
  <c r="F65" i="39" s="1"/>
  <c r="B63" i="39"/>
  <c r="F63" i="39" s="1"/>
  <c r="B64" i="39"/>
  <c r="F64" i="39" s="1"/>
  <c r="B66" i="39"/>
  <c r="F66" i="39" s="1"/>
  <c r="B53" i="40"/>
  <c r="F53" i="40" s="1"/>
  <c r="F63" i="40"/>
  <c r="B2" i="40" s="1"/>
  <c r="B60" i="40"/>
  <c r="F60" i="40" s="1"/>
  <c r="B58" i="40"/>
  <c r="F58" i="40" s="1"/>
  <c r="B54" i="40"/>
  <c r="F54" i="40" s="1"/>
  <c r="B55" i="40"/>
  <c r="F55" i="40" s="1"/>
  <c r="B57" i="40"/>
  <c r="F57" i="40" s="1"/>
  <c r="B56" i="40"/>
  <c r="F56" i="40" s="1"/>
  <c r="B61" i="40"/>
  <c r="F61" i="40" s="1"/>
  <c r="B59" i="40"/>
  <c r="F59" i="40" s="1"/>
  <c r="B62" i="40"/>
  <c r="F62" i="40" s="1"/>
  <c r="E49" i="40"/>
  <c r="F49" i="40" s="1"/>
  <c r="B40" i="1"/>
  <c r="F17" i="11"/>
  <c r="C17" i="11" s="1"/>
  <c r="C19" i="11" s="1"/>
  <c r="O28" i="46"/>
  <c r="P28" i="46"/>
  <c r="M28" i="46"/>
  <c r="N28" i="46"/>
  <c r="G20" i="46" s="1"/>
  <c r="C32" i="15"/>
  <c r="M13" i="44"/>
  <c r="J12" i="44" s="1"/>
  <c r="J7" i="44" s="1"/>
  <c r="F11" i="15"/>
  <c r="M11" i="15"/>
  <c r="J10" i="15" s="1"/>
  <c r="F13" i="44"/>
  <c r="J6" i="15"/>
  <c r="Q62" i="44"/>
  <c r="Q75" i="44"/>
  <c r="F1" i="44"/>
  <c r="Q54" i="44"/>
  <c r="J20" i="44"/>
  <c r="Q62" i="15"/>
  <c r="Q75" i="15"/>
  <c r="G22" i="9"/>
  <c r="N43" i="9"/>
  <c r="C32" i="9"/>
  <c r="Q63" i="44"/>
  <c r="Q76" i="44"/>
  <c r="Q53" i="15"/>
  <c r="F1" i="15"/>
  <c r="C48" i="15"/>
  <c r="Q74" i="15"/>
  <c r="Q61" i="15"/>
  <c r="D22" i="12"/>
  <c r="F46" i="44"/>
  <c r="C12" i="44" l="1"/>
  <c r="C7" i="44" s="1"/>
  <c r="C40" i="44" s="1"/>
  <c r="I54" i="39"/>
  <c r="J54" i="39" s="1"/>
  <c r="D27" i="59"/>
  <c r="T27" i="59"/>
  <c r="D43" i="59"/>
  <c r="T43" i="59"/>
  <c r="C10" i="59"/>
  <c r="D11" i="59"/>
  <c r="T11" i="59"/>
  <c r="C17" i="59"/>
  <c r="D17" i="59" s="1"/>
  <c r="D18" i="59"/>
  <c r="T31" i="59"/>
  <c r="D31" i="59"/>
  <c r="M19" i="46" s="1"/>
  <c r="D22" i="59"/>
  <c r="C23" i="59"/>
  <c r="AG6" i="1"/>
  <c r="AB43" i="34"/>
  <c r="T49" i="34" s="1"/>
  <c r="G49" i="34" s="1"/>
  <c r="U43" i="34"/>
  <c r="AA43" i="34"/>
  <c r="R49" i="34" s="1"/>
  <c r="S43" i="34"/>
  <c r="E41" i="46"/>
  <c r="C41" i="46" s="1"/>
  <c r="C20" i="46"/>
  <c r="T3" i="46" s="1"/>
  <c r="V3" i="46" s="1"/>
  <c r="C22" i="12"/>
  <c r="C20" i="12" s="1"/>
  <c r="AC12" i="39"/>
  <c r="U12" i="39"/>
  <c r="S12" i="40"/>
  <c r="D27" i="6"/>
  <c r="S21" i="6"/>
  <c r="H21" i="6"/>
  <c r="R21" i="6" s="1"/>
  <c r="M14" i="1"/>
  <c r="K16" i="1"/>
  <c r="S25" i="6"/>
  <c r="H25" i="6"/>
  <c r="R25" i="6" s="1"/>
  <c r="S26" i="6"/>
  <c r="H26" i="6"/>
  <c r="R26" i="6"/>
  <c r="H23" i="6"/>
  <c r="R23" i="6" s="1"/>
  <c r="S23" i="6"/>
  <c r="S24" i="6"/>
  <c r="H24" i="6"/>
  <c r="R24" i="6" s="1"/>
  <c r="S22" i="6"/>
  <c r="H22" i="6"/>
  <c r="R22" i="6" s="1"/>
  <c r="K27" i="6"/>
  <c r="S6" i="1"/>
  <c r="S16" i="1" s="1"/>
  <c r="T9" i="1" s="1"/>
  <c r="M19" i="6"/>
  <c r="H20" i="6"/>
  <c r="R20" i="6" s="1"/>
  <c r="E54" i="39"/>
  <c r="F54" i="39" s="1"/>
  <c r="D31" i="6"/>
  <c r="D7" i="66"/>
  <c r="D6" i="66"/>
  <c r="A6" i="64"/>
  <c r="A6" i="51"/>
  <c r="B7" i="63" s="1"/>
  <c r="A20" i="64"/>
  <c r="A20" i="51"/>
  <c r="B15" i="63" s="1"/>
  <c r="N5" i="54"/>
  <c r="B43" i="63" s="1"/>
  <c r="I49" i="40"/>
  <c r="J49" i="40" s="1"/>
  <c r="E53" i="39"/>
  <c r="F53" i="39" s="1"/>
  <c r="S7" i="36"/>
  <c r="AA7" i="36"/>
  <c r="R36" i="36" s="1"/>
  <c r="U7" i="33"/>
  <c r="AB7" i="33"/>
  <c r="T48" i="33" s="1"/>
  <c r="G48" i="33" s="1"/>
  <c r="G52" i="21"/>
  <c r="H52" i="21" s="1"/>
  <c r="G53" i="21"/>
  <c r="H53" i="21" s="1"/>
  <c r="I52" i="33"/>
  <c r="J52" i="33" s="1"/>
  <c r="E38" i="35"/>
  <c r="R39" i="35"/>
  <c r="R49" i="21"/>
  <c r="E48" i="21"/>
  <c r="I53" i="21"/>
  <c r="J53" i="21" s="1"/>
  <c r="I52" i="21"/>
  <c r="J52" i="21" s="1"/>
  <c r="G42" i="35"/>
  <c r="H42" i="35" s="1"/>
  <c r="G43" i="35"/>
  <c r="H43" i="35" s="1"/>
  <c r="M52" i="37"/>
  <c r="G41" i="36"/>
  <c r="H41" i="36" s="1"/>
  <c r="G40" i="36"/>
  <c r="H40" i="36" s="1"/>
  <c r="AA7" i="33"/>
  <c r="R48" i="33" s="1"/>
  <c r="S7" i="33"/>
  <c r="I40" i="36"/>
  <c r="J40" i="36" s="1"/>
  <c r="I42" i="35"/>
  <c r="J42" i="35" s="1"/>
  <c r="I43" i="35"/>
  <c r="J43" i="35" s="1"/>
  <c r="I53" i="34"/>
  <c r="J53" i="34" s="1"/>
  <c r="B5" i="40"/>
  <c r="B3" i="40"/>
  <c r="B4" i="40"/>
  <c r="B3" i="39"/>
  <c r="B4" i="39"/>
  <c r="B5" i="39"/>
  <c r="J28" i="44"/>
  <c r="J31" i="44" s="1"/>
  <c r="J26" i="44"/>
  <c r="J5" i="15"/>
  <c r="J18" i="15"/>
  <c r="C52" i="15"/>
  <c r="C47" i="15" s="1"/>
  <c r="C10" i="15"/>
  <c r="C5" i="15" s="1"/>
  <c r="F24" i="15"/>
  <c r="C24" i="15" s="1"/>
  <c r="F26" i="44"/>
  <c r="C26" i="44" s="1"/>
  <c r="F21" i="43"/>
  <c r="F26" i="12"/>
  <c r="C20" i="11"/>
  <c r="C21" i="11" s="1"/>
  <c r="C22" i="11" s="1"/>
  <c r="C23" i="11" s="1"/>
  <c r="B2" i="11" s="1"/>
  <c r="C33" i="9"/>
  <c r="C35" i="9"/>
  <c r="F42" i="9" s="1"/>
  <c r="O43" i="9"/>
  <c r="C34" i="9"/>
  <c r="O38" i="9"/>
  <c r="C42" i="9"/>
  <c r="M29" i="44"/>
  <c r="E49" i="34" l="1"/>
  <c r="I54" i="34" s="1"/>
  <c r="J54" i="34" s="1"/>
  <c r="R50" i="34"/>
  <c r="G53" i="34"/>
  <c r="H53" i="34" s="1"/>
  <c r="G54" i="34"/>
  <c r="H54" i="34" s="1"/>
  <c r="C9" i="59"/>
  <c r="D10" i="59"/>
  <c r="T23" i="59"/>
  <c r="D23" i="59"/>
  <c r="T4" i="46"/>
  <c r="V4" i="46" s="1"/>
  <c r="C36" i="46"/>
  <c r="C34" i="46"/>
  <c r="T11" i="46"/>
  <c r="V11" i="46" s="1"/>
  <c r="T12" i="46"/>
  <c r="V12" i="46" s="1"/>
  <c r="T5" i="46"/>
  <c r="V5" i="46" s="1"/>
  <c r="T2" i="46"/>
  <c r="V2" i="46" s="1"/>
  <c r="T7" i="46"/>
  <c r="V7" i="46" s="1"/>
  <c r="C29" i="46"/>
  <c r="G4" i="71" s="1"/>
  <c r="T16" i="46"/>
  <c r="V16" i="46" s="1"/>
  <c r="T9" i="46"/>
  <c r="V9" i="46" s="1"/>
  <c r="C33" i="46"/>
  <c r="T13" i="46"/>
  <c r="V13" i="46" s="1"/>
  <c r="T15" i="46"/>
  <c r="V15" i="46" s="1"/>
  <c r="C35" i="46"/>
  <c r="C37" i="46"/>
  <c r="T6" i="46"/>
  <c r="V6" i="46" s="1"/>
  <c r="T14" i="46"/>
  <c r="V14" i="46" s="1"/>
  <c r="T8" i="46"/>
  <c r="V8" i="46" s="1"/>
  <c r="T10" i="46"/>
  <c r="V10" i="46" s="1"/>
  <c r="C39" i="46"/>
  <c r="C38" i="46"/>
  <c r="T11" i="1"/>
  <c r="T12" i="1"/>
  <c r="T7" i="1"/>
  <c r="I19" i="6"/>
  <c r="M27" i="6"/>
  <c r="M16" i="1"/>
  <c r="C13" i="12" s="1"/>
  <c r="O14" i="1"/>
  <c r="N16" i="1"/>
  <c r="C29" i="43" s="1"/>
  <c r="T6" i="1"/>
  <c r="T8" i="1"/>
  <c r="T16" i="1" s="1"/>
  <c r="T10" i="1"/>
  <c r="T13" i="1"/>
  <c r="I6" i="6"/>
  <c r="I5" i="6"/>
  <c r="C49" i="34"/>
  <c r="C50" i="34"/>
  <c r="B3" i="34" s="1"/>
  <c r="B2" i="34" s="1"/>
  <c r="C10" i="12" s="1"/>
  <c r="C6" i="12" s="1"/>
  <c r="E54" i="34"/>
  <c r="F54" i="34" s="1"/>
  <c r="E53" i="34"/>
  <c r="F53" i="34" s="1"/>
  <c r="E48" i="33"/>
  <c r="R49" i="33"/>
  <c r="E53" i="21"/>
  <c r="F53" i="21" s="1"/>
  <c r="E52" i="21"/>
  <c r="F52" i="21" s="1"/>
  <c r="C38" i="35"/>
  <c r="C39" i="35"/>
  <c r="B3" i="35" s="1"/>
  <c r="B2" i="35" s="1"/>
  <c r="G52" i="33"/>
  <c r="H52" i="33" s="1"/>
  <c r="G53" i="33"/>
  <c r="H53" i="33" s="1"/>
  <c r="E36" i="36"/>
  <c r="R37" i="36"/>
  <c r="N52" i="37"/>
  <c r="C48" i="21"/>
  <c r="C49" i="21"/>
  <c r="B3" i="21" s="1"/>
  <c r="B2" i="21" s="1"/>
  <c r="E43" i="35"/>
  <c r="F43" i="35" s="1"/>
  <c r="E42" i="35"/>
  <c r="F42" i="35" s="1"/>
  <c r="B3" i="11"/>
  <c r="B5" i="11"/>
  <c r="B4" i="11"/>
  <c r="N68" i="9"/>
  <c r="D63" i="9"/>
  <c r="R5" i="54"/>
  <c r="B48" i="63" s="1"/>
  <c r="C27" i="12"/>
  <c r="D26" i="12" s="1"/>
  <c r="C32" i="12" s="1"/>
  <c r="D30" i="12" s="1"/>
  <c r="N38" i="9"/>
  <c r="K28" i="9" s="1"/>
  <c r="D42" i="9"/>
  <c r="Q5" i="54" s="1"/>
  <c r="B47" i="63" s="1"/>
  <c r="C23" i="43"/>
  <c r="D21" i="43" s="1"/>
  <c r="J24" i="15"/>
  <c r="J26" i="15"/>
  <c r="J29" i="15" s="1"/>
  <c r="C38" i="15"/>
  <c r="K26" i="9"/>
  <c r="K25" i="9"/>
  <c r="E42" i="9"/>
  <c r="P5" i="54" s="1"/>
  <c r="B46" i="63" s="1"/>
  <c r="M38" i="9"/>
  <c r="K27" i="9" s="1"/>
  <c r="C59" i="15"/>
  <c r="C65" i="15"/>
  <c r="Q49" i="44"/>
  <c r="Q55" i="44" s="1"/>
  <c r="Q67" i="44"/>
  <c r="Q58" i="44"/>
  <c r="C16" i="44"/>
  <c r="C14" i="15"/>
  <c r="G6" i="71" l="1"/>
  <c r="B7" i="72"/>
  <c r="B3" i="72" s="1"/>
  <c r="C24" i="12"/>
  <c r="C29" i="12"/>
  <c r="C8" i="59"/>
  <c r="D9" i="59"/>
  <c r="E38" i="46"/>
  <c r="G38" i="46"/>
  <c r="I38" i="46" s="1"/>
  <c r="G37" i="46"/>
  <c r="I37" i="46" s="1"/>
  <c r="E37" i="46"/>
  <c r="E39" i="46"/>
  <c r="G39" i="46"/>
  <c r="I39" i="46" s="1"/>
  <c r="E35" i="46"/>
  <c r="G35" i="46"/>
  <c r="I35" i="46" s="1"/>
  <c r="C30" i="46"/>
  <c r="E30" i="46" s="1"/>
  <c r="E29" i="46"/>
  <c r="G34" i="46"/>
  <c r="I34" i="46" s="1"/>
  <c r="E34" i="46"/>
  <c r="G33" i="46"/>
  <c r="I33" i="46" s="1"/>
  <c r="E33" i="46"/>
  <c r="E36" i="46"/>
  <c r="G36" i="46"/>
  <c r="I36" i="46" s="1"/>
  <c r="C15" i="15"/>
  <c r="C18" i="15"/>
  <c r="C20" i="44"/>
  <c r="C17" i="44"/>
  <c r="C13" i="43"/>
  <c r="L16" i="1"/>
  <c r="I27" i="6"/>
  <c r="S19" i="6"/>
  <c r="S27" i="6" s="1"/>
  <c r="H19" i="6"/>
  <c r="P14" i="1"/>
  <c r="P16" i="1" s="1"/>
  <c r="O16" i="1"/>
  <c r="C49" i="33"/>
  <c r="B3" i="33" s="1"/>
  <c r="B2" i="33" s="1"/>
  <c r="C48" i="33"/>
  <c r="O52" i="37"/>
  <c r="F7" i="37"/>
  <c r="E40" i="36"/>
  <c r="F40" i="36" s="1"/>
  <c r="E41" i="36"/>
  <c r="F41" i="36" s="1"/>
  <c r="I41" i="36"/>
  <c r="J41" i="36" s="1"/>
  <c r="E52" i="33"/>
  <c r="F52" i="33" s="1"/>
  <c r="E53" i="33"/>
  <c r="F53" i="33" s="1"/>
  <c r="I53" i="33"/>
  <c r="J53" i="33" s="1"/>
  <c r="C36" i="36"/>
  <c r="C37" i="36"/>
  <c r="B3" i="36" s="1"/>
  <c r="B2" i="36" s="1"/>
  <c r="C82" i="9"/>
  <c r="C81" i="9" s="1"/>
  <c r="C85" i="9" s="1"/>
  <c r="C86" i="9" s="1"/>
  <c r="D72" i="9" s="1"/>
  <c r="D71" i="9"/>
  <c r="D66" i="9" s="1"/>
  <c r="N72" i="9" s="1"/>
  <c r="D77" i="9"/>
  <c r="N75" i="9" s="1"/>
  <c r="C90" i="9"/>
  <c r="C103" i="9"/>
  <c r="C111" i="9"/>
  <c r="C104" i="9" s="1"/>
  <c r="D70" i="9"/>
  <c r="C96" i="9"/>
  <c r="C91" i="9" s="1"/>
  <c r="F7" i="67"/>
  <c r="D8" i="59" l="1"/>
  <c r="C7" i="59"/>
  <c r="E4" i="67"/>
  <c r="C26" i="46"/>
  <c r="C27" i="46"/>
  <c r="C19" i="15"/>
  <c r="C20" i="15" s="1"/>
  <c r="C26" i="15" s="1"/>
  <c r="C14" i="12"/>
  <c r="C17" i="12"/>
  <c r="C21" i="44"/>
  <c r="H27" i="6"/>
  <c r="R19" i="6"/>
  <c r="C17" i="43"/>
  <c r="C14" i="43"/>
  <c r="AA7" i="37"/>
  <c r="R42" i="37" s="1"/>
  <c r="S7" i="37"/>
  <c r="J7" i="37"/>
  <c r="H7" i="37"/>
  <c r="C97" i="9"/>
  <c r="C113" i="9"/>
  <c r="E7" i="67"/>
  <c r="C6" i="59" l="1"/>
  <c r="T7" i="59"/>
  <c r="D7" i="59"/>
  <c r="E3" i="67"/>
  <c r="B2" i="46"/>
  <c r="C23" i="15"/>
  <c r="C29" i="15" s="1"/>
  <c r="C13" i="15" s="1"/>
  <c r="C18" i="12"/>
  <c r="C23" i="12" s="1"/>
  <c r="C35" i="12" s="1"/>
  <c r="C33" i="12" s="1"/>
  <c r="C18" i="43"/>
  <c r="C19" i="43" s="1"/>
  <c r="C25" i="43" s="1"/>
  <c r="C24" i="43" s="1"/>
  <c r="R6" i="1"/>
  <c r="R16" i="1" s="1"/>
  <c r="R27" i="6"/>
  <c r="C22" i="44"/>
  <c r="C28" i="44" s="1"/>
  <c r="U7" i="37"/>
  <c r="AB7" i="37"/>
  <c r="T42" i="37" s="1"/>
  <c r="G42" i="37" s="1"/>
  <c r="AC7" i="37"/>
  <c r="V42" i="37" s="1"/>
  <c r="I42" i="37" s="1"/>
  <c r="W7" i="37"/>
  <c r="R43" i="37"/>
  <c r="E42" i="37"/>
  <c r="C114" i="9"/>
  <c r="E114" i="9" s="1"/>
  <c r="E115" i="9" s="1"/>
  <c r="C115" i="9"/>
  <c r="D76" i="9" s="1"/>
  <c r="D74" i="9" s="1"/>
  <c r="N74" i="9" s="1"/>
  <c r="O77" i="9" s="1"/>
  <c r="C99" i="9"/>
  <c r="C98" i="9"/>
  <c r="E98" i="9" s="1"/>
  <c r="E99" i="9" s="1"/>
  <c r="B7" i="67"/>
  <c r="D6" i="59" l="1"/>
  <c r="C5" i="59"/>
  <c r="B2" i="67"/>
  <c r="D4" i="46"/>
  <c r="B4" i="46"/>
  <c r="B3" i="46"/>
  <c r="J59" i="15"/>
  <c r="J60" i="15" s="1"/>
  <c r="L46" i="15" s="1"/>
  <c r="Q50" i="15"/>
  <c r="C33" i="15"/>
  <c r="C31" i="15" s="1"/>
  <c r="J14" i="15"/>
  <c r="J22" i="15" s="1"/>
  <c r="C56" i="15"/>
  <c r="C63" i="15" s="1"/>
  <c r="J19" i="15"/>
  <c r="J17" i="15" s="1"/>
  <c r="C36" i="15"/>
  <c r="C25" i="44"/>
  <c r="C31" i="44" s="1"/>
  <c r="C15" i="44" s="1"/>
  <c r="C22" i="43"/>
  <c r="C21" i="43" s="1"/>
  <c r="C28" i="43" s="1"/>
  <c r="C30" i="43" s="1"/>
  <c r="C32" i="43" s="1"/>
  <c r="B2" i="43" s="1"/>
  <c r="C28" i="12"/>
  <c r="C26" i="12" s="1"/>
  <c r="C31" i="12" s="1"/>
  <c r="C30" i="12" s="1"/>
  <c r="C36" i="12" s="1"/>
  <c r="Q71" i="15"/>
  <c r="C37" i="15"/>
  <c r="C55" i="15"/>
  <c r="C64" i="15" s="1"/>
  <c r="J35" i="15"/>
  <c r="C42" i="37"/>
  <c r="C43" i="37"/>
  <c r="B3" i="37" s="1"/>
  <c r="B2" i="37" s="1"/>
  <c r="E47" i="37"/>
  <c r="F47" i="37" s="1"/>
  <c r="E46" i="37"/>
  <c r="F46" i="37" s="1"/>
  <c r="G46" i="37"/>
  <c r="H46" i="37" s="1"/>
  <c r="G47" i="37"/>
  <c r="H47" i="37" s="1"/>
  <c r="I46" i="37"/>
  <c r="J46" i="37" s="1"/>
  <c r="I47" i="37"/>
  <c r="J47" i="37" s="1"/>
  <c r="O78" i="9"/>
  <c r="O79" i="9"/>
  <c r="Q77" i="9"/>
  <c r="D5" i="59" l="1"/>
  <c r="M20" i="46"/>
  <c r="B2" i="12"/>
  <c r="C37" i="12"/>
  <c r="J13" i="15"/>
  <c r="J23" i="15" s="1"/>
  <c r="J16" i="15" s="1"/>
  <c r="J25" i="15" s="1"/>
  <c r="Q49" i="15"/>
  <c r="J21" i="44"/>
  <c r="J19" i="44" s="1"/>
  <c r="B3" i="67"/>
  <c r="B4" i="67"/>
  <c r="C60" i="15"/>
  <c r="C58" i="15" s="1"/>
  <c r="C57" i="15" s="1"/>
  <c r="C66" i="15" s="1"/>
  <c r="C67" i="15" s="1"/>
  <c r="C30" i="15"/>
  <c r="C39" i="15" s="1"/>
  <c r="J39" i="15" s="1"/>
  <c r="J40" i="15" s="1"/>
  <c r="C35" i="44"/>
  <c r="C33" i="44" s="1"/>
  <c r="Q51" i="44"/>
  <c r="J16" i="44"/>
  <c r="J15" i="44" s="1"/>
  <c r="J25" i="44" s="1"/>
  <c r="C38" i="44"/>
  <c r="C43" i="44"/>
  <c r="Q72" i="44"/>
  <c r="C39" i="44"/>
  <c r="B3" i="43"/>
  <c r="B4" i="43"/>
  <c r="B5" i="43"/>
  <c r="O80" i="9"/>
  <c r="O81" i="9"/>
  <c r="B4" i="12"/>
  <c r="L51" i="15"/>
  <c r="B3" i="12"/>
  <c r="I4" i="71" l="1"/>
  <c r="D7" i="72" s="1"/>
  <c r="D3" i="72" s="1"/>
  <c r="F3" i="72" s="1"/>
  <c r="Q70" i="15"/>
  <c r="Q69" i="15" s="1"/>
  <c r="C40" i="15"/>
  <c r="Q57" i="15" s="1"/>
  <c r="L57" i="15"/>
  <c r="L60" i="15" s="1"/>
  <c r="Q67" i="15" s="1"/>
  <c r="Q68" i="15"/>
  <c r="J24" i="44"/>
  <c r="J18" i="44" s="1"/>
  <c r="J27" i="44" s="1"/>
  <c r="C32" i="44"/>
  <c r="C42" i="44" s="1"/>
  <c r="C44" i="44" s="1"/>
  <c r="C45" i="44" s="1"/>
  <c r="C70" i="15"/>
  <c r="B5" i="12"/>
  <c r="I6" i="71" l="1"/>
  <c r="Q66" i="15"/>
  <c r="Q76" i="15" s="1"/>
  <c r="C46" i="15"/>
  <c r="C43" i="15"/>
  <c r="Q48" i="15"/>
  <c r="Q54" i="15" s="1"/>
  <c r="J42" i="15"/>
  <c r="J43" i="15" s="1"/>
  <c r="B2" i="15"/>
  <c r="B3" i="15" s="1"/>
  <c r="Q58" i="15"/>
  <c r="Q63" i="15" s="1"/>
  <c r="Q71" i="44"/>
  <c r="Q70" i="44" s="1"/>
  <c r="B2" i="44"/>
  <c r="L52" i="44"/>
  <c r="Q69" i="44" l="1"/>
  <c r="L58" i="44"/>
  <c r="L61" i="44" s="1"/>
  <c r="L47" i="44" s="1"/>
  <c r="B5" i="44"/>
  <c r="B4" i="44"/>
  <c r="B3" i="44"/>
  <c r="K4" i="71" s="1"/>
  <c r="K6" i="71" l="1"/>
  <c r="M6" i="71" s="1"/>
  <c r="F7" i="72"/>
  <c r="M4" i="71"/>
  <c r="H7" i="72" s="1"/>
  <c r="Q68" i="44"/>
  <c r="Q77" i="44" s="1"/>
  <c r="Q59" i="44"/>
  <c r="Q64" i="44" s="1"/>
  <c r="N4" i="71" l="1"/>
  <c r="N6" i="71" s="1"/>
  <c r="B3" i="71"/>
  <c r="B7" i="71" l="1"/>
  <c r="D7" i="71" s="1"/>
  <c r="D8" i="71" s="1"/>
  <c r="D3" i="71"/>
  <c r="D4" i="71" l="1"/>
  <c r="D14" i="66"/>
  <c r="E14" i="66" l="1"/>
  <c r="F14" i="66"/>
  <c r="B5" i="66"/>
  <c r="D5" i="66" l="1"/>
  <c r="C5" i="66"/>
  <c r="B8" i="72" l="1"/>
  <c r="B4" i="72" s="1"/>
  <c r="D8" i="72" l="1"/>
  <c r="D4" i="72" s="1"/>
  <c r="F4" i="72" s="1"/>
  <c r="F8" i="72" l="1"/>
  <c r="H8" i="72"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<sst xmlns="http://schemas.openxmlformats.org/spreadsheetml/2006/main" count="7289" uniqueCount="3086">
  <si>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</si>
  <si>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</si>
  <si>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</si>
  <si>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</si>
  <si>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</si>
  <si>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</si>
  <si>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</si>
  <si>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</si>
  <si>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</si>
  <si>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</si>
  <si>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</si>
  <si>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</si>
  <si>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</si>
  <si>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</si>
  <si>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</si>
  <si>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</si>
  <si>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</si>
  <si>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</si>
  <si>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</si>
  <si>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</si>
  <si>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</si>
  <si>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</si>
  <si>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</si>
  <si>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</si>
  <si>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</si>
  <si>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</si>
  <si>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</si>
  <si>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</si>
  <si>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</si>
  <si>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</si>
  <si>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</si>
  <si>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</si>
  <si>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</si>
  <si>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</si>
  <si>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</si>
  <si>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</si>
  <si>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</si>
  <si>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</si>
  <si>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</si>
  <si>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</si>
  <si>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</si>
  <si>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</si>
  <si>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</si>
  <si>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</si>
  <si>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</si>
  <si>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</si>
  <si>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</si>
  <si>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</si>
  <si>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</si>
  <si>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</si>
  <si>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</si>
  <si>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</si>
  <si>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</si>
  <si>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</si>
  <si>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</si>
  <si>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</si>
  <si>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</si>
  <si>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</si>
  <si>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</si>
  <si>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</si>
  <si>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</si>
  <si>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</si>
  <si>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</si>
  <si>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</si>
  <si>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</si>
  <si>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</si>
  <si>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</si>
  <si>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</si>
  <si>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</si>
  <si>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</si>
  <si>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</si>
  <si>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</si>
  <si>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</si>
  <si>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</si>
  <si>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</si>
  <si>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</si>
  <si>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</si>
  <si>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</si>
  <si>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</si>
  <si>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</si>
  <si>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</si>
  <si>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</si>
  <si>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</si>
  <si>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</si>
  <si>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</si>
  <si>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</si>
  <si>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</si>
  <si>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</si>
  <si>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</si>
  <si>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</si>
  <si>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</si>
  <si>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</si>
  <si>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</si>
  <si>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</si>
  <si>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</si>
  <si>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</si>
  <si>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</si>
  <si>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</si>
  <si>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</si>
  <si>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</si>
  <si>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</si>
  <si>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</si>
  <si>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</si>
  <si>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</si>
  <si>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</si>
  <si>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</si>
  <si>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</si>
  <si>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</si>
  <si>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</si>
  <si>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</si>
  <si>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</si>
  <si>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</si>
  <si>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</si>
  <si>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</si>
  <si>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</si>
  <si>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</si>
  <si>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</si>
  <si>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</si>
  <si>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</si>
  <si>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</si>
  <si>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</si>
  <si>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</si>
  <si>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</si>
  <si>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</si>
  <si>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</si>
  <si>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</si>
  <si>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</si>
  <si>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</si>
  <si>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</si>
  <si>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</si>
  <si>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</si>
  <si>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</si>
  <si>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</si>
  <si>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</si>
  <si>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</si>
  <si>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</si>
  <si>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</si>
  <si>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</si>
  <si>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</si>
  <si>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</si>
  <si>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</si>
  <si>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</si>
  <si>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</si>
  <si>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</si>
  <si>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</si>
  <si>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</si>
  <si>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</si>
  <si>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</si>
  <si>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</si>
  <si>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</si>
  <si>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</si>
  <si>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</si>
  <si>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</si>
  <si>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</si>
  <si>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</si>
  <si>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</si>
  <si>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</si>
  <si>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</si>
  <si>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</si>
  <si>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</si>
  <si>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</si>
  <si>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</si>
  <si>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</si>
  <si>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</si>
  <si>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</si>
  <si>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</si>
  <si>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</si>
  <si>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</si>
  <si>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</si>
  <si>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</si>
  <si>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</si>
  <si>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</si>
  <si>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</si>
  <si>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</si>
  <si>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</si>
  <si>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</si>
  <si>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</si>
  <si>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</si>
  <si>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</si>
  <si>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</si>
  <si>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</si>
  <si>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</si>
  <si>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</si>
  <si>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</si>
  <si>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</si>
  <si>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</si>
  <si>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</si>
  <si>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</si>
  <si>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</si>
  <si>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</si>
  <si>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</si>
  <si>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</si>
  <si>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</si>
  <si>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</si>
  <si>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</si>
  <si>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</si>
  <si>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</si>
  <si>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</si>
  <si>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</si>
  <si>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</si>
  <si>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</si>
  <si>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</si>
  <si>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</si>
  <si>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</si>
  <si>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</si>
  <si>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</si>
  <si>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</si>
  <si>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</si>
  <si>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</si>
  <si>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</si>
  <si>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</si>
  <si>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</si>
  <si>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</si>
  <si>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</si>
  <si>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</si>
  <si>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</si>
  <si>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</si>
  <si>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</si>
  <si>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</si>
  <si>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</si>
  <si>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</si>
  <si>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</si>
  <si>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</si>
  <si>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</si>
  <si>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</si>
  <si>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</si>
  <si>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</si>
  <si>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</si>
  <si>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</si>
  <si>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</si>
  <si>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</si>
  <si>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</si>
  <si>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</si>
  <si>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</si>
  <si>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</si>
  <si>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</si>
  <si>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</si>
  <si>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</si>
  <si>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</si>
  <si>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</si>
  <si>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</si>
  <si>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</si>
  <si>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</si>
  <si>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</si>
  <si>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</si>
  <si>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</si>
  <si>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</si>
  <si>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</si>
  <si>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</si>
  <si>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</si>
  <si>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</si>
  <si>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</si>
  <si>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</si>
  <si>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</si>
  <si>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</si>
  <si>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</si>
  <si>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</si>
  <si>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</si>
  <si>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</si>
  <si>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</si>
  <si>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</si>
  <si>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</si>
  <si>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</si>
  <si>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</si>
  <si>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</si>
  <si>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</si>
  <si>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</si>
  <si>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</si>
  <si>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</si>
  <si>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</si>
  <si>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</si>
  <si>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</si>
  <si>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</si>
  <si>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</si>
  <si>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</si>
  <si>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</si>
  <si>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</si>
  <si>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</si>
  <si>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</si>
  <si>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</si>
  <si>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</si>
  <si>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</si>
  <si>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</si>
  <si>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</si>
  <si>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</si>
  <si>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</si>
  <si>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</si>
  <si>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</si>
  <si>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</si>
  <si>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</si>
  <si>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</si>
  <si>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</si>
  <si>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</si>
  <si>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</si>
  <si>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</si>
  <si>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</si>
  <si>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</si>
  <si>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</si>
  <si>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</si>
  <si>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</si>
  <si>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</si>
  <si>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</si>
  <si>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</si>
  <si>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</si>
  <si>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</si>
  <si>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</si>
  <si>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</si>
  <si>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</si>
  <si>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</si>
  <si>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</si>
  <si>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</si>
  <si>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</si>
  <si>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</si>
  <si>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</si>
  <si>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</si>
  <si>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</si>
  <si>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</si>
  <si>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</si>
  <si>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</si>
  <si>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</si>
  <si>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</si>
  <si>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</si>
  <si>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</si>
  <si>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</si>
  <si>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</si>
  <si>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</si>
  <si>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</si>
  <si>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</si>
  <si>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</si>
  <si>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</si>
  <si>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</si>
  <si>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</si>
  <si>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</si>
  <si>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</si>
  <si>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</si>
  <si>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</si>
  <si>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</si>
  <si>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</si>
  <si>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</si>
  <si>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</si>
  <si>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</si>
  <si>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</si>
  <si>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</si>
  <si>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</si>
  <si>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</si>
  <si>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</si>
  <si>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</si>
  <si>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</si>
  <si>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</si>
  <si>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</si>
  <si>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</si>
  <si>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</si>
  <si>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</si>
  <si>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</si>
  <si>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</si>
  <si>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</si>
  <si>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</si>
  <si>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</si>
  <si>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</si>
  <si>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</si>
  <si>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</si>
  <si>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</si>
  <si>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</si>
  <si>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</si>
  <si>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</si>
  <si>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</si>
  <si>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</si>
  <si>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</si>
  <si>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</si>
  <si>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</si>
  <si>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</si>
  <si>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</si>
  <si>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</si>
  <si>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</si>
  <si>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</si>
  <si>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</si>
  <si>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</si>
  <si>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</si>
  <si>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</si>
  <si>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</si>
  <si>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</si>
  <si>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</si>
  <si>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</si>
  <si>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</si>
  <si>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</si>
  <si>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</si>
  <si>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</si>
  <si>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</si>
  <si>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</si>
  <si>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</si>
  <si>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</si>
  <si>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</si>
  <si>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</si>
  <si>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</si>
  <si>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</si>
  <si>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</si>
  <si>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</si>
  <si>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</si>
  <si>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</si>
  <si>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</si>
  <si>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</si>
  <si>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</si>
  <si>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</si>
  <si>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</si>
  <si>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</si>
  <si>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</si>
  <si>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</si>
  <si>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</si>
  <si>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</si>
  <si>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</si>
  <si>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</si>
  <si>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</si>
  <si>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</si>
  <si>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</si>
  <si>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</si>
  <si>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</si>
  <si>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</si>
  <si>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</si>
  <si>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</si>
  <si>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</si>
  <si>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</si>
  <si>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</si>
  <si>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</si>
  <si>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</si>
  <si>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</si>
  <si>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</si>
  <si>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</si>
  <si>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</si>
  <si>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</si>
  <si>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</si>
  <si>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</si>
  <si>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</si>
  <si>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</si>
  <si>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</si>
  <si>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</si>
  <si>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</si>
  <si>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</si>
  <si>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</si>
  <si>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</si>
  <si>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</si>
  <si>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</si>
  <si>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</si>
  <si>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</si>
  <si>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</si>
  <si>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</si>
  <si>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</si>
  <si>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</si>
  <si>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</si>
  <si>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</si>
  <si>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</si>
  <si>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</si>
  <si>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</si>
  <si>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</si>
  <si>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</si>
  <si>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</si>
  <si>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</si>
  <si>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</si>
  <si>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</si>
  <si>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</si>
  <si>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</si>
  <si>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</si>
  <si>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</si>
  <si>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</si>
  <si>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</si>
  <si>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</si>
  <si>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</si>
  <si>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</si>
  <si>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</si>
  <si>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</si>
  <si>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</si>
  <si>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</si>
  <si>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</si>
  <si>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</si>
  <si>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</si>
  <si>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</si>
  <si>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</si>
  <si>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</si>
  <si>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</si>
  <si>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</si>
  <si>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</si>
  <si>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</si>
  <si>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</si>
  <si>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</si>
  <si>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</si>
  <si>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</si>
  <si>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</si>
  <si>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</si>
  <si>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</si>
  <si>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</si>
  <si>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</si>
  <si>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</si>
  <si>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</si>
  <si>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</si>
  <si>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</si>
  <si>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</si>
  <si>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</si>
  <si>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</si>
  <si>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</si>
  <si>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</si>
  <si>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</si>
  <si>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</si>
  <si>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</si>
  <si>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</si>
  <si>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</si>
  <si>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</si>
  <si>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</si>
  <si>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</si>
  <si>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</si>
  <si>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</si>
  <si>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</si>
  <si>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</si>
  <si>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</si>
  <si>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</si>
  <si>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</si>
  <si>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</si>
  <si>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</si>
  <si>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</si>
  <si>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</si>
  <si>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</si>
  <si>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</si>
  <si>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</si>
  <si>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</si>
  <si>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</si>
  <si>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</si>
  <si>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</si>
  <si>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</si>
  <si>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</si>
  <si>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</si>
  <si>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</si>
  <si>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</si>
  <si>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</si>
  <si>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</si>
  <si>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</si>
  <si>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</si>
  <si>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</si>
  <si>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</si>
  <si>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</si>
  <si>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</si>
  <si>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</si>
  <si>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</si>
  <si>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</si>
  <si>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</si>
  <si>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</si>
  <si>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</si>
  <si>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</si>
  <si>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</si>
  <si>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</si>
  <si>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</si>
  <si>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</si>
  <si>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</si>
  <si>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</si>
  <si>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</si>
  <si>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</si>
  <si>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</si>
  <si>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</si>
  <si>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</si>
  <si>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</si>
  <si>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</si>
  <si>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</si>
  <si>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</si>
  <si>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</si>
  <si>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</si>
  <si>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</si>
  <si>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</si>
  <si>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</si>
  <si>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</si>
  <si>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</si>
  <si>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</si>
  <si>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</si>
  <si>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</si>
  <si>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</si>
  <si>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</si>
  <si>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</si>
  <si>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</si>
  <si>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</si>
  <si>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</si>
  <si>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</si>
  <si>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</si>
  <si>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</si>
  <si>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</si>
  <si>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</si>
  <si>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</si>
  <si>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</si>
  <si>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</si>
  <si>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</si>
  <si>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</si>
  <si>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</si>
  <si>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</si>
  <si>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</si>
  <si>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</si>
  <si>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</si>
  <si>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</si>
  <si>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</si>
  <si>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</si>
  <si>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</si>
  <si>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</si>
  <si>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</si>
  <si>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</si>
  <si>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</si>
  <si>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</si>
  <si>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</si>
  <si>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</si>
  <si>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</si>
  <si>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</si>
  <si>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</si>
  <si>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</si>
  <si>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</si>
  <si>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</si>
  <si>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</si>
  <si>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</si>
  <si>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</si>
  <si>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</si>
  <si>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</si>
  <si>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</si>
  <si>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</si>
  <si>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</si>
  <si>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</si>
  <si>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</si>
  <si>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</si>
  <si>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</si>
  <si>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</si>
  <si>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</si>
  <si>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</si>
  <si>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</si>
  <si>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</si>
  <si>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</si>
  <si>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</si>
  <si>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</si>
  <si>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</si>
  <si>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</si>
  <si>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</si>
  <si>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</si>
  <si>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</si>
  <si>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</si>
  <si>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</si>
  <si>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</si>
  <si>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</si>
  <si>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</si>
  <si>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</si>
  <si>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</si>
  <si>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</si>
  <si>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</si>
  <si>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</si>
  <si>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</si>
  <si>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</si>
  <si>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</si>
  <si>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</si>
  <si>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</si>
  <si>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</si>
  <si>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</si>
  <si>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</si>
  <si>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</si>
  <si>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</si>
  <si>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</si>
  <si>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</si>
  <si>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</si>
  <si>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</si>
  <si>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</si>
  <si>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</si>
  <si>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</si>
  <si>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</si>
  <si>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</si>
  <si>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</si>
  <si>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</si>
  <si>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</si>
  <si>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</si>
  <si>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</si>
  <si>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</si>
  <si>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</si>
  <si>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</si>
  <si>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</si>
  <si>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</si>
  <si>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</si>
  <si>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</si>
  <si>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</si>
  <si>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</si>
  <si>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</si>
  <si>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</si>
  <si>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</si>
  <si>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</si>
  <si>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</si>
  <si>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</si>
  <si>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</si>
  <si>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</si>
  <si>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</si>
  <si>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</si>
  <si>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</si>
  <si>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</si>
  <si>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</si>
  <si>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</si>
  <si>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</si>
  <si>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</si>
  <si>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</si>
  <si>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</si>
  <si>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</si>
  <si>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</si>
  <si>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</si>
  <si>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</si>
  <si>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</si>
  <si>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</si>
  <si>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</si>
  <si>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</si>
  <si>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</si>
  <si>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</si>
  <si>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</si>
  <si>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</si>
  <si>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</si>
  <si>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</si>
  <si>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</si>
  <si>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</si>
  <si>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</si>
  <si>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</si>
  <si>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</si>
  <si>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</si>
  <si>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</si>
  <si>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</si>
  <si>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</si>
  <si>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</si>
  <si>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</si>
  <si>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</si>
  <si>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</si>
  <si>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</si>
  <si>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</si>
  <si>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</si>
  <si>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</si>
  <si>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</si>
  <si>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</si>
  <si>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</si>
  <si>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</si>
  <si>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</si>
  <si>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</si>
  <si>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</si>
  <si>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</si>
  <si>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</si>
  <si>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</si>
  <si>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</si>
  <si>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</si>
  <si>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</si>
  <si>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</si>
  <si>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</si>
  <si>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</si>
  <si>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</si>
  <si>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</si>
  <si>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</si>
  <si>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</si>
  <si>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</si>
  <si>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</si>
  <si>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</si>
  <si>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</si>
  <si>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</si>
  <si>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</si>
  <si>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</si>
  <si>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</si>
  <si>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</si>
  <si>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</si>
  <si>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</si>
  <si>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</si>
  <si>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</si>
  <si>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</si>
  <si>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</si>
  <si>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</si>
  <si>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</si>
  <si>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</si>
  <si>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</si>
  <si>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</si>
  <si>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</si>
  <si>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</si>
  <si>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</si>
  <si>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</si>
  <si>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</si>
  <si>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</si>
  <si>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</si>
  <si>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</si>
  <si>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</si>
  <si>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</si>
  <si>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</si>
  <si>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</si>
  <si>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</si>
  <si>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</si>
  <si>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</si>
  <si>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</si>
  <si>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</si>
  <si>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</si>
  <si>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</si>
  <si>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</si>
  <si>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</si>
  <si>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</si>
  <si>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</si>
  <si>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</si>
  <si>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</si>
  <si>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</si>
  <si>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</si>
  <si>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</si>
  <si>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</si>
  <si>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</si>
  <si>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</si>
  <si>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</si>
  <si>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</si>
  <si>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</si>
  <si>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</si>
  <si>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</si>
  <si>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</si>
  <si>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</si>
  <si>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</si>
  <si>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</si>
  <si>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</si>
  <si>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</si>
  <si>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</si>
  <si>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</si>
  <si>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</si>
  <si>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</si>
  <si>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</si>
  <si>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</si>
  <si>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</si>
  <si>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</si>
  <si>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</si>
  <si>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</si>
  <si>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</si>
  <si>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</si>
  <si>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</si>
  <si>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</si>
  <si>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</si>
  <si>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</si>
  <si>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</si>
  <si>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</si>
  <si>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</si>
  <si>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</si>
  <si>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</si>
  <si>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</si>
  <si>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</si>
  <si>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</si>
  <si>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</si>
  <si>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</si>
  <si>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</si>
  <si>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</si>
  <si>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</si>
  <si>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</si>
  <si>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</si>
  <si>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</si>
  <si>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</si>
  <si>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</si>
  <si>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</si>
  <si>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</si>
  <si>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</si>
  <si>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</si>
  <si>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</si>
  <si>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</si>
  <si>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</si>
  <si>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</si>
  <si>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</si>
  <si>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</si>
  <si>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</si>
  <si>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</si>
  <si>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</si>
  <si>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</si>
  <si>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</si>
  <si>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</si>
  <si>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</si>
  <si>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</si>
  <si>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</si>
  <si>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</si>
  <si>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</si>
  <si>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</si>
  <si>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</si>
  <si>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</si>
  <si>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</si>
  <si>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</si>
  <si>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</si>
  <si>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</si>
  <si>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</si>
  <si>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</si>
  <si>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</si>
  <si>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</si>
  <si>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</si>
  <si>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</si>
  <si>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</si>
  <si>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</si>
  <si>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</si>
  <si>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</si>
  <si>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</si>
  <si>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</si>
  <si>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</si>
  <si>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</si>
  <si>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</si>
  <si>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</si>
  <si>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</si>
  <si>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</si>
  <si>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</si>
  <si>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</si>
  <si>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</si>
  <si>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</si>
  <si>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</si>
  <si>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</si>
  <si>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</si>
  <si>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</si>
  <si>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</si>
  <si>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</si>
  <si>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</si>
  <si>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</si>
  <si>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</si>
  <si>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</si>
  <si>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</si>
  <si>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</si>
  <si>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</si>
  <si>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</si>
  <si>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</si>
  <si>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</si>
  <si>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</si>
  <si>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</si>
  <si>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</si>
  <si>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</si>
  <si>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</si>
  <si>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</si>
  <si>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</si>
  <si>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</si>
  <si>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</si>
  <si>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</si>
  <si>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</si>
  <si>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</si>
  <si>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</si>
  <si>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</si>
  <si>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</si>
  <si>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</si>
  <si>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</si>
  <si>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</si>
  <si>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</si>
  <si>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</si>
  <si>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</si>
  <si>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</si>
  <si>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</si>
  <si>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</si>
  <si>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</si>
  <si>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</si>
  <si>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</si>
  <si>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</si>
  <si>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</si>
  <si>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</si>
  <si>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</si>
  <si>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</si>
  <si>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</si>
  <si>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</si>
  <si>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</si>
  <si>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</si>
  <si>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</si>
  <si>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</si>
  <si>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</si>
  <si>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</si>
  <si>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</si>
  <si>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</si>
  <si>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</si>
  <si>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</si>
  <si>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</si>
  <si>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</si>
  <si>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</si>
  <si>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</si>
  <si>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</si>
  <si>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</si>
  <si>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</si>
  <si>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</si>
  <si>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</si>
  <si>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</si>
  <si>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</si>
  <si>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</si>
  <si>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</si>
  <si>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</si>
  <si>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</si>
  <si>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</si>
  <si>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</si>
  <si>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</si>
  <si>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</si>
  <si>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</si>
  <si>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</si>
  <si>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</si>
  <si>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</si>
  <si>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</si>
  <si>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</si>
  <si>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</si>
  <si>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</si>
  <si>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</si>
  <si>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</si>
  <si>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</si>
  <si>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</si>
  <si>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</si>
  <si>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</si>
  <si>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</si>
  <si>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</si>
  <si>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</si>
  <si>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</si>
  <si>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</si>
  <si>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</si>
  <si>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</si>
  <si>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</si>
  <si>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</si>
  <si>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</si>
  <si>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</si>
  <si>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</si>
  <si>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</si>
  <si>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</si>
  <si>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</si>
  <si>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</si>
  <si>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</si>
  <si>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</si>
  <si>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</si>
  <si>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</si>
  <si>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</si>
  <si>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</si>
  <si>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</si>
  <si>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</si>
  <si>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</si>
  <si>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</si>
  <si>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</si>
  <si>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</si>
  <si>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</si>
  <si>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</si>
  <si>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</si>
  <si>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</si>
  <si>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</si>
  <si>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</si>
  <si>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</si>
  <si>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</si>
  <si>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</si>
  <si>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</si>
  <si>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</si>
  <si>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</si>
  <si>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</si>
  <si>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</si>
  <si>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</si>
  <si>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</si>
  <si>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</si>
  <si>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</si>
  <si>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</si>
  <si>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</si>
  <si>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</si>
  <si>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</si>
  <si>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</si>
  <si>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</si>
  <si>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</si>
  <si>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</si>
  <si>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</si>
  <si>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</si>
  <si>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</si>
  <si>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</si>
  <si>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</si>
  <si>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</si>
  <si>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</si>
  <si>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</si>
  <si>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</si>
  <si>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</si>
  <si>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</si>
  <si>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</si>
  <si>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</si>
  <si>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</si>
  <si>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</si>
  <si>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</si>
  <si>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</si>
  <si>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</si>
  <si>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</si>
  <si>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</si>
  <si>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</si>
  <si>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</si>
  <si>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</si>
  <si>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</si>
  <si>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</si>
  <si>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</si>
  <si>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</si>
  <si>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</si>
  <si>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</si>
  <si>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</si>
  <si>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</si>
  <si>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</si>
  <si>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</si>
  <si>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</si>
  <si>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</si>
  <si>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</si>
  <si>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</si>
  <si>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</si>
  <si>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</si>
  <si>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</si>
  <si>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</si>
  <si>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</si>
  <si>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</si>
  <si>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</si>
  <si>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</si>
  <si>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</si>
  <si>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</si>
  <si>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</si>
  <si>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</si>
  <si>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</si>
  <si>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</si>
  <si>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</si>
  <si>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</si>
  <si>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</si>
  <si>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</si>
  <si>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</si>
  <si>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</si>
  <si>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</si>
  <si>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</si>
  <si>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</si>
  <si>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</si>
  <si>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</si>
  <si>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</si>
  <si>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</si>
  <si>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</si>
  <si>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</si>
  <si>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</si>
  <si>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</si>
  <si>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</si>
  <si>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</si>
  <si>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</si>
  <si>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</si>
  <si>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</si>
  <si>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</si>
  <si>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</si>
  <si>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</si>
  <si>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</si>
  <si>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</si>
  <si>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</si>
  <si>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</si>
  <si>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</si>
  <si>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</si>
  <si>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</si>
  <si>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</si>
  <si>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</si>
  <si>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</si>
  <si>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</si>
  <si>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</si>
  <si>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</si>
  <si>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</si>
  <si>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</si>
  <si>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</si>
  <si>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</si>
  <si>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</si>
  <si>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</si>
  <si>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</si>
  <si>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</si>
  <si>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</si>
  <si>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</si>
  <si>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</si>
  <si>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</si>
  <si>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</si>
  <si>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</si>
  <si>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</si>
  <si>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</si>
  <si>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</si>
  <si>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</si>
  <si>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</si>
  <si>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</si>
  <si>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</si>
  <si>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</si>
  <si>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</si>
  <si>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</si>
  <si>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</si>
  <si>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</si>
  <si>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</si>
  <si>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</si>
  <si>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</si>
  <si>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</si>
  <si>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</si>
  <si>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</si>
  <si>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</si>
  <si>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</si>
  <si>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</si>
  <si>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</si>
  <si>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</si>
  <si>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</si>
  <si>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</si>
  <si>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</si>
  <si>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</si>
  <si>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</si>
  <si>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</si>
  <si>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</si>
  <si>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</si>
  <si>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</si>
  <si>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</si>
  <si>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</si>
  <si>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</si>
  <si>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</si>
  <si>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</si>
  <si>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</si>
  <si>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</si>
  <si>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</si>
  <si>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</si>
  <si>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</si>
  <si>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</si>
  <si>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</si>
  <si>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</si>
  <si>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</si>
  <si>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</si>
  <si>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</si>
  <si>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</si>
  <si>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</si>
  <si>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</si>
  <si>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</si>
  <si>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</si>
  <si>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</si>
  <si>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</si>
  <si>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</si>
  <si>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</si>
  <si>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</si>
  <si>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</si>
  <si>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</si>
  <si>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</si>
  <si>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</si>
  <si>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</si>
  <si>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</si>
  <si>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</si>
  <si>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</si>
  <si>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</si>
  <si>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</si>
  <si>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</si>
  <si>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</si>
  <si>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</si>
  <si>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</si>
  <si>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</si>
  <si>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</si>
  <si>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</si>
  <si>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</si>
  <si>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</si>
  <si>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</si>
  <si>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</si>
  <si>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</si>
  <si>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</si>
  <si>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</si>
  <si>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</si>
  <si>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</si>
  <si>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</si>
  <si>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</si>
  <si>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</si>
  <si>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</si>
  <si>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</si>
  <si>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</si>
  <si>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</si>
  <si>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</si>
  <si>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</si>
  <si>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</si>
  <si>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</si>
  <si>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</si>
  <si>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</si>
  <si>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</si>
  <si>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</si>
  <si>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</si>
  <si>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</si>
  <si>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</si>
  <si>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</si>
  <si>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</si>
  <si>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</si>
  <si>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</si>
  <si>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</si>
  <si>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</si>
  <si>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</si>
  <si>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</si>
  <si>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</si>
  <si>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</si>
  <si>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</si>
  <si>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</si>
  <si>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</si>
  <si>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</si>
  <si>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</si>
  <si>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</si>
  <si>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</si>
  <si>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</si>
  <si>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</si>
  <si>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</si>
  <si>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</si>
  <si>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</si>
  <si>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</si>
  <si>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</si>
  <si>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</si>
  <si>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</si>
  <si>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</si>
  <si>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</si>
  <si>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</si>
  <si>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</si>
  <si>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</si>
  <si>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</si>
  <si>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</si>
  <si>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</si>
  <si>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</si>
  <si>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</si>
  <si>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</si>
  <si>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</si>
  <si>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</si>
  <si>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</si>
  <si>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</si>
  <si>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</si>
  <si>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</si>
  <si>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</si>
  <si>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</si>
  <si>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</si>
  <si>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</si>
  <si>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</si>
  <si>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</si>
  <si>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</si>
  <si>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</si>
  <si>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</si>
  <si>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</si>
  <si>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</si>
  <si>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</si>
  <si>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</si>
  <si>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</si>
  <si>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</si>
  <si>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</si>
  <si>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</si>
  <si>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</si>
  <si>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</si>
  <si>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</si>
  <si>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</si>
  <si>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</si>
  <si>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</si>
  <si>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</si>
  <si>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</si>
  <si>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</si>
  <si>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</si>
  <si>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</si>
  <si>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</si>
  <si>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</si>
  <si>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</si>
  <si>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</si>
  <si>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</si>
  <si>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</si>
  <si>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</si>
  <si>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</si>
  <si>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</si>
  <si>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</si>
  <si>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</si>
  <si>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</si>
  <si>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</si>
  <si>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</si>
  <si>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</si>
  <si>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</si>
  <si>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</si>
  <si>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</si>
  <si>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</si>
  <si>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</si>
  <si>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</si>
  <si>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</si>
  <si>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</si>
  <si>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</si>
  <si>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</si>
  <si>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</si>
  <si>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</si>
  <si>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</si>
  <si>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</si>
  <si>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</si>
  <si>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</si>
  <si>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</si>
  <si>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</si>
  <si>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</si>
  <si>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</si>
  <si>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</si>
  <si>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</si>
  <si>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</si>
  <si>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</si>
  <si>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</si>
  <si>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</si>
  <si>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</si>
  <si>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</si>
  <si>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</si>
  <si>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</si>
  <si>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</si>
  <si>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</si>
  <si>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</si>
  <si>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</si>
  <si>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</si>
  <si>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</si>
  <si>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</si>
  <si>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</si>
  <si>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</si>
  <si>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</si>
  <si>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</si>
  <si>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</si>
  <si>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</si>
  <si>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</si>
  <si>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</si>
  <si>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</si>
  <si>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</si>
  <si>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</si>
  <si>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</si>
  <si>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</si>
  <si>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</si>
  <si>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</si>
  <si>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</si>
  <si>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</si>
  <si>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</si>
  <si>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</si>
  <si>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</si>
  <si>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</si>
  <si>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</si>
  <si>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</si>
  <si>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</si>
  <si>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</si>
  <si>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</si>
  <si>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</si>
  <si>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</si>
  <si>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</si>
  <si>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</si>
  <si>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</si>
  <si>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</si>
  <si>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</si>
  <si>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</si>
  <si>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</si>
  <si>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</si>
  <si>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</si>
  <si>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</si>
  <si>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</si>
  <si>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</si>
  <si>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</si>
  <si>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</si>
  <si>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</si>
  <si>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</si>
  <si>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</si>
  <si>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</si>
  <si>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</si>
  <si>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</si>
  <si>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</si>
  <si>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</si>
  <si>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</si>
  <si>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</si>
  <si>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</si>
  <si>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</si>
  <si>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</si>
  <si>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</si>
  <si>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</si>
  <si>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</si>
  <si>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</si>
  <si>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</si>
  <si>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</si>
  <si>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</si>
  <si>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</si>
  <si>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</si>
  <si>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</si>
  <si>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</si>
  <si>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</si>
  <si>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</si>
  <si>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</si>
  <si>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</si>
  <si>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</si>
  <si>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</si>
  <si>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</si>
  <si>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</si>
  <si>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</si>
  <si>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</si>
  <si>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</si>
  <si>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</si>
  <si>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</si>
  <si>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</si>
  <si>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</si>
  <si>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</si>
  <si>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</si>
  <si>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</si>
  <si>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</si>
  <si>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</si>
  <si>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</si>
  <si>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</si>
  <si>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</si>
  <si>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</si>
  <si>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</si>
  <si>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</si>
  <si>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</si>
  <si>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</si>
  <si>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</si>
  <si>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</si>
  <si>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</si>
  <si>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</si>
  <si>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</si>
  <si>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</si>
  <si>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</si>
  <si>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</si>
  <si>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</si>
  <si>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</si>
  <si>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</si>
  <si>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</si>
  <si>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</si>
  <si>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</si>
  <si>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</si>
  <si>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</si>
  <si>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</si>
  <si>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</si>
  <si>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</si>
  <si>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</si>
  <si>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</si>
  <si>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</si>
  <si>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</si>
  <si>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</si>
  <si>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</si>
  <si>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</si>
  <si>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</si>
  <si>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</si>
  <si>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</si>
  <si>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</si>
  <si>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</si>
  <si>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</si>
  <si>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</si>
  <si>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</si>
  <si>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</si>
  <si>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</si>
  <si>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</si>
  <si>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</si>
  <si>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</si>
  <si>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</si>
  <si>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</si>
  <si>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</si>
  <si>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</si>
  <si>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</si>
  <si>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</si>
  <si>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</si>
  <si>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</si>
  <si>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</si>
  <si>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</si>
  <si>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</si>
  <si>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</si>
  <si>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</si>
  <si>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</si>
  <si>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</si>
  <si>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</si>
  <si>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</si>
  <si>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</si>
  <si>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</si>
  <si>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</si>
  <si>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</si>
  <si>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</si>
  <si>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</si>
  <si>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</si>
  <si>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</si>
  <si>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</si>
  <si>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</si>
  <si>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</si>
  <si>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</si>
  <si>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</si>
  <si>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</si>
  <si>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</si>
  <si>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</si>
  <si>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</si>
  <si>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</si>
  <si>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</si>
  <si>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</si>
  <si>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</si>
  <si>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</si>
  <si>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</si>
  <si>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</si>
  <si>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</si>
  <si>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</si>
  <si>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</si>
  <si>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</si>
  <si>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</si>
  <si>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</si>
  <si>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</si>
  <si>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</si>
  <si>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</si>
  <si>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</si>
  <si>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</si>
  <si>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</si>
  <si>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</si>
  <si>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</si>
  <si>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</si>
  <si>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</si>
  <si>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</si>
  <si>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</si>
  <si>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</si>
  <si>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</si>
  <si>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</si>
  <si>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</si>
  <si>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</si>
  <si>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</si>
  <si>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</si>
  <si>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</si>
  <si>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</si>
  <si>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</si>
  <si>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</si>
  <si>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</si>
  <si>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</si>
  <si>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</si>
  <si>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</si>
  <si>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</si>
  <si>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</si>
  <si>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</si>
  <si>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</si>
  <si>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</si>
  <si>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</si>
  <si>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</si>
  <si>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</si>
  <si>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</si>
  <si>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</si>
  <si>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</si>
  <si>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</si>
  <si>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</si>
  <si>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</si>
  <si>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</si>
  <si>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</si>
  <si>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</si>
  <si>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</si>
  <si>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</si>
  <si>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</si>
  <si>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</si>
  <si>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</si>
  <si>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</si>
  <si>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</si>
  <si>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</si>
  <si>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</si>
  <si>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</si>
  <si>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</si>
  <si>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</si>
  <si>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</si>
  <si>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</si>
  <si>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</si>
  <si>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</si>
  <si>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</si>
  <si>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</si>
  <si>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</si>
  <si>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</si>
  <si>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</si>
  <si>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</si>
  <si>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</si>
  <si>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</si>
  <si>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</si>
  <si>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</si>
  <si>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</si>
  <si>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</si>
  <si>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</si>
  <si>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</si>
  <si>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</si>
  <si>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</si>
  <si>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</si>
  <si>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</si>
  <si>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</si>
  <si>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</si>
  <si>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</si>
  <si>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</si>
  <si>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</si>
  <si>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</si>
  <si>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</si>
  <si>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</si>
  <si>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</si>
  <si>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</si>
  <si>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</si>
  <si>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</si>
  <si>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</si>
  <si>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</si>
  <si>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</si>
  <si>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</si>
  <si>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</si>
  <si>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</si>
  <si>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</si>
  <si>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</si>
  <si>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</si>
  <si>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</si>
  <si>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</si>
  <si>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</si>
  <si>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</si>
  <si>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</si>
  <si>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</si>
  <si>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</si>
  <si>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</si>
  <si>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</si>
  <si>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</si>
  <si>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</si>
  <si>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</si>
  <si>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</si>
  <si>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</si>
  <si>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</si>
  <si>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</si>
  <si>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</si>
  <si>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</si>
  <si>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</si>
  <si>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</si>
  <si>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</si>
  <si>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</si>
  <si>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</si>
  <si>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</si>
  <si>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</si>
  <si>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</si>
  <si>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</si>
  <si>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</si>
  <si>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</si>
  <si>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</si>
  <si>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</si>
  <si>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</si>
  <si>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</si>
  <si>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</si>
  <si>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</si>
  <si>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</si>
  <si>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</si>
  <si>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</si>
  <si>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</si>
  <si>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</si>
  <si>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</si>
  <si>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</si>
  <si>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</si>
  <si>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</si>
  <si>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</si>
  <si>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</si>
  <si>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</si>
  <si>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</si>
  <si>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</si>
  <si>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</si>
  <si>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</si>
  <si>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</si>
  <si>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</si>
  <si>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</si>
  <si>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</si>
  <si>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</si>
  <si>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</si>
  <si>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</si>
  <si>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</si>
  <si>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</si>
  <si>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</si>
  <si>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</si>
  <si>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</si>
  <si>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</si>
  <si>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</si>
  <si>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</si>
  <si>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</si>
  <si>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</si>
  <si>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</si>
  <si>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</si>
  <si>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</si>
  <si>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</si>
  <si>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</si>
  <si>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</si>
  <si>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</si>
  <si>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</si>
  <si>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</si>
  <si>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</si>
  <si>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</si>
  <si>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</si>
  <si>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</si>
  <si>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</si>
  <si>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</si>
  <si>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</si>
  <si>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</si>
  <si>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</si>
  <si>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</si>
  <si>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</si>
  <si>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</si>
  <si>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</si>
  <si>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</si>
  <si>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</si>
  <si>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</si>
  <si>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</si>
  <si>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</si>
  <si>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</si>
  <si>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</si>
  <si>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</si>
  <si>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</si>
  <si>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</si>
  <si>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</si>
  <si>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</si>
  <si>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</si>
  <si>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</si>
  <si>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</si>
  <si>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</si>
  <si>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</si>
  <si>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</si>
  <si>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</si>
  <si>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</si>
  <si>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</si>
  <si>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</si>
  <si>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</si>
  <si>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</si>
  <si>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</si>
  <si>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</si>
  <si>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</si>
  <si>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</si>
  <si>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</si>
  <si>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</si>
  <si>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</si>
  <si>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</si>
  <si>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</si>
  <si>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</si>
  <si>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</si>
  <si>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</si>
  <si>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</si>
  <si>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</si>
  <si>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</si>
  <si>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</si>
  <si>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</si>
  <si>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</si>
  <si>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</si>
  <si>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</si>
  <si>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</si>
  <si>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</si>
  <si>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</si>
  <si>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</si>
  <si>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</si>
  <si>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</si>
  <si>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</si>
  <si>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</si>
  <si>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</si>
  <si>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</si>
  <si>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</si>
  <si>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</si>
  <si>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</si>
  <si>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</si>
  <si>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</si>
  <si>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</si>
  <si>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</si>
  <si>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</si>
  <si>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</si>
  <si>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</si>
  <si>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</si>
  <si>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</si>
  <si>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</si>
  <si>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</si>
  <si>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</si>
  <si>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</si>
  <si>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</si>
  <si>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</si>
  <si>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</si>
  <si>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</si>
  <si>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</si>
  <si>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</si>
  <si>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</si>
  <si>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</si>
  <si>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</si>
  <si>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</si>
  <si>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</si>
  <si>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</si>
  <si>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</si>
  <si>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</si>
  <si>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</si>
  <si>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</si>
  <si>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</si>
  <si>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</si>
  <si>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</si>
  <si>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</si>
  <si>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</si>
  <si>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</si>
  <si>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</si>
  <si>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</si>
  <si>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</si>
  <si>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</si>
  <si>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</si>
  <si>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</si>
  <si>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</si>
  <si>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</si>
  <si>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</si>
  <si>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</si>
  <si>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</si>
  <si>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</si>
  <si>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</si>
  <si>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</si>
  <si>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</si>
  <si>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</si>
  <si>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</si>
  <si>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</si>
  <si>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</si>
  <si>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</si>
  <si>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</si>
  <si>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</si>
  <si>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</si>
  <si>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</si>
  <si>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</si>
  <si>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</si>
  <si>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</si>
  <si>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</si>
  <si>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</si>
  <si>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</si>
  <si>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</si>
  <si>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</si>
  <si>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</si>
  <si>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</si>
  <si>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</si>
  <si>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</si>
  <si>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</si>
  <si>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</si>
  <si>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</si>
  <si>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</si>
  <si>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</si>
  <si>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</si>
  <si>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</si>
  <si>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</si>
  <si>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</si>
  <si>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</si>
  <si>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</si>
  <si>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</si>
  <si>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</si>
  <si>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</si>
  <si>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</si>
  <si>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</si>
  <si>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</si>
  <si>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</si>
  <si>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</si>
  <si>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</si>
  <si>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</si>
  <si>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</si>
  <si>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</si>
  <si>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</si>
  <si>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</si>
  <si>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</si>
  <si>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</si>
  <si>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</si>
  <si>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</si>
  <si>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</si>
  <si>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</si>
  <si>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</si>
  <si>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</si>
  <si>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</si>
  <si>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</si>
  <si>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</si>
  <si>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</si>
  <si>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</si>
  <si>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</si>
  <si>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</si>
  <si>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</si>
  <si>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</si>
  <si>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</si>
  <si>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</si>
  <si>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</si>
  <si>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</si>
  <si>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</si>
  <si>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</si>
  <si>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</si>
  <si>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</si>
  <si>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</si>
  <si>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</si>
  <si>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</si>
  <si>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</si>
  <si>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</si>
  <si>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</si>
  <si>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</si>
  <si>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</si>
  <si>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</si>
  <si>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</si>
  <si>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</si>
  <si>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</si>
  <si>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</si>
  <si>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</si>
  <si>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</si>
  <si>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</si>
  <si>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</si>
  <si>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</si>
  <si>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</si>
  <si>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</si>
  <si>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</si>
  <si>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</si>
  <si>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</si>
  <si>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</si>
  <si>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</si>
  <si>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</si>
  <si>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</si>
  <si>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</si>
  <si>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</si>
  <si>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</si>
  <si>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</si>
  <si>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</si>
  <si>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</si>
  <si>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</si>
  <si>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</si>
  <si>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</si>
  <si>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</si>
  <si>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</si>
  <si>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</si>
  <si>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</si>
  <si>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</si>
  <si>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</si>
  <si>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</si>
  <si>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</si>
  <si>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</si>
  <si>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</si>
  <si>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</si>
  <si>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</si>
  <si>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</si>
  <si>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</si>
  <si>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</si>
  <si>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</si>
  <si>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</si>
  <si>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</si>
  <si>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</si>
  <si>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</si>
  <si>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</si>
  <si>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</si>
  <si>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</si>
  <si>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</si>
  <si>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</si>
  <si>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</si>
  <si>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</si>
  <si>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</si>
  <si>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</si>
  <si>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</si>
  <si>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</si>
  <si>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</si>
  <si>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</si>
  <si>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</si>
  <si>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</si>
  <si>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</si>
  <si>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</si>
  <si>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</si>
  <si>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</si>
  <si>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</si>
  <si>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</si>
  <si>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</si>
  <si>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</si>
  <si>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</si>
  <si>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</si>
  <si>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</si>
  <si>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</si>
  <si>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</si>
  <si>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</si>
  <si>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</si>
  <si>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</si>
  <si>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</si>
  <si>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</si>
  <si>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</si>
  <si>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</si>
  <si>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</si>
  <si>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</si>
  <si>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</si>
  <si>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</si>
  <si>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</si>
  <si>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</si>
  <si>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</si>
  <si>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</si>
  <si>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</si>
  <si>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</si>
  <si>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</si>
  <si>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</si>
  <si>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</si>
  <si>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</si>
  <si>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</si>
  <si>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</si>
  <si>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</si>
  <si>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</si>
  <si>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</si>
  <si>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</si>
  <si>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</si>
  <si>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</si>
  <si>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</si>
  <si>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</si>
  <si>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</si>
  <si>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</si>
  <si>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</si>
  <si>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</si>
  <si>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</si>
  <si>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</si>
  <si>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</si>
  <si>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</si>
  <si>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</si>
  <si>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</si>
  <si>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</si>
  <si>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</si>
  <si>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</si>
  <si>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</si>
  <si>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</si>
  <si>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</si>
  <si>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</si>
  <si>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</si>
  <si>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</si>
  <si>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</si>
  <si>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</si>
  <si>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</si>
  <si>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</si>
  <si>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</si>
  <si>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</si>
  <si>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</si>
  <si>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</si>
  <si>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</si>
  <si>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</si>
  <si>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</si>
  <si>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</si>
  <si>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</si>
  <si>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</si>
  <si>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</si>
  <si>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</si>
  <si>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</si>
  <si>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</si>
  <si>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</si>
  <si>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</si>
  <si>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</si>
  <si>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</si>
  <si>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</si>
  <si>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</si>
  <si>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</si>
  <si>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</si>
  <si>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</si>
  <si>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</si>
  <si>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</si>
  <si>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</si>
  <si>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</si>
  <si>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</si>
  <si>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</si>
  <si>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</si>
  <si>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</si>
  <si>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</si>
  <si>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</si>
  <si>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</si>
  <si>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</si>
  <si>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</si>
  <si>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</si>
  <si>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</si>
  <si>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</si>
  <si>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</si>
  <si>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</si>
  <si>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</si>
  <si>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</si>
  <si>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</si>
  <si>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</si>
  <si>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</si>
  <si>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</si>
  <si>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</si>
  <si>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</si>
  <si>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</si>
  <si>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</si>
  <si>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</si>
  <si>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</si>
  <si>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</si>
  <si>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</si>
  <si>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</si>
  <si>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</si>
  <si>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</si>
  <si>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</si>
  <si>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</si>
  <si>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</si>
  <si>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</si>
  <si>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</si>
  <si>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</si>
  <si>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</si>
  <si>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</si>
  <si>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</si>
  <si>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</si>
  <si>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</si>
  <si>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</si>
  <si>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</si>
  <si>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</si>
  <si>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</si>
  <si>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</si>
  <si>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</si>
  <si>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</si>
  <si>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</si>
  <si>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</si>
  <si>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</si>
  <si>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</si>
  <si>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</si>
  <si>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</si>
  <si>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</si>
  <si>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</si>
  <si>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</si>
  <si>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</si>
  <si>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</si>
  <si>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</si>
  <si>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</si>
  <si>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</si>
  <si>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</si>
  <si>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</si>
  <si>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</si>
  <si>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</si>
  <si>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</si>
  <si>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</si>
  <si>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</si>
  <si>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</si>
  <si>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</si>
  <si>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</si>
  <si>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</si>
  <si>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</si>
  <si>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</si>
  <si>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</si>
  <si>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</si>
  <si>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</si>
  <si>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</si>
  <si>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</si>
  <si>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</si>
  <si>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</si>
  <si>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</si>
  <si>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</si>
  <si>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</si>
  <si>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</si>
  <si>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</si>
  <si>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</si>
  <si>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</si>
  <si>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</si>
  <si>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</si>
  <si>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</si>
  <si>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</si>
  <si>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</si>
  <si>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</si>
  <si>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</si>
  <si>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</si>
  <si>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</si>
  <si>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</si>
  <si>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</si>
  <si>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</si>
  <si>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</si>
  <si>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</si>
  <si>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</si>
  <si>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</si>
  <si>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</si>
  <si>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</si>
  <si>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</si>
  <si>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</si>
  <si>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</si>
  <si>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</si>
  <si>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</si>
  <si>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</si>
  <si>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</si>
  <si>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</si>
  <si>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</si>
  <si>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</si>
  <si>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</si>
  <si>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</si>
  <si>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</si>
  <si>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</si>
  <si>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</si>
  <si>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</si>
  <si>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</si>
  <si>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</si>
  <si>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</si>
  <si>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</si>
  <si>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</si>
  <si>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</si>
  <si>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</si>
  <si>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</si>
  <si>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</si>
  <si>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</si>
  <si>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</si>
  <si>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</si>
  <si>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</si>
  <si>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</si>
  <si>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</si>
  <si>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</si>
  <si>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</si>
  <si>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</si>
  <si>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</si>
  <si>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</si>
  <si>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</si>
  <si>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</si>
  <si>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</si>
  <si>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</si>
  <si>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</si>
  <si>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</si>
  <si>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</si>
  <si>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</si>
  <si>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</si>
  <si>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</si>
  <si>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</si>
  <si>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</si>
  <si>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</si>
  <si>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</si>
  <si>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</si>
  <si>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</si>
  <si>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</si>
  <si>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</si>
  <si>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</si>
  <si>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</si>
  <si>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</si>
  <si>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</si>
  <si>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</si>
  <si>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</si>
  <si>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</si>
  <si>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</si>
  <si>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</si>
  <si>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</si>
  <si>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</si>
  <si>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</si>
  <si>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</si>
  <si>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</si>
  <si>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</si>
  <si>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</si>
  <si>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</si>
  <si>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</si>
  <si>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</si>
  <si>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</si>
  <si>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</si>
  <si>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</si>
  <si>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</si>
  <si>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</si>
  <si>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</si>
  <si>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</si>
  <si>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</si>
  <si>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</si>
  <si>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</si>
  <si>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</si>
  <si>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</si>
  <si>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</si>
  <si>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</si>
  <si>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</si>
  <si>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</si>
  <si>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</si>
  <si>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</si>
  <si>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</si>
  <si>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</si>
  <si>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</si>
  <si>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</si>
  <si>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</si>
  <si>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</si>
  <si>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</si>
  <si>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</si>
  <si>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</si>
  <si>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</si>
  <si>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</si>
  <si>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</si>
  <si>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</si>
  <si>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</si>
  <si>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</si>
  <si>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</si>
  <si>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</si>
  <si>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</si>
  <si>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</si>
  <si>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</si>
  <si>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</si>
  <si>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</si>
  <si>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</si>
  <si>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</si>
  <si>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</si>
  <si>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</si>
  <si>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</si>
  <si>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</si>
  <si>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</si>
  <si>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</si>
  <si>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</si>
  <si>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</si>
  <si>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</si>
  <si>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</si>
  <si>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</si>
  <si>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</si>
  <si>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</si>
  <si>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</si>
  <si>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</si>
  <si>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</si>
  <si>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</si>
  <si>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</si>
  <si>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</si>
  <si>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</si>
  <si>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</si>
  <si>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</si>
  <si>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</si>
  <si>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</si>
  <si>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</si>
  <si>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</si>
  <si>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</si>
  <si>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</si>
  <si>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</si>
  <si>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</si>
  <si>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</si>
  <si>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</si>
  <si>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</si>
  <si>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</si>
  <si>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</si>
  <si>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</si>
  <si>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</si>
  <si>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</si>
  <si>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</si>
  <si>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</si>
  <si>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</si>
  <si>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</si>
  <si>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</si>
  <si>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</si>
  <si>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</si>
  <si>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</si>
  <si>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</si>
  <si>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</si>
  <si>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</si>
  <si>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</si>
  <si>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</si>
  <si>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</si>
  <si>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</si>
  <si>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</si>
  <si>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</si>
  <si>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</si>
  <si>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</si>
  <si>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</si>
  <si>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</si>
  <si>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</si>
  <si>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</si>
  <si>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</si>
  <si>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</si>
  <si>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</si>
  <si>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</si>
  <si>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</si>
  <si>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</si>
  <si>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</si>
  <si>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</si>
  <si>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</si>
  <si>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</si>
  <si>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</si>
  <si>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</si>
  <si>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</si>
  <si>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</si>
  <si>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</si>
  <si>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</si>
  <si>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</si>
  <si>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</si>
  <si>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</si>
  <si>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</si>
  <si>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</si>
  <si>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</si>
  <si>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</si>
  <si>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</si>
  <si>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</si>
  <si>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</si>
  <si>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</si>
  <si>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</si>
  <si>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</si>
  <si>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</si>
  <si>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</si>
  <si>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</si>
  <si>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</si>
  <si>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</si>
  <si>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</si>
  <si>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</si>
  <si>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</si>
  <si>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</si>
  <si>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</si>
  <si>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</si>
  <si>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</si>
  <si>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</si>
  <si>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</si>
  <si>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</si>
  <si>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</si>
  <si>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</si>
  <si>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</si>
  <si>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</si>
  <si>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</si>
  <si>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</si>
  <si>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</si>
  <si>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</si>
  <si>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</si>
  <si>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</si>
  <si>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</si>
  <si>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</si>
  <si>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</si>
  <si>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</si>
  <si>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</si>
  <si>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</si>
  <si>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</si>
  <si>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</si>
  <si>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</si>
  <si>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</si>
  <si>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</si>
  <si>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</si>
  <si>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</si>
  <si>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</si>
  <si>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</si>
  <si>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</si>
  <si>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</si>
  <si>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</si>
  <si>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</si>
  <si>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</si>
  <si>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</si>
  <si>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</si>
  <si>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</si>
  <si>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</si>
  <si>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</si>
  <si>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</si>
  <si>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</si>
  <si>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</si>
  <si>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</si>
  <si>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</si>
  <si>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</si>
  <si>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</si>
  <si>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</si>
  <si>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</si>
  <si>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</si>
  <si>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</si>
  <si>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</si>
  <si>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</si>
  <si>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</si>
  <si>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</si>
  <si>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</si>
  <si>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</si>
  <si>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</si>
  <si>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</si>
  <si>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</si>
  <si>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</si>
  <si>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</si>
  <si>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</si>
  <si>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</si>
  <si>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</si>
  <si>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</si>
  <si>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</si>
  <si>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</si>
  <si>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</si>
  <si>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</si>
  <si>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</si>
  <si>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</si>
  <si>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</si>
  <si>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</si>
  <si>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</si>
  <si>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</si>
  <si>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</si>
  <si>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</si>
  <si>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</si>
  <si>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</si>
  <si>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</si>
  <si>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</si>
  <si>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</si>
  <si>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</si>
  <si>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</si>
  <si>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</si>
  <si>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</si>
  <si>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</si>
  <si>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</si>
  <si>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</si>
  <si>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</si>
  <si>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</si>
  <si>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</si>
  <si>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</si>
  <si>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</si>
  <si>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</si>
  <si>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</si>
  <si>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</si>
  <si>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</si>
  <si>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</si>
  <si>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</si>
  <si>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</si>
  <si>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</si>
  <si>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</si>
  <si>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</si>
  <si>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</si>
  <si>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</si>
  <si>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</si>
  <si>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</si>
  <si>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</si>
  <si>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</si>
  <si>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</si>
  <si>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</si>
  <si>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</si>
  <si>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</si>
  <si>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</si>
  <si>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</si>
  <si>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</si>
  <si>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</si>
  <si>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</si>
  <si>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</si>
  <si>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</si>
  <si>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</si>
  <si>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</si>
  <si>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</si>
  <si>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</si>
  <si>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</si>
  <si>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</si>
  <si>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</si>
  <si>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</si>
  <si>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</si>
  <si>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</si>
  <si>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</si>
  <si>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</si>
  <si>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</si>
  <si>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</si>
  <si>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</si>
  <si>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</si>
  <si>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</si>
  <si>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</si>
  <si>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</si>
  <si>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</si>
  <si>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</si>
  <si>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</si>
  <si>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</si>
  <si>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</si>
  <si>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</si>
  <si>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</si>
  <si>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</si>
  <si>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</si>
  <si>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</si>
  <si>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</si>
  <si>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</si>
  <si>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</si>
  <si>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</si>
  <si>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</si>
  <si>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</si>
  <si>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</si>
  <si>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</si>
  <si>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</si>
  <si>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</si>
  <si>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</si>
  <si>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</si>
  <si>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</si>
  <si>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</si>
  <si>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</si>
  <si>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</si>
  <si>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</si>
  <si>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</si>
  <si>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</si>
  <si>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</si>
  <si>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</si>
  <si>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</si>
  <si>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</si>
  <si>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</si>
  <si>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</si>
  <si>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</si>
  <si>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</si>
  <si>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</si>
  <si>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</si>
  <si>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</si>
  <si>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</si>
  <si>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</si>
  <si>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</si>
  <si>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</si>
  <si>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</si>
  <si>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</si>
  <si>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</si>
  <si>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</si>
  <si>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</si>
  <si>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</si>
  <si>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</si>
  <si>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</si>
  <si>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</si>
  <si>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</si>
  <si>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</si>
  <si>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</si>
  <si>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</si>
  <si>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</si>
  <si>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</si>
  <si>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</si>
  <si>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</si>
  <si>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</si>
  <si>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</si>
  <si>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</si>
  <si>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</si>
  <si>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</si>
  <si>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</si>
  <si>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</si>
  <si>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</si>
  <si>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</si>
  <si>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</si>
  <si>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</si>
  <si>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</si>
  <si>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</si>
  <si>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</si>
  <si>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</si>
  <si>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</si>
  <si>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</si>
  <si>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</si>
  <si>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</si>
  <si>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</si>
  <si>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</si>
  <si>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</si>
  <si>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</si>
  <si>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</si>
  <si>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</si>
  <si>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</si>
  <si>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</si>
  <si>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</si>
  <si>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</si>
  <si>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</si>
  <si>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</si>
  <si>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</si>
  <si>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</si>
  <si>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</si>
  <si>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</si>
  <si>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</si>
  <si>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</si>
  <si>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</si>
  <si>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</si>
  <si>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</si>
  <si>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</si>
  <si>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</si>
  <si>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</si>
  <si>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</si>
  <si>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</si>
  <si>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</si>
  <si>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</si>
  <si>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</si>
  <si>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</si>
  <si>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</si>
  <si>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</si>
  <si>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</si>
  <si>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</si>
  <si>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</si>
  <si>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</si>
  <si>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</si>
  <si>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</si>
  <si>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</si>
  <si>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</si>
  <si>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</si>
  <si>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</si>
  <si>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</si>
  <si>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</si>
  <si>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</si>
  <si>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</si>
  <si>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</si>
  <si>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</si>
  <si>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</si>
  <si>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</si>
  <si>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</si>
  <si>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</si>
  <si>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</si>
  <si>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</si>
  <si>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</si>
  <si>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</si>
  <si>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</si>
  <si>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</si>
  <si>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</si>
  <si>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</si>
  <si>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</si>
  <si>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</si>
  <si>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</si>
  <si>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</si>
  <si>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</si>
  <si>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</si>
  <si>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</si>
  <si>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</si>
  <si>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</si>
  <si>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</si>
  <si>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</si>
  <si>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</si>
  <si>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</si>
  <si>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</si>
  <si>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</si>
  <si>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</si>
  <si>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</si>
  <si>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</si>
  <si>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</si>
  <si>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</si>
  <si>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</si>
  <si>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</si>
  <si>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</si>
  <si>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</si>
  <si>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</si>
  <si>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</si>
  <si>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</si>
  <si>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</si>
  <si>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</si>
  <si>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</si>
  <si>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</si>
  <si>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</si>
  <si>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</si>
  <si>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</si>
  <si>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</si>
  <si>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</si>
  <si>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</si>
  <si>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</si>
  <si>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</si>
  <si>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</si>
  <si>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</si>
  <si>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</si>
  <si>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</si>
  <si>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</si>
  <si>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</si>
  <si>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</si>
  <si>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</si>
  <si>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</si>
  <si>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</si>
  <si>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</si>
  <si>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</si>
  <si>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</si>
  <si>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</si>
  <si>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</si>
  <si>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</si>
  <si>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</si>
  <si>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</si>
  <si>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</si>
  <si>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</si>
  <si>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</si>
  <si>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</si>
  <si>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</si>
  <si>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</si>
  <si>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</si>
  <si>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</si>
  <si>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</si>
  <si>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</si>
  <si>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</si>
  <si>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</si>
  <si>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</si>
  <si>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</si>
  <si>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</si>
  <si>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</si>
  <si>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</si>
  <si>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</si>
  <si>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</si>
  <si>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</si>
  <si>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</si>
  <si>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</si>
  <si>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</si>
  <si>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</si>
  <si>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</si>
  <si>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</si>
  <si>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</si>
  <si>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</si>
  <si>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</si>
  <si>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</si>
  <si>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</si>
  <si>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</si>
  <si>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</si>
  <si>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</si>
  <si>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</si>
  <si>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</si>
  <si>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</si>
  <si>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</si>
  <si>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</si>
  <si>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</si>
  <si>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</si>
  <si>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</si>
  <si>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</si>
  <si>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</si>
  <si>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</si>
  <si>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</si>
  <si>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</si>
  <si>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</si>
  <si>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</si>
  <si>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</si>
  <si>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</si>
  <si>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</si>
  <si>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</si>
  <si>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</si>
  <si>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</si>
  <si>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</si>
  <si>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</si>
  <si>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</si>
  <si>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</si>
  <si>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</si>
  <si>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</si>
  <si>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</si>
  <si>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</si>
  <si>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</si>
  <si>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</si>
  <si>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</si>
  <si>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</si>
  <si>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</si>
  <si>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</si>
  <si>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</si>
  <si>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</si>
  <si>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</si>
  <si>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</si>
  <si>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</si>
  <si>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</si>
  <si>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</si>
  <si>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</si>
  <si>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</si>
  <si>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</si>
  <si>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</si>
  <si>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</si>
  <si>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</si>
  <si>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</si>
  <si>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</si>
  <si>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</si>
  <si>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</si>
  <si>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</si>
  <si>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</si>
  <si>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</si>
  <si>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</si>
  <si>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</si>
  <si>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</si>
  <si>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</si>
  <si>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</si>
  <si>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</si>
  <si>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</si>
  <si>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</si>
  <si>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</si>
  <si>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</si>
  <si>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</si>
  <si>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</si>
  <si>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</si>
  <si>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</si>
  <si>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</si>
  <si>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</si>
  <si>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</si>
  <si>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</si>
  <si>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</si>
  <si>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</si>
  <si>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</si>
  <si>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</si>
  <si>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</si>
  <si>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</si>
  <si>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</si>
  <si>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</si>
  <si>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</si>
  <si>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</si>
  <si>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</si>
  <si>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</si>
  <si>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</si>
  <si>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</si>
  <si>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</si>
  <si>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</si>
  <si>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</si>
  <si>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</si>
  <si>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</si>
  <si>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</si>
  <si>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</si>
  <si>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</si>
  <si>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</si>
  <si>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</si>
  <si>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</si>
  <si>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</si>
  <si>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</si>
  <si>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</si>
  <si>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</si>
  <si>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</si>
  <si>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</si>
  <si>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</si>
  <si>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</si>
  <si>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</si>
  <si>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</si>
  <si>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</si>
  <si>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</si>
  <si>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</si>
  <si>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</si>
  <si>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</si>
  <si>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</si>
  <si>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</si>
  <si>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</si>
  <si>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</si>
  <si>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</si>
  <si>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</si>
  <si>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</si>
  <si>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</si>
  <si>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</si>
  <si>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</si>
  <si>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</si>
  <si>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</si>
  <si>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</si>
  <si>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</si>
  <si>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</si>
  <si>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</si>
  <si>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</si>
  <si>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</si>
  <si>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</si>
  <si>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</si>
  <si>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</si>
  <si>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</si>
  <si>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</si>
  <si>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</si>
  <si>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</si>
  <si>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</si>
  <si>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</si>
  <si>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</si>
  <si>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</si>
  <si>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</si>
  <si>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</si>
  <si>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</si>
  <si>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</si>
  <si>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</si>
  <si>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</si>
  <si>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</si>
  <si>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</si>
  <si>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</si>
  <si>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</si>
  <si>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</si>
  <si>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</si>
  <si>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</si>
  <si>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</si>
  <si>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</si>
  <si>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</si>
  <si>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</si>
  <si>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</si>
  <si>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</si>
  <si>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</si>
  <si>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</si>
  <si>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</si>
  <si>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</si>
  <si>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</si>
  <si>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</si>
  <si>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</si>
  <si>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</si>
  <si>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</si>
  <si>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</si>
  <si>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</si>
  <si>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</si>
  <si>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</si>
  <si>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</si>
  <si>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</si>
  <si>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</si>
  <si>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</si>
  <si>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</si>
  <si>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</si>
  <si>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</si>
  <si>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</si>
  <si>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</si>
  <si>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</si>
  <si>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</si>
  <si>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</si>
  <si>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</si>
  <si>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</si>
  <si>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</si>
  <si>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</si>
  <si>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</si>
  <si>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</si>
  <si>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</si>
  <si>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</si>
  <si>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</si>
  <si>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</si>
  <si>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</si>
  <si>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</si>
  <si>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</si>
  <si>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</si>
  <si>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</si>
  <si>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</si>
  <si>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</si>
  <si>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</si>
  <si>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</si>
  <si>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</si>
  <si>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</si>
  <si>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</si>
  <si>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</si>
  <si>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</si>
  <si>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</si>
  <si>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</si>
  <si>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</si>
  <si>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2019-2</t>
    <phoneticPr fontId="3" type="noConversion"/>
  </si>
  <si>
    <t>按公示增长率计算</t>
  </si>
  <si>
    <t>以估价对象土地价格为基数记取</t>
    <phoneticPr fontId="15" type="noConversion"/>
  </si>
  <si>
    <t>2019-3</t>
    <phoneticPr fontId="3" type="noConversion"/>
  </si>
  <si>
    <t>赵璠</t>
  </si>
  <si>
    <t>2019A-027</t>
    <phoneticPr fontId="3" type="noConversion"/>
  </si>
  <si>
    <t>刘俊财</t>
    <phoneticPr fontId="3" type="noConversion"/>
  </si>
  <si>
    <t>2019-4</t>
    <phoneticPr fontId="3" type="noConversion"/>
  </si>
  <si>
    <t>2020-1</t>
    <phoneticPr fontId="3" type="noConversion"/>
  </si>
  <si>
    <t>2020-2</t>
    <phoneticPr fontId="3" type="noConversion"/>
  </si>
  <si>
    <t>2020-3</t>
    <phoneticPr fontId="3" type="noConversion"/>
  </si>
  <si>
    <t>市场价格</t>
  </si>
  <si>
    <t>企业</t>
  </si>
  <si>
    <t>Ⅷ-通1</t>
  </si>
  <si>
    <t>地上</t>
  </si>
  <si>
    <t>办公</t>
    <phoneticPr fontId="7" type="noConversion"/>
  </si>
  <si>
    <t>办公楼</t>
  </si>
  <si>
    <t>收益还原法</t>
  </si>
  <si>
    <t>案例G</t>
  </si>
  <si>
    <t>金融街园中园</t>
  </si>
  <si>
    <t>案例H</t>
  </si>
  <si>
    <t>案例I</t>
  </si>
  <si>
    <t>通州万达广场</t>
  </si>
  <si>
    <r>
      <rPr>
        <sz val="11"/>
        <color indexed="8"/>
        <rFont val="仿宋_GB2312"/>
        <family val="3"/>
        <charset val="134"/>
      </rPr>
      <t>不动产比较法</t>
    </r>
    <r>
      <rPr>
        <sz val="11"/>
        <color indexed="8"/>
        <rFont val="Arial"/>
        <family val="2"/>
      </rPr>
      <t>-</t>
    </r>
    <r>
      <rPr>
        <sz val="11"/>
        <color indexed="8"/>
        <rFont val="仿宋_GB2312"/>
        <family val="3"/>
        <charset val="134"/>
      </rPr>
      <t>办公售价</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</si>
  <si>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办公租金</t>
    </r>
    <phoneticPr fontId="14" type="noConversion"/>
  </si>
  <si>
    <t>售价</t>
  </si>
  <si>
    <t>商务金融用地（办公类）</t>
  </si>
  <si>
    <t>通路</t>
  </si>
  <si>
    <t>通电</t>
  </si>
  <si>
    <t>通讯</t>
  </si>
  <si>
    <t>通上水</t>
  </si>
  <si>
    <t>通下水</t>
  </si>
  <si>
    <t>平整</t>
  </si>
  <si>
    <t>与级别开发程度不一致</t>
  </si>
  <si>
    <t>容积率修正</t>
  </si>
  <si>
    <t>一般</t>
  </si>
  <si>
    <t>较好</t>
  </si>
  <si>
    <t>自定义容积率</t>
  </si>
  <si>
    <r>
      <rPr>
        <sz val="11"/>
        <color indexed="53"/>
        <rFont val="仿宋_GB2312"/>
        <family val="3"/>
        <charset val="134"/>
      </rPr>
      <t>估价对象名称</t>
    </r>
  </si>
  <si>
    <t>通州区东夏园</t>
  </si>
  <si>
    <t>通州区永顺镇</t>
  </si>
  <si>
    <t>通州北苑</t>
  </si>
  <si>
    <t>正常</t>
  </si>
  <si>
    <t>办公</t>
    <phoneticPr fontId="27" type="noConversion"/>
  </si>
  <si>
    <t>40-50（含）</t>
  </si>
  <si>
    <t>五通</t>
  </si>
  <si>
    <t>高速路</t>
  </si>
  <si>
    <t>城市主干道</t>
  </si>
  <si>
    <t>城市次干道</t>
  </si>
  <si>
    <t>城市支路</t>
  </si>
  <si>
    <t>钢混</t>
  </si>
  <si>
    <t>精装修</t>
  </si>
  <si>
    <t>普通装修</t>
  </si>
  <si>
    <t>简单装修</t>
  </si>
  <si>
    <t>毛坯</t>
  </si>
  <si>
    <t>标准写字楼</t>
  </si>
  <si>
    <t>非标准写字楼</t>
  </si>
  <si>
    <t>物业公司管理</t>
  </si>
  <si>
    <t>否</t>
  </si>
  <si>
    <t>已部分缴纳</t>
  </si>
  <si>
    <t>押一</t>
  </si>
  <si>
    <t>非生产用房</t>
    <phoneticPr fontId="3" type="noConversion"/>
  </si>
  <si>
    <t>钢混</t>
    <phoneticPr fontId="3" type="noConversion"/>
  </si>
  <si>
    <t>楼面单价
（元/平方米）</t>
  </si>
  <si>
    <t>建筑规模
（平方米）</t>
  </si>
  <si>
    <t>总价
（万元）</t>
  </si>
  <si>
    <t>商务用途熟地价</t>
  </si>
  <si>
    <t>熟地总价</t>
  </si>
  <si>
    <t>商务用途政府土地出让收益</t>
  </si>
  <si>
    <t>政府土地出让收益总价</t>
  </si>
  <si>
    <t>权重</t>
  </si>
  <si>
    <t>剩余法</t>
  </si>
  <si>
    <t>权重后单价</t>
  </si>
  <si>
    <t>出让金</t>
  </si>
  <si>
    <t>权重后总价</t>
  </si>
  <si>
    <t>商务用地</t>
    <phoneticPr fontId="228" type="noConversion"/>
  </si>
  <si>
    <t>基准地价</t>
    <phoneticPr fontId="228" type="noConversion"/>
  </si>
  <si>
    <t>总价（万元）</t>
    <phoneticPr fontId="228" type="noConversion"/>
  </si>
  <si>
    <t>楼面单价（元/平方米）</t>
    <phoneticPr fontId="228" type="noConversion"/>
  </si>
  <si>
    <t>挂牌</t>
  </si>
  <si>
    <t>挂牌</t>
    <phoneticPr fontId="228" type="noConversion"/>
  </si>
  <si>
    <t>办公</t>
    <phoneticPr fontId="228" type="noConversion"/>
  </si>
  <si>
    <t>北京one写字楼</t>
    <phoneticPr fontId="3" type="noConversion"/>
  </si>
  <si>
    <t>通州绿地中央广场</t>
    <phoneticPr fontId="228" type="noConversion"/>
  </si>
  <si>
    <t>结果汇总表(高限）</t>
    <phoneticPr fontId="228" type="noConversion"/>
  </si>
  <si>
    <t>两种方法</t>
    <phoneticPr fontId="228" type="noConversion"/>
  </si>
  <si>
    <t>权重</t>
    <phoneticPr fontId="228" type="noConversion"/>
  </si>
  <si>
    <t>剩余法</t>
    <phoneticPr fontId="228" type="noConversion"/>
  </si>
  <si>
    <t>权重后楼面单价</t>
    <phoneticPr fontId="228" type="noConversion"/>
  </si>
  <si>
    <t>高限</t>
    <phoneticPr fontId="228" type="noConversion"/>
  </si>
  <si>
    <t>低限</t>
    <phoneticPr fontId="228" type="noConversion"/>
  </si>
  <si>
    <t>三种方法</t>
    <phoneticPr fontId="228" type="noConversion"/>
  </si>
  <si>
    <t>收益还原法</t>
    <phoneticPr fontId="228" type="noConversion"/>
  </si>
  <si>
    <t>楼面单价（元/平方米）</t>
    <phoneticPr fontId="228" type="noConversion"/>
  </si>
  <si>
    <t>高限</t>
    <phoneticPr fontId="228" type="noConversion"/>
  </si>
  <si>
    <t>低限</t>
    <phoneticPr fontId="228" type="noConversion"/>
  </si>
  <si>
    <t>建安</t>
    <phoneticPr fontId="228" type="noConversion"/>
  </si>
  <si>
    <t>建设期</t>
    <phoneticPr fontId="228" type="noConversion"/>
  </si>
  <si>
    <t>利润率</t>
    <phoneticPr fontId="228" type="noConversion"/>
  </si>
  <si>
    <t>租金</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</si>
</sst>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
  </numFmts>
  <fonts count="28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b/>
      <sz val="8"/>
      <color indexed="81"/>
      <name val="宋体"/>
      <family val="3"/>
      <charset val="134"/>
    </font>
    <font>
      <sz val="11"/>
      <color indexed="53"/>
      <name val="仿宋_GB2312"/>
      <family val="3"/>
      <charset val="134"/>
    </font>
    <font>
      <sz val="14"/>
      <color theme="1"/>
      <name val="黑体"/>
      <family val="3"/>
      <charset val="134"/>
    </font>
    <font>
      <sz val="12"/>
      <color theme="1"/>
      <name val="黑体"/>
      <family val="3"/>
      <charset val="134"/>
    </font>
    <font>
      <b/>
      <sz val="11"/>
      <name val="黑体"/>
      <family val="3"/>
      <charset val="134"/>
    </font>
    <font>
      <b/>
      <sz val="11"/>
      <name val="宋体"/>
      <family val="3"/>
      <charset val="134"/>
      <scheme val="minor"/>
    </font>
    <font>
      <b/>
      <sz val="12"/>
      <name val="黑体"/>
      <family val="3"/>
      <charset val="134"/>
    </font>
    <font>
      <sz val="11"/>
      <color theme="9" tint="-0.249977111117893"/>
      <name val="宋体"/>
      <family val="3"/>
      <charset val="134"/>
    </font>
  </fonts>
  <fills count="25">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5" tint="0.39997558519241921"/>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theme="9" tint="0.79998168889431442"/>
        <bgColor indexed="64"/>
      </patternFill>
    </fill>
    <fill>
      <patternFill patternType="solid">
        <fgColor theme="9" tint="0.39997558519241921"/>
        <bgColor indexed="64"/>
      </patternFill>
    </fill>
    <fill>
      <patternFill patternType="solid">
        <fgColor theme="6" tint="0.79998168889431442"/>
        <bgColor indexed="64"/>
      </patternFill>
    </fill>
    <fill>
      <patternFill patternType="solid">
        <fgColor theme="4" tint="0.79998168889431442"/>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145" fillId="0" borderId="0">
      <alignment vertical="center"/>
    </xf>
  </cellStyleXfs>
  <cellXfs count="3529">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76" fillId="0" borderId="2" xfId="0" applyNumberFormat="1" applyFont="1" applyBorder="1" applyAlignment="1" applyProtection="1">
      <alignment horizontal="center" vertical="center" wrapText="1"/>
      <protection locked="0"/>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178"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182"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9" xfId="0" applyNumberFormat="1" applyFont="1" applyFill="1" applyBorder="1" applyAlignment="1" applyProtection="1">
      <alignment horizontal="center" vertical="center" wrapText="1"/>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2"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16" xfId="0" applyNumberFormat="1" applyFont="1" applyFill="1" applyBorder="1" applyAlignment="1" applyProtection="1">
      <alignment horizontal="center" vertical="center" wrapText="1"/>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9" xfId="0" applyNumberFormat="1" applyFont="1" applyFill="1" applyBorder="1" applyAlignment="1" applyProtection="1">
      <alignment horizontal="center" vertical="center" wrapText="1"/>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4"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80"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8"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13" borderId="2" xfId="14" applyFont="1" applyFill="1" applyBorder="1" applyAlignment="1" applyProtection="1">
      <alignment horizontal="center" vertical="center" wrapText="1"/>
      <protection locked="0"/>
    </xf>
    <xf numFmtId="0" fontId="257" fillId="0" borderId="2" xfId="14" applyFont="1" applyBorder="1" applyAlignment="1" applyProtection="1">
      <alignment horizontal="left" vertical="center" wrapText="1"/>
      <protection locked="0"/>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80"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182"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1" fontId="272" fillId="0" borderId="2" xfId="7" applyNumberFormat="1" applyFont="1" applyFill="1" applyBorder="1" applyAlignment="1">
      <alignment horizontal="left" vertical="center"/>
    </xf>
    <xf numFmtId="184" fontId="272" fillId="0" borderId="2" xfId="7" applyNumberFormat="1" applyFont="1" applyFill="1" applyBorder="1" applyAlignment="1">
      <alignment horizontal="left" vertical="center"/>
    </xf>
    <xf numFmtId="191"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4" fontId="272" fillId="0" borderId="10" xfId="7" applyNumberFormat="1" applyFont="1" applyFill="1" applyBorder="1" applyAlignment="1">
      <alignment horizontal="left" vertical="center"/>
    </xf>
    <xf numFmtId="191"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4"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106" fillId="17" borderId="83" xfId="0" applyFont="1" applyFill="1" applyBorder="1" applyAlignment="1" applyProtection="1">
      <alignment horizontal="center" vertical="center"/>
    </xf>
    <xf numFmtId="10" fontId="156" fillId="5" borderId="2" xfId="0" applyNumberFormat="1" applyFont="1" applyFill="1" applyBorder="1" applyAlignment="1" applyProtection="1">
      <alignment horizontal="right" vertical="center"/>
    </xf>
    <xf numFmtId="0" fontId="257" fillId="0" borderId="0" xfId="14" applyFont="1" applyBorder="1" applyAlignment="1" applyProtection="1">
      <alignment horizontal="left" vertical="center" wrapText="1"/>
      <protection locked="0"/>
    </xf>
    <xf numFmtId="0" fontId="0" fillId="0" borderId="0" xfId="0" applyProtection="1">
      <alignment vertical="center"/>
      <protection locked="0"/>
    </xf>
    <xf numFmtId="0" fontId="257" fillId="5" borderId="2" xfId="14" applyFont="1" applyFill="1" applyBorder="1" applyAlignment="1" applyProtection="1">
      <alignment horizontal="center" vertical="center" wrapText="1"/>
    </xf>
    <xf numFmtId="14" fontId="257" fillId="5" borderId="2" xfId="14" applyNumberFormat="1" applyFont="1" applyFill="1" applyBorder="1" applyAlignment="1" applyProtection="1">
      <alignment horizontal="center" vertical="center" wrapText="1"/>
    </xf>
    <xf numFmtId="0" fontId="256" fillId="5" borderId="2" xfId="14" applyFill="1" applyBorder="1" applyAlignment="1" applyProtection="1">
      <alignment vertical="center"/>
    </xf>
    <xf numFmtId="0" fontId="257" fillId="5" borderId="10" xfId="14" applyFont="1" applyFill="1" applyBorder="1" applyAlignment="1" applyProtection="1">
      <alignment horizontal="center" vertical="center" wrapText="1"/>
    </xf>
    <xf numFmtId="0" fontId="145" fillId="0" borderId="2" xfId="14" applyFont="1" applyFill="1" applyBorder="1" applyAlignment="1" applyProtection="1">
      <alignment vertical="center"/>
      <protection locked="0"/>
    </xf>
    <xf numFmtId="0" fontId="257" fillId="0" borderId="10" xfId="14"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71" fillId="0" borderId="2" xfId="0" applyFont="1" applyBorder="1" applyAlignment="1" applyProtection="1">
      <alignment horizontal="center" vertical="center"/>
      <protection locked="0"/>
    </xf>
    <xf numFmtId="0" fontId="84" fillId="5" borderId="5"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0" fontId="152" fillId="0" borderId="0" xfId="10" applyFont="1" applyFill="1" applyAlignment="1">
      <alignment horizontal="left" vertical="center"/>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177" fontId="71" fillId="16" borderId="12" xfId="2" applyNumberFormat="1" applyFont="1" applyFill="1" applyBorder="1" applyAlignment="1" applyProtection="1">
      <alignment horizontal="center" vertical="center"/>
      <protection locked="0"/>
    </xf>
    <xf numFmtId="178" fontId="76" fillId="16" borderId="2" xfId="2" applyNumberFormat="1" applyFont="1" applyFill="1" applyBorder="1" applyAlignment="1" applyProtection="1">
      <alignment horizontal="center" vertical="center"/>
      <protection locked="0"/>
    </xf>
    <xf numFmtId="9" fontId="76" fillId="16" borderId="5" xfId="0" applyNumberFormat="1" applyFont="1" applyFill="1" applyBorder="1" applyAlignment="1" applyProtection="1">
      <alignment horizontal="center" vertical="center"/>
      <protection locked="0"/>
    </xf>
    <xf numFmtId="0" fontId="145" fillId="0" borderId="0" xfId="1">
      <alignment vertical="center"/>
    </xf>
    <xf numFmtId="0" fontId="145" fillId="9" borderId="0" xfId="1" applyFill="1">
      <alignment vertical="center"/>
    </xf>
    <xf numFmtId="0" fontId="81" fillId="0" borderId="59"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06" fillId="16" borderId="22" xfId="0" applyNumberFormat="1" applyFont="1" applyFill="1" applyBorder="1" applyAlignment="1" applyProtection="1">
      <alignment horizontal="center" vertical="center" wrapText="1"/>
      <protection locked="0"/>
    </xf>
    <xf numFmtId="0" fontId="71" fillId="16" borderId="2" xfId="0" applyNumberFormat="1" applyFont="1" applyFill="1" applyBorder="1" applyAlignment="1" applyProtection="1">
      <alignment horizontal="center" vertical="center" wrapText="1"/>
      <protection locked="0"/>
    </xf>
    <xf numFmtId="0" fontId="71" fillId="16" borderId="71" xfId="0" applyNumberFormat="1" applyFont="1" applyFill="1" applyBorder="1" applyAlignment="1" applyProtection="1">
      <alignment horizontal="center" vertical="center" wrapText="1"/>
      <protection locked="0"/>
    </xf>
    <xf numFmtId="0" fontId="84" fillId="16" borderId="71"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106" fillId="16" borderId="9" xfId="0" applyNumberFormat="1" applyFont="1" applyFill="1" applyBorder="1" applyAlignment="1" applyProtection="1">
      <alignment horizontal="center" vertical="center" wrapText="1"/>
      <protection locked="0"/>
    </xf>
    <xf numFmtId="0" fontId="106" fillId="8" borderId="9" xfId="0" applyNumberFormat="1" applyFont="1" applyFill="1" applyBorder="1" applyAlignment="1" applyProtection="1">
      <alignment horizontal="center" vertical="center" wrapText="1"/>
      <protection locked="0"/>
    </xf>
    <xf numFmtId="0" fontId="32" fillId="8" borderId="0" xfId="0" applyFont="1" applyFill="1" applyAlignment="1" applyProtection="1">
      <alignment vertical="center"/>
      <protection locked="0"/>
    </xf>
    <xf numFmtId="180" fontId="71" fillId="5" borderId="11" xfId="0" applyNumberFormat="1" applyFont="1" applyFill="1" applyBorder="1" applyAlignment="1" applyProtection="1">
      <alignment horizontal="center" vertical="center"/>
    </xf>
    <xf numFmtId="0" fontId="277" fillId="0" borderId="2" xfId="16" applyFont="1" applyBorder="1" applyAlignment="1">
      <alignment horizontal="center" vertical="center" wrapText="1"/>
    </xf>
    <xf numFmtId="195" fontId="277" fillId="0" borderId="2" xfId="16" applyNumberFormat="1" applyFont="1" applyBorder="1" applyAlignment="1">
      <alignment horizontal="center" vertical="center" wrapText="1"/>
    </xf>
    <xf numFmtId="0" fontId="180" fillId="0" borderId="0" xfId="16" applyFont="1" applyAlignment="1">
      <alignment vertical="center" wrapText="1"/>
    </xf>
    <xf numFmtId="0" fontId="278" fillId="8" borderId="2" xfId="1" applyFont="1" applyFill="1" applyBorder="1" applyAlignment="1">
      <alignment horizontal="center" vertical="center" wrapText="1"/>
    </xf>
    <xf numFmtId="0" fontId="279" fillId="8" borderId="2" xfId="16" applyFont="1" applyFill="1" applyBorder="1" applyAlignment="1">
      <alignment horizontal="center" vertical="center" wrapText="1"/>
    </xf>
    <xf numFmtId="0" fontId="280" fillId="8" borderId="2" xfId="1" applyFont="1" applyFill="1" applyBorder="1" applyAlignment="1">
      <alignment horizontal="center" vertical="center" wrapText="1"/>
    </xf>
    <xf numFmtId="0" fontId="279" fillId="18" borderId="2" xfId="16" applyFont="1" applyFill="1" applyBorder="1" applyAlignment="1">
      <alignment horizontal="center" vertical="center" wrapText="1"/>
    </xf>
    <xf numFmtId="0" fontId="280" fillId="15" borderId="2" xfId="1" applyFont="1" applyFill="1" applyBorder="1" applyAlignment="1">
      <alignment horizontal="center" vertical="center" wrapText="1"/>
    </xf>
    <xf numFmtId="0" fontId="280" fillId="19" borderId="2" xfId="1" applyFont="1" applyFill="1" applyBorder="1" applyAlignment="1">
      <alignment horizontal="center" vertical="center" wrapText="1"/>
    </xf>
    <xf numFmtId="0" fontId="280" fillId="20" borderId="2" xfId="1" applyFont="1" applyFill="1" applyBorder="1" applyAlignment="1">
      <alignment horizontal="center" vertical="center" wrapText="1"/>
    </xf>
    <xf numFmtId="0" fontId="81" fillId="0" borderId="21" xfId="0" applyNumberFormat="1" applyFont="1" applyFill="1" applyBorder="1" applyAlignment="1" applyProtection="1">
      <alignment horizontal="center" vertical="center" wrapText="1"/>
      <protection locked="0"/>
    </xf>
    <xf numFmtId="0" fontId="145" fillId="0" borderId="0" xfId="0" applyFont="1">
      <alignment vertical="center"/>
    </xf>
    <xf numFmtId="0" fontId="145" fillId="6" borderId="0" xfId="0" applyFont="1" applyFill="1" applyAlignment="1">
      <alignment horizontal="center" vertical="center" wrapText="1"/>
    </xf>
    <xf numFmtId="0" fontId="0" fillId="0" borderId="0" xfId="0" applyAlignment="1">
      <alignment horizontal="center" vertical="center" wrapText="1"/>
    </xf>
    <xf numFmtId="0" fontId="145" fillId="24" borderId="2" xfId="0" applyFont="1" applyFill="1" applyBorder="1" applyAlignment="1">
      <alignment horizontal="center" vertical="center" wrapText="1"/>
    </xf>
    <xf numFmtId="0" fontId="145" fillId="21" borderId="2" xfId="0" applyFont="1" applyFill="1" applyBorder="1" applyAlignment="1">
      <alignment horizontal="center" vertical="center" wrapText="1"/>
    </xf>
    <xf numFmtId="0" fontId="0" fillId="21" borderId="2" xfId="0" applyFill="1" applyBorder="1" applyAlignment="1">
      <alignment horizontal="center" vertical="center" wrapText="1"/>
    </xf>
    <xf numFmtId="0" fontId="0" fillId="22" borderId="2" xfId="0" applyFill="1" applyBorder="1" applyAlignment="1">
      <alignment horizontal="center" vertical="center" wrapText="1"/>
    </xf>
    <xf numFmtId="0" fontId="145" fillId="23" borderId="2" xfId="0" applyFont="1" applyFill="1" applyBorder="1" applyAlignment="1">
      <alignment horizontal="center" vertical="center" wrapText="1"/>
    </xf>
    <xf numFmtId="0" fontId="0" fillId="23" borderId="2" xfId="0" applyFill="1" applyBorder="1" applyAlignment="1">
      <alignment horizontal="center" vertical="center" wrapText="1"/>
    </xf>
    <xf numFmtId="0" fontId="0" fillId="16" borderId="2" xfId="0" applyFill="1" applyBorder="1" applyAlignment="1">
      <alignment horizontal="center" vertical="center" wrapText="1"/>
    </xf>
    <xf numFmtId="0" fontId="0" fillId="0" borderId="2" xfId="0" applyBorder="1" applyAlignment="1">
      <alignment horizontal="center" vertical="center" wrapText="1"/>
    </xf>
    <xf numFmtId="0" fontId="145" fillId="0" borderId="2" xfId="0" applyFont="1" applyBorder="1" applyAlignment="1">
      <alignment horizontal="center" vertical="center" wrapText="1"/>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276" fillId="0" borderId="19" xfId="16" applyFont="1" applyBorder="1" applyAlignment="1">
      <alignment horizontal="center" vertical="center" wrapText="1"/>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275" fillId="0" borderId="22" xfId="0" applyFont="1" applyFill="1" applyBorder="1" applyAlignment="1" applyProtection="1">
      <alignment horizontal="center" vertical="center" wrapText="1"/>
      <protection locked="0"/>
    </xf>
    <xf numFmtId="0" fontId="275" fillId="0" borderId="32" xfId="0" applyFont="1" applyFill="1" applyBorder="1" applyAlignment="1" applyProtection="1">
      <alignment horizontal="center" vertical="center" wrapText="1"/>
      <protection locked="0"/>
    </xf>
    <xf numFmtId="0" fontId="122" fillId="5" borderId="0" xfId="0" applyFont="1" applyFill="1" applyAlignment="1" applyProtection="1">
      <alignment horizontal="left" vertical="center"/>
      <protection locked="0"/>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81" fillId="0" borderId="11"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1" fillId="0" borderId="22" xfId="0" applyFont="1" applyFill="1" applyBorder="1" applyAlignment="1" applyProtection="1">
      <alignment horizontal="center" vertical="center" wrapText="1"/>
      <protection locked="0"/>
    </xf>
    <xf numFmtId="0" fontId="236" fillId="12" borderId="11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236" fillId="12" borderId="129"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3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ill>
        <patternFill patternType="none">
          <bgColor auto="1"/>
        </patternFill>
      </fill>
    </dxf>
    <dxf>
      <fill>
        <patternFill patternType="none">
          <bgColor auto="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17.png"/><Relationship Id="rId3" Type="http://schemas.openxmlformats.org/officeDocument/2006/relationships/image" Target="../media/image12.png"/><Relationship Id="rId7"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5" Type="http://schemas.openxmlformats.org/officeDocument/2006/relationships/image" Target="../media/image14.png"/><Relationship Id="rId10" Type="http://schemas.openxmlformats.org/officeDocument/2006/relationships/image" Target="../media/image19.png"/><Relationship Id="rId4" Type="http://schemas.openxmlformats.org/officeDocument/2006/relationships/image" Target="../media/image13.png"/><Relationship Id="rId9"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489857</xdr:colOff>
      <xdr:row>24</xdr:row>
      <xdr:rowOff>-1</xdr:rowOff>
    </xdr:from>
    <xdr:to>
      <xdr:col>13</xdr:col>
      <xdr:colOff>537482</xdr:colOff>
      <xdr:row>34</xdr:row>
      <xdr:rowOff>176892</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89857" y="4245428"/>
          <a:ext cx="8892268" cy="19458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40</xdr:row>
      <xdr:rowOff>0</xdr:rowOff>
    </xdr:from>
    <xdr:to>
      <xdr:col>13</xdr:col>
      <xdr:colOff>495300</xdr:colOff>
      <xdr:row>57</xdr:row>
      <xdr:rowOff>47625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5" y="6858000"/>
          <a:ext cx="8610600" cy="2962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60</xdr:row>
      <xdr:rowOff>0</xdr:rowOff>
    </xdr:from>
    <xdr:to>
      <xdr:col>13</xdr:col>
      <xdr:colOff>180975</xdr:colOff>
      <xdr:row>70</xdr:row>
      <xdr:rowOff>28575</xdr:rowOff>
    </xdr:to>
    <xdr:pic>
      <xdr:nvPicPr>
        <xdr:cNvPr id="4" name="Picture 5"/>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0287000"/>
          <a:ext cx="897255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70</xdr:row>
      <xdr:rowOff>0</xdr:rowOff>
    </xdr:from>
    <xdr:to>
      <xdr:col>13</xdr:col>
      <xdr:colOff>447675</xdr:colOff>
      <xdr:row>87</xdr:row>
      <xdr:rowOff>76200</xdr:rowOff>
    </xdr:to>
    <xdr:pic>
      <xdr:nvPicPr>
        <xdr:cNvPr id="5" name="Picture 6"/>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76275" y="12001500"/>
          <a:ext cx="8562975" cy="299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91</xdr:row>
      <xdr:rowOff>0</xdr:rowOff>
    </xdr:from>
    <xdr:to>
      <xdr:col>14</xdr:col>
      <xdr:colOff>219075</xdr:colOff>
      <xdr:row>100</xdr:row>
      <xdr:rowOff>133350</xdr:rowOff>
    </xdr:to>
    <xdr:pic>
      <xdr:nvPicPr>
        <xdr:cNvPr id="6" name="Picture 15"/>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6275" y="15601950"/>
          <a:ext cx="901065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101</xdr:row>
      <xdr:rowOff>0</xdr:rowOff>
    </xdr:from>
    <xdr:to>
      <xdr:col>13</xdr:col>
      <xdr:colOff>514350</xdr:colOff>
      <xdr:row>115</xdr:row>
      <xdr:rowOff>95250</xdr:rowOff>
    </xdr:to>
    <xdr:pic>
      <xdr:nvPicPr>
        <xdr:cNvPr id="7" name="Picture 16"/>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76275" y="17316450"/>
          <a:ext cx="8629650" cy="2495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14</xdr:col>
      <xdr:colOff>537481</xdr:colOff>
      <xdr:row>1</xdr:row>
      <xdr:rowOff>28575</xdr:rowOff>
    </xdr:from>
    <xdr:to>
      <xdr:col>21</xdr:col>
      <xdr:colOff>244928</xdr:colOff>
      <xdr:row>35</xdr:row>
      <xdr:rowOff>64454</xdr:rowOff>
    </xdr:to>
    <xdr:pic>
      <xdr:nvPicPr>
        <xdr:cNvPr id="8" name="图片 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0062481" y="205468"/>
          <a:ext cx="4469947" cy="6050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10</xdr:col>
      <xdr:colOff>151524</xdr:colOff>
      <xdr:row>11</xdr:row>
      <xdr:rowOff>133162</xdr:rowOff>
    </xdr:to>
    <xdr:pic>
      <xdr:nvPicPr>
        <xdr:cNvPr id="6" name="图片 5"/>
        <xdr:cNvPicPr>
          <a:picLocks noChangeAspect="1"/>
        </xdr:cNvPicPr>
      </xdr:nvPicPr>
      <xdr:blipFill>
        <a:blip xmlns:r="http://schemas.openxmlformats.org/officeDocument/2006/relationships" r:embed="rId1"/>
        <a:stretch>
          <a:fillRect/>
        </a:stretch>
      </xdr:blipFill>
      <xdr:spPr>
        <a:xfrm>
          <a:off x="0" y="514350"/>
          <a:ext cx="7009524" cy="1504762"/>
        </a:xfrm>
        <a:prstGeom prst="rect">
          <a:avLst/>
        </a:prstGeom>
      </xdr:spPr>
    </xdr:pic>
    <xdr:clientData/>
  </xdr:twoCellAnchor>
  <xdr:twoCellAnchor editAs="oneCell">
    <xdr:from>
      <xdr:col>0</xdr:col>
      <xdr:colOff>0</xdr:colOff>
      <xdr:row>12</xdr:row>
      <xdr:rowOff>0</xdr:rowOff>
    </xdr:from>
    <xdr:to>
      <xdr:col>12</xdr:col>
      <xdr:colOff>332305</xdr:colOff>
      <xdr:row>37</xdr:row>
      <xdr:rowOff>47084</xdr:rowOff>
    </xdr:to>
    <xdr:pic>
      <xdr:nvPicPr>
        <xdr:cNvPr id="7" name="图片 6"/>
        <xdr:cNvPicPr>
          <a:picLocks noChangeAspect="1"/>
        </xdr:cNvPicPr>
      </xdr:nvPicPr>
      <xdr:blipFill>
        <a:blip xmlns:r="http://schemas.openxmlformats.org/officeDocument/2006/relationships" r:embed="rId2"/>
        <a:stretch>
          <a:fillRect/>
        </a:stretch>
      </xdr:blipFill>
      <xdr:spPr>
        <a:xfrm>
          <a:off x="0" y="2057400"/>
          <a:ext cx="8561905" cy="4333334"/>
        </a:xfrm>
        <a:prstGeom prst="rect">
          <a:avLst/>
        </a:prstGeom>
      </xdr:spPr>
    </xdr:pic>
    <xdr:clientData/>
  </xdr:twoCellAnchor>
  <xdr:twoCellAnchor editAs="oneCell">
    <xdr:from>
      <xdr:col>0</xdr:col>
      <xdr:colOff>0</xdr:colOff>
      <xdr:row>38</xdr:row>
      <xdr:rowOff>0</xdr:rowOff>
    </xdr:from>
    <xdr:to>
      <xdr:col>8</xdr:col>
      <xdr:colOff>437410</xdr:colOff>
      <xdr:row>43</xdr:row>
      <xdr:rowOff>37988</xdr:rowOff>
    </xdr:to>
    <xdr:pic>
      <xdr:nvPicPr>
        <xdr:cNvPr id="8" name="图片 7"/>
        <xdr:cNvPicPr>
          <a:picLocks noChangeAspect="1"/>
        </xdr:cNvPicPr>
      </xdr:nvPicPr>
      <xdr:blipFill>
        <a:blip xmlns:r="http://schemas.openxmlformats.org/officeDocument/2006/relationships" r:embed="rId3"/>
        <a:stretch>
          <a:fillRect/>
        </a:stretch>
      </xdr:blipFill>
      <xdr:spPr>
        <a:xfrm>
          <a:off x="0" y="6515100"/>
          <a:ext cx="5923810" cy="895238"/>
        </a:xfrm>
        <a:prstGeom prst="rect">
          <a:avLst/>
        </a:prstGeom>
      </xdr:spPr>
    </xdr:pic>
    <xdr:clientData/>
  </xdr:twoCellAnchor>
  <xdr:twoCellAnchor editAs="oneCell">
    <xdr:from>
      <xdr:col>12</xdr:col>
      <xdr:colOff>133350</xdr:colOff>
      <xdr:row>0</xdr:row>
      <xdr:rowOff>19050</xdr:rowOff>
    </xdr:from>
    <xdr:to>
      <xdr:col>23</xdr:col>
      <xdr:colOff>180027</xdr:colOff>
      <xdr:row>26</xdr:row>
      <xdr:rowOff>132779</xdr:rowOff>
    </xdr:to>
    <xdr:pic>
      <xdr:nvPicPr>
        <xdr:cNvPr id="9" name="图片 8"/>
        <xdr:cNvPicPr>
          <a:picLocks noChangeAspect="1"/>
        </xdr:cNvPicPr>
      </xdr:nvPicPr>
      <xdr:blipFill>
        <a:blip xmlns:r="http://schemas.openxmlformats.org/officeDocument/2006/relationships" r:embed="rId4"/>
        <a:stretch>
          <a:fillRect/>
        </a:stretch>
      </xdr:blipFill>
      <xdr:spPr>
        <a:xfrm>
          <a:off x="8362950" y="19050"/>
          <a:ext cx="7590477" cy="4571429"/>
        </a:xfrm>
        <a:prstGeom prst="rect">
          <a:avLst/>
        </a:prstGeom>
      </xdr:spPr>
    </xdr:pic>
    <xdr:clientData/>
  </xdr:twoCellAnchor>
  <xdr:twoCellAnchor editAs="oneCell">
    <xdr:from>
      <xdr:col>0</xdr:col>
      <xdr:colOff>0</xdr:colOff>
      <xdr:row>44</xdr:row>
      <xdr:rowOff>0</xdr:rowOff>
    </xdr:from>
    <xdr:to>
      <xdr:col>10</xdr:col>
      <xdr:colOff>437239</xdr:colOff>
      <xdr:row>51</xdr:row>
      <xdr:rowOff>171279</xdr:rowOff>
    </xdr:to>
    <xdr:pic>
      <xdr:nvPicPr>
        <xdr:cNvPr id="10" name="图片 9"/>
        <xdr:cNvPicPr>
          <a:picLocks noChangeAspect="1"/>
        </xdr:cNvPicPr>
      </xdr:nvPicPr>
      <xdr:blipFill>
        <a:blip xmlns:r="http://schemas.openxmlformats.org/officeDocument/2006/relationships" r:embed="rId5"/>
        <a:stretch>
          <a:fillRect/>
        </a:stretch>
      </xdr:blipFill>
      <xdr:spPr>
        <a:xfrm>
          <a:off x="0" y="7543800"/>
          <a:ext cx="7295239" cy="1371429"/>
        </a:xfrm>
        <a:prstGeom prst="rect">
          <a:avLst/>
        </a:prstGeom>
      </xdr:spPr>
    </xdr:pic>
    <xdr:clientData/>
  </xdr:twoCellAnchor>
  <xdr:twoCellAnchor editAs="oneCell">
    <xdr:from>
      <xdr:col>0</xdr:col>
      <xdr:colOff>0</xdr:colOff>
      <xdr:row>52</xdr:row>
      <xdr:rowOff>0</xdr:rowOff>
    </xdr:from>
    <xdr:to>
      <xdr:col>13</xdr:col>
      <xdr:colOff>284601</xdr:colOff>
      <xdr:row>77</xdr:row>
      <xdr:rowOff>37560</xdr:rowOff>
    </xdr:to>
    <xdr:pic>
      <xdr:nvPicPr>
        <xdr:cNvPr id="11" name="图片 10"/>
        <xdr:cNvPicPr>
          <a:picLocks noChangeAspect="1"/>
        </xdr:cNvPicPr>
      </xdr:nvPicPr>
      <xdr:blipFill>
        <a:blip xmlns:r="http://schemas.openxmlformats.org/officeDocument/2006/relationships" r:embed="rId6"/>
        <a:stretch>
          <a:fillRect/>
        </a:stretch>
      </xdr:blipFill>
      <xdr:spPr>
        <a:xfrm>
          <a:off x="0" y="8915400"/>
          <a:ext cx="9200001" cy="4323810"/>
        </a:xfrm>
        <a:prstGeom prst="rect">
          <a:avLst/>
        </a:prstGeom>
      </xdr:spPr>
    </xdr:pic>
    <xdr:clientData/>
  </xdr:twoCellAnchor>
  <xdr:twoCellAnchor editAs="oneCell">
    <xdr:from>
      <xdr:col>0</xdr:col>
      <xdr:colOff>0</xdr:colOff>
      <xdr:row>77</xdr:row>
      <xdr:rowOff>0</xdr:rowOff>
    </xdr:from>
    <xdr:to>
      <xdr:col>9</xdr:col>
      <xdr:colOff>27800</xdr:colOff>
      <xdr:row>83</xdr:row>
      <xdr:rowOff>9395</xdr:rowOff>
    </xdr:to>
    <xdr:pic>
      <xdr:nvPicPr>
        <xdr:cNvPr id="12" name="图片 11"/>
        <xdr:cNvPicPr>
          <a:picLocks noChangeAspect="1"/>
        </xdr:cNvPicPr>
      </xdr:nvPicPr>
      <xdr:blipFill>
        <a:blip xmlns:r="http://schemas.openxmlformats.org/officeDocument/2006/relationships" r:embed="rId7"/>
        <a:stretch>
          <a:fillRect/>
        </a:stretch>
      </xdr:blipFill>
      <xdr:spPr>
        <a:xfrm>
          <a:off x="0" y="13201650"/>
          <a:ext cx="6200000" cy="1038095"/>
        </a:xfrm>
        <a:prstGeom prst="rect">
          <a:avLst/>
        </a:prstGeom>
      </xdr:spPr>
    </xdr:pic>
    <xdr:clientData/>
  </xdr:twoCellAnchor>
  <xdr:twoCellAnchor editAs="oneCell">
    <xdr:from>
      <xdr:col>0</xdr:col>
      <xdr:colOff>0</xdr:colOff>
      <xdr:row>83</xdr:row>
      <xdr:rowOff>0</xdr:rowOff>
    </xdr:from>
    <xdr:to>
      <xdr:col>10</xdr:col>
      <xdr:colOff>361048</xdr:colOff>
      <xdr:row>90</xdr:row>
      <xdr:rowOff>161755</xdr:rowOff>
    </xdr:to>
    <xdr:pic>
      <xdr:nvPicPr>
        <xdr:cNvPr id="13" name="图片 12"/>
        <xdr:cNvPicPr>
          <a:picLocks noChangeAspect="1"/>
        </xdr:cNvPicPr>
      </xdr:nvPicPr>
      <xdr:blipFill>
        <a:blip xmlns:r="http://schemas.openxmlformats.org/officeDocument/2006/relationships" r:embed="rId8"/>
        <a:stretch>
          <a:fillRect/>
        </a:stretch>
      </xdr:blipFill>
      <xdr:spPr>
        <a:xfrm>
          <a:off x="0" y="14230350"/>
          <a:ext cx="7219048" cy="1361905"/>
        </a:xfrm>
        <a:prstGeom prst="rect">
          <a:avLst/>
        </a:prstGeom>
      </xdr:spPr>
    </xdr:pic>
    <xdr:clientData/>
  </xdr:twoCellAnchor>
  <xdr:twoCellAnchor editAs="oneCell">
    <xdr:from>
      <xdr:col>0</xdr:col>
      <xdr:colOff>0</xdr:colOff>
      <xdr:row>91</xdr:row>
      <xdr:rowOff>0</xdr:rowOff>
    </xdr:from>
    <xdr:to>
      <xdr:col>13</xdr:col>
      <xdr:colOff>294124</xdr:colOff>
      <xdr:row>116</xdr:row>
      <xdr:rowOff>142322</xdr:rowOff>
    </xdr:to>
    <xdr:pic>
      <xdr:nvPicPr>
        <xdr:cNvPr id="14" name="图片 13"/>
        <xdr:cNvPicPr>
          <a:picLocks noChangeAspect="1"/>
        </xdr:cNvPicPr>
      </xdr:nvPicPr>
      <xdr:blipFill>
        <a:blip xmlns:r="http://schemas.openxmlformats.org/officeDocument/2006/relationships" r:embed="rId9"/>
        <a:stretch>
          <a:fillRect/>
        </a:stretch>
      </xdr:blipFill>
      <xdr:spPr>
        <a:xfrm>
          <a:off x="0" y="15601950"/>
          <a:ext cx="9209524" cy="4428572"/>
        </a:xfrm>
        <a:prstGeom prst="rect">
          <a:avLst/>
        </a:prstGeom>
      </xdr:spPr>
    </xdr:pic>
    <xdr:clientData/>
  </xdr:twoCellAnchor>
  <xdr:twoCellAnchor editAs="oneCell">
    <xdr:from>
      <xdr:col>0</xdr:col>
      <xdr:colOff>0</xdr:colOff>
      <xdr:row>117</xdr:row>
      <xdr:rowOff>0</xdr:rowOff>
    </xdr:from>
    <xdr:to>
      <xdr:col>8</xdr:col>
      <xdr:colOff>275505</xdr:colOff>
      <xdr:row>124</xdr:row>
      <xdr:rowOff>47469</xdr:rowOff>
    </xdr:to>
    <xdr:pic>
      <xdr:nvPicPr>
        <xdr:cNvPr id="15" name="图片 14"/>
        <xdr:cNvPicPr>
          <a:picLocks noChangeAspect="1"/>
        </xdr:cNvPicPr>
      </xdr:nvPicPr>
      <xdr:blipFill>
        <a:blip xmlns:r="http://schemas.openxmlformats.org/officeDocument/2006/relationships" r:embed="rId10"/>
        <a:stretch>
          <a:fillRect/>
        </a:stretch>
      </xdr:blipFill>
      <xdr:spPr>
        <a:xfrm>
          <a:off x="0" y="20059650"/>
          <a:ext cx="5761905" cy="124761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20-7-29&#65288;&#19977;&#31181;&#26041;&#27861;&#65289;&#27979;&#31639;-&#36890;&#24030;&#28510;&#22478;&#21103;&#20013;&#24515;&#21150;&#20844;&#27004;&#25307;&#25293;&#25346;&#20986;&#35753;&#24213;&#20215;&#35810;&#20215;.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0-7-29&#27979;&#31639;-&#36890;&#24030;&#28510;&#22478;&#65288;&#19977;&#31181;&#26041;&#27861;&#20302;&#38480;&#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预评函-1"/>
      <sheetName val="预评函-1 (储备)"/>
      <sheetName val="预评函-2"/>
      <sheetName val="预评函-3"/>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商住比"/>
      <sheetName val="建安汇总"/>
      <sheetName val="土储要求地价汇总表"/>
      <sheetName val="土储要求测算表"/>
      <sheetName val="汇总表"/>
      <sheetName val="基准地价居住"/>
      <sheetName val="修正"/>
      <sheetName val="区片价"/>
      <sheetName val="容积率修正"/>
      <sheetName val="因素修正幅度"/>
      <sheetName val="基准地价办公-商务用地"/>
      <sheetName val="基准地价办公-科研用地"/>
      <sheetName val="地价"/>
      <sheetName val="基准地价（汇总）"/>
      <sheetName val="不动产收益法-商业"/>
      <sheetName val="剩余法居住"/>
      <sheetName val="不动产比较法-住宅"/>
      <sheetName val="住宅案例"/>
      <sheetName val="剩余法办公-商务用地"/>
      <sheetName val="不动产比较法-商业"/>
      <sheetName val="商业案例"/>
      <sheetName val="不动产比较法-办公"/>
      <sheetName val="办公案例"/>
      <sheetName val="剩余法办公-科研"/>
      <sheetName val="剩余法安置房"/>
      <sheetName val="不动产收益法-科研"/>
      <sheetName val="不动产比较法-科研"/>
      <sheetName val="案例"/>
      <sheetName val="典型户型修正"/>
      <sheetName val="存贷款利率"/>
      <sheetName val="Sheet1"/>
    </sheetNames>
    <sheetDataSet>
      <sheetData sheetId="0" refreshError="1"/>
      <sheetData sheetId="1" refreshError="1"/>
      <sheetData sheetId="2" refreshError="1"/>
      <sheetData sheetId="3" refreshError="1"/>
      <sheetData sheetId="4">
        <row r="3">
          <cell r="D3" t="str">
            <v>土地估价师</v>
          </cell>
        </row>
        <row r="4">
          <cell r="D4" t="str">
            <v>梁津</v>
          </cell>
        </row>
        <row r="6">
          <cell r="D6" t="str">
            <v>叶凌</v>
          </cell>
        </row>
        <row r="7">
          <cell r="D7" t="str">
            <v>王鹏</v>
          </cell>
        </row>
        <row r="8">
          <cell r="D8" t="str">
            <v>欧红伟</v>
          </cell>
        </row>
        <row r="9">
          <cell r="D9" t="str">
            <v>吴薇</v>
          </cell>
        </row>
        <row r="10">
          <cell r="D10" t="str">
            <v>陈颖</v>
          </cell>
        </row>
        <row r="11">
          <cell r="D11" t="str">
            <v>崔锴</v>
          </cell>
        </row>
        <row r="13">
          <cell r="D13" t="str">
            <v>郑燚</v>
          </cell>
        </row>
        <row r="14">
          <cell r="D14" t="str">
            <v>苏海</v>
          </cell>
        </row>
        <row r="21">
          <cell r="D21" t="str">
            <v>赵雯</v>
          </cell>
        </row>
        <row r="22">
          <cell r="D22" t="str">
            <v>刘敬东</v>
          </cell>
        </row>
        <row r="24">
          <cell r="D24" t="str">
            <v>——</v>
          </cell>
        </row>
      </sheetData>
      <sheetData sheetId="5">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O1" t="str">
            <v>交通便捷度</v>
          </cell>
          <cell r="Q1" t="str">
            <v>公共配套设施</v>
          </cell>
          <cell r="R1" t="str">
            <v>基础设施水平</v>
          </cell>
          <cell r="S1" t="str">
            <v>环境质量</v>
          </cell>
          <cell r="T1" t="str">
            <v>临街状况</v>
          </cell>
          <cell r="U1" t="str">
            <v>内部装修维护情况</v>
          </cell>
          <cell r="W1" t="str">
            <v>五等判定</v>
          </cell>
        </row>
        <row r="2">
          <cell r="A2" t="str">
            <v>平层住宅</v>
          </cell>
          <cell r="B2" t="str">
            <v>剩余法办公</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O2" t="str">
            <v>好</v>
          </cell>
          <cell r="Q2" t="str">
            <v>好</v>
          </cell>
          <cell r="R2" t="str">
            <v>七通</v>
          </cell>
          <cell r="S2" t="str">
            <v>好</v>
          </cell>
          <cell r="T2" t="str">
            <v>多面临街</v>
          </cell>
          <cell r="U2" t="str">
            <v>好</v>
          </cell>
          <cell r="W2" t="str">
            <v>好</v>
          </cell>
        </row>
        <row r="3">
          <cell r="A3" t="str">
            <v>LOFT住宅</v>
          </cell>
          <cell r="B3" t="str">
            <v>剩余法居住</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O3" t="str">
            <v>较好</v>
          </cell>
          <cell r="Q3" t="str">
            <v>较好</v>
          </cell>
          <cell r="R3" t="str">
            <v>六通</v>
          </cell>
          <cell r="S3" t="str">
            <v>较好</v>
          </cell>
          <cell r="T3" t="str">
            <v>双面临街</v>
          </cell>
          <cell r="U3" t="str">
            <v>较好</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O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O5" t="str">
            <v>较差</v>
          </cell>
          <cell r="Q5" t="str">
            <v>较差</v>
          </cell>
          <cell r="R5" t="str">
            <v>四通</v>
          </cell>
          <cell r="S5" t="str">
            <v>较差</v>
          </cell>
          <cell r="T5" t="str">
            <v>不临街</v>
          </cell>
          <cell r="U5" t="str">
            <v>较差</v>
          </cell>
          <cell r="W5" t="str">
            <v>较差</v>
          </cell>
        </row>
        <row r="6">
          <cell r="A6" t="str">
            <v>洋房</v>
          </cell>
          <cell r="B6" t="str">
            <v>基准地价居住</v>
          </cell>
          <cell r="C6" t="str">
            <v>五级</v>
          </cell>
          <cell r="F6" t="str">
            <v>车库</v>
          </cell>
          <cell r="H6" t="str">
            <v>仓储</v>
          </cell>
          <cell r="I6" t="str">
            <v>20-30（含）</v>
          </cell>
          <cell r="K6" t="str">
            <v>差</v>
          </cell>
          <cell r="L6" t="str">
            <v>差</v>
          </cell>
          <cell r="M6" t="str">
            <v>差</v>
          </cell>
          <cell r="O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剩余法安置房</v>
          </cell>
        </row>
        <row r="20">
          <cell r="A20" t="str">
            <v>车库</v>
          </cell>
          <cell r="B20" t="str">
            <v>基准地价商业</v>
          </cell>
        </row>
        <row r="21">
          <cell r="A21" t="str">
            <v>戊类库房</v>
          </cell>
          <cell r="B21" t="str">
            <v>基准地价办公</v>
          </cell>
        </row>
        <row r="22">
          <cell r="A22" t="str">
            <v>燃品库房</v>
          </cell>
          <cell r="B22" t="str">
            <v>剩余法商业</v>
          </cell>
        </row>
        <row r="23">
          <cell r="A23" t="str">
            <v>非燃品库房</v>
          </cell>
          <cell r="B23" t="str">
            <v>收益还原法</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6" refreshError="1"/>
      <sheetData sheetId="7">
        <row r="13">
          <cell r="I13">
            <v>17100</v>
          </cell>
        </row>
      </sheetData>
      <sheetData sheetId="8" refreshError="1"/>
      <sheetData sheetId="9">
        <row r="17">
          <cell r="C17" t="str">
            <v>项目类型</v>
          </cell>
        </row>
        <row r="19">
          <cell r="C19" t="str">
            <v>办公</v>
          </cell>
        </row>
      </sheetData>
      <sheetData sheetId="10">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1" refreshError="1"/>
      <sheetData sheetId="22" refreshError="1"/>
      <sheetData sheetId="23" refreshError="1"/>
      <sheetData sheetId="24"/>
      <sheetData sheetId="25" refreshError="1"/>
      <sheetData sheetId="26" refreshError="1"/>
      <sheetData sheetId="27" refreshError="1"/>
      <sheetData sheetId="28" refreshError="1"/>
      <sheetData sheetId="29" refreshError="1"/>
      <sheetData sheetId="30">
        <row r="61">
          <cell r="A61" t="str">
            <v>交易情况</v>
          </cell>
          <cell r="C61" t="str">
            <v>正常</v>
          </cell>
        </row>
        <row r="63">
          <cell r="B63" t="str">
            <v>用途</v>
          </cell>
          <cell r="C63" t="str">
            <v>住宅</v>
          </cell>
        </row>
        <row r="86">
          <cell r="B86" t="str">
            <v>楼层-1</v>
          </cell>
        </row>
        <row r="88">
          <cell r="B88" t="str">
            <v>朝向</v>
          </cell>
        </row>
        <row r="100">
          <cell r="B100" t="str">
            <v>建筑类型</v>
          </cell>
        </row>
        <row r="105">
          <cell r="B105" t="str">
            <v>建筑结构</v>
          </cell>
          <cell r="C105" t="str">
            <v>钢混</v>
          </cell>
        </row>
        <row r="107">
          <cell r="B107" t="str">
            <v>建筑品质</v>
          </cell>
        </row>
        <row r="109">
          <cell r="B109" t="str">
            <v>公共部分装修</v>
          </cell>
          <cell r="C109" t="str">
            <v>精装修</v>
          </cell>
        </row>
        <row r="114">
          <cell r="B114" t="str">
            <v>物业管理</v>
          </cell>
          <cell r="C114" t="str">
            <v>物业公司管理</v>
          </cell>
        </row>
        <row r="116">
          <cell r="B116" t="str">
            <v>市政基础设施</v>
          </cell>
        </row>
        <row r="118">
          <cell r="B118" t="str">
            <v>房型</v>
          </cell>
        </row>
        <row r="122">
          <cell r="B122" t="str">
            <v>内部装修</v>
          </cell>
          <cell r="C122" t="str">
            <v>精装修</v>
          </cell>
          <cell r="D122" t="str">
            <v>普通装修</v>
          </cell>
          <cell r="E122" t="str">
            <v>简单装修</v>
          </cell>
        </row>
      </sheetData>
      <sheetData sheetId="31" refreshError="1"/>
      <sheetData sheetId="32"/>
      <sheetData sheetId="33">
        <row r="61">
          <cell r="A61" t="str">
            <v>交易情况</v>
          </cell>
          <cell r="C61" t="str">
            <v>正常</v>
          </cell>
        </row>
        <row r="63">
          <cell r="B63" t="str">
            <v>用途</v>
          </cell>
          <cell r="C63" t="str">
            <v>商业</v>
          </cell>
        </row>
        <row r="86">
          <cell r="B86" t="str">
            <v>临街状况</v>
          </cell>
          <cell r="C86" t="str">
            <v>多面临街</v>
          </cell>
          <cell r="D86" t="str">
            <v>双面临街</v>
          </cell>
          <cell r="E86" t="str">
            <v>单面临街</v>
          </cell>
        </row>
        <row r="90">
          <cell r="B90" t="str">
            <v>人流量</v>
          </cell>
          <cell r="C90" t="str">
            <v>好</v>
          </cell>
          <cell r="D90" t="str">
            <v>较好</v>
          </cell>
          <cell r="E90" t="str">
            <v>一般</v>
          </cell>
          <cell r="F90" t="str">
            <v>较差</v>
          </cell>
          <cell r="G90" t="str">
            <v>差</v>
          </cell>
        </row>
        <row r="92">
          <cell r="B92" t="str">
            <v>楼层</v>
          </cell>
        </row>
        <row r="100">
          <cell r="B100" t="str">
            <v>商业类型</v>
          </cell>
          <cell r="C100" t="str">
            <v>商业街</v>
          </cell>
          <cell r="D100" t="str">
            <v>住宅配套商业</v>
          </cell>
        </row>
        <row r="105">
          <cell r="B105" t="str">
            <v>建筑结构</v>
          </cell>
          <cell r="C105" t="str">
            <v>钢混</v>
          </cell>
        </row>
        <row r="107">
          <cell r="B107" t="str">
            <v>公共部分装修</v>
          </cell>
        </row>
        <row r="112">
          <cell r="B112" t="str">
            <v>市政基础设施</v>
          </cell>
        </row>
        <row r="114">
          <cell r="B114" t="str">
            <v>业态</v>
          </cell>
        </row>
        <row r="116">
          <cell r="B116" t="str">
            <v>层高</v>
          </cell>
          <cell r="C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34" refreshError="1"/>
      <sheetData sheetId="35">
        <row r="62">
          <cell r="A62" t="str">
            <v>交易情况</v>
          </cell>
          <cell r="C62" t="str">
            <v>正常</v>
          </cell>
        </row>
        <row r="64">
          <cell r="B64" t="str">
            <v>用途</v>
          </cell>
          <cell r="C64" t="str">
            <v>办公</v>
          </cell>
        </row>
        <row r="87">
          <cell r="B87" t="str">
            <v>毗邻道路的类型与等级</v>
          </cell>
          <cell r="C87" t="str">
            <v>高速路</v>
          </cell>
          <cell r="D87" t="str">
            <v>城市主干道</v>
          </cell>
          <cell r="E87" t="str">
            <v>城市次干道</v>
          </cell>
          <cell r="F87" t="str">
            <v>城市支路</v>
          </cell>
        </row>
        <row r="89">
          <cell r="B89" t="str">
            <v>楼层</v>
          </cell>
        </row>
        <row r="91">
          <cell r="B91" t="str">
            <v>朝向</v>
          </cell>
        </row>
        <row r="101">
          <cell r="B101" t="str">
            <v>建筑类型</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cell r="C113" t="str">
            <v>标准写字楼</v>
          </cell>
          <cell r="D113" t="str">
            <v>非标准写字楼</v>
          </cell>
        </row>
        <row r="115">
          <cell r="B115" t="str">
            <v>物业管理</v>
          </cell>
          <cell r="C115" t="str">
            <v>物业公司管理</v>
          </cell>
        </row>
        <row r="117">
          <cell r="B117" t="str">
            <v>市政基础设施</v>
          </cell>
        </row>
        <row r="119">
          <cell r="B119" t="str">
            <v>层高</v>
          </cell>
        </row>
        <row r="123">
          <cell r="B123" t="str">
            <v>内部装修</v>
          </cell>
          <cell r="C123" t="str">
            <v>精装修</v>
          </cell>
          <cell r="D123" t="str">
            <v>普通装修</v>
          </cell>
          <cell r="E123" t="str">
            <v>简单装修</v>
          </cell>
          <cell r="F123" t="str">
            <v>毛坯</v>
          </cell>
        </row>
      </sheetData>
      <sheetData sheetId="36">
        <row r="29">
          <cell r="B29" t="str">
            <v>金融街园中园</v>
          </cell>
        </row>
        <row r="60">
          <cell r="B60" t="str">
            <v>金融街园中园</v>
          </cell>
        </row>
        <row r="90">
          <cell r="B90" t="str">
            <v>通州万达广场</v>
          </cell>
        </row>
      </sheetData>
      <sheetData sheetId="37" refreshError="1"/>
      <sheetData sheetId="38" refreshError="1"/>
      <sheetData sheetId="39" refreshError="1"/>
      <sheetData sheetId="40" refreshError="1"/>
      <sheetData sheetId="41" refreshError="1"/>
      <sheetData sheetId="42">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3" refreshError="1"/>
      <sheetData sheetId="4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汇总表"/>
      <sheetName val="结果表"/>
      <sheetName val="基准地价"/>
      <sheetName val="剩余法-待开发"/>
      <sheetName val="剩余法-现房"/>
      <sheetName val="比较法-住宅、综合"/>
      <sheetName val="比较法-工业"/>
      <sheetName val="修正"/>
      <sheetName val="区片价"/>
      <sheetName val="容积率修正"/>
      <sheetName val="因素修正幅度"/>
      <sheetName val="基准地价（汇总）"/>
      <sheetName val="不动产收益法"/>
      <sheetName val="酒店收入计算"/>
      <sheetName val="成本逼近法"/>
      <sheetName val="不动产比较法-住宅"/>
      <sheetName val="不动产比较法-商业"/>
      <sheetName val="不动产比较法-办公售价"/>
      <sheetName val="办公销售案例"/>
      <sheetName val="收益还原法"/>
      <sheetName val="不动产比较法-办公租金"/>
      <sheetName val="地价"/>
      <sheetName val="不动产比较法-工业"/>
      <sheetName val="不动产比较法-车位"/>
      <sheetName val="不动产比较法-仓储"/>
      <sheetName val="典型户型修正"/>
      <sheetName val="存贷款利率"/>
      <sheetName val="办公租金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4">
          <cell r="G4">
            <v>6397</v>
          </cell>
          <cell r="I4">
            <v>11558</v>
          </cell>
          <cell r="K4">
            <v>2287</v>
          </cell>
          <cell r="M4">
            <v>7228</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726" customWidth="1"/>
    <col min="2" max="2" width="78.25" style="2727" customWidth="1"/>
    <col min="3" max="18" width="9" style="2721"/>
    <col min="19" max="19" width="17.875" style="2721" customWidth="1"/>
    <col min="20" max="51" width="9" style="2721"/>
    <col min="52" max="52" width="13.25" style="2721" customWidth="1"/>
    <col min="53" max="53" width="13.5" style="2721" bestFit="1" customWidth="1"/>
    <col min="54" max="54" width="11.625" style="2721" bestFit="1" customWidth="1"/>
    <col min="55" max="55" width="13.5" style="2721" bestFit="1" customWidth="1"/>
    <col min="56" max="16384" width="9" style="2721"/>
  </cols>
  <sheetData>
    <row r="1" spans="1:55" s="2732" customFormat="1" ht="16.5" thickBot="1">
      <c r="A1" s="2730" t="s">
        <v>2652</v>
      </c>
      <c r="B1" s="2731" t="s">
        <v>2749</v>
      </c>
    </row>
    <row r="2" spans="1:55" s="2735" customFormat="1" ht="15" thickTop="1">
      <c r="A2" s="2733" t="s">
        <v>2656</v>
      </c>
      <c r="B2" s="2734" t="str">
        <f>'预评函-封皮'!B37</f>
        <v>北京市出让国有建设用地使用权市场价格预评估</v>
      </c>
      <c r="AX2" s="2736"/>
      <c r="AZ2" s="2736"/>
      <c r="BA2" s="2737"/>
      <c r="BC2" s="2737"/>
    </row>
    <row r="3" spans="1:55" s="2738" customFormat="1">
      <c r="A3" s="2717" t="s">
        <v>2657</v>
      </c>
      <c r="B3" s="2720">
        <f>'预评函-封皮'!B40</f>
        <v>0</v>
      </c>
    </row>
    <row r="4" spans="1:55" s="2719" customFormat="1">
      <c r="A4" s="2717" t="s">
        <v>2658</v>
      </c>
      <c r="B4" s="2718" t="str">
        <f>'预评函-封皮'!B46</f>
        <v>土地估价师、土地估价师</v>
      </c>
      <c r="N4" s="2719" t="str">
        <f>'预评函-1'!A28</f>
        <v>——</v>
      </c>
    </row>
    <row r="5" spans="1:55" s="2732" customFormat="1" ht="15" thickBot="1">
      <c r="A5" s="2739" t="s">
        <v>2659</v>
      </c>
      <c r="B5" s="2740" t="str">
        <f>'预评函-封皮'!B49</f>
        <v>康正预评字号</v>
      </c>
    </row>
    <row r="6" spans="1:55" s="2741" customFormat="1" ht="15" thickTop="1">
      <c r="A6" s="2733" t="s">
        <v>2701</v>
      </c>
      <c r="B6" s="2734" t="str">
        <f>'预评函-1'!A4</f>
        <v>受贵公司委托，我公司对北京市出让国有建设用地使用权市场价格进行了预评估。</v>
      </c>
      <c r="AM6" s="2742"/>
    </row>
    <row r="7" spans="1:55" s="2716" customFormat="1">
      <c r="A7" s="2717" t="s">
        <v>2653</v>
      </c>
      <c r="B7" s="2718" t="str">
        <f>'预评函-1'!A6</f>
        <v>估价对象为使用的、位于北京市出让国有建设用地使用权。根据《国有土地使用证》[]，估价对象（分摊）出让国有建设用地使用权面积为5500平方米。根据《建设工程规划许可证》[]、《出让合同》[]，估价对象规划建筑面积为17100平方米。</v>
      </c>
    </row>
    <row r="8" spans="1:55" s="2716" customFormat="1">
      <c r="A8" s="2717" t="s">
        <v>2654</v>
      </c>
      <c r="B8" s="2718" t="str">
        <f>'预评函-1'!A7</f>
        <v xml:space="preserve">简述项目推广名，项目类型（用途），估价对象分布，各用途面积明细情况：XX用途建筑面积XX平方米，XX用途建筑面积XX平方米，……。复杂面积清单需设‘附表’列示：抵押物清单详见附表。        </v>
      </c>
    </row>
    <row r="9" spans="1:55" s="2716" customFormat="1">
      <c r="A9" s="2717" t="s">
        <v>2704</v>
      </c>
      <c r="B9" s="2718" t="str">
        <f>'预评函-1'!A9</f>
        <v>本次评估为委托估价方了解标的物之市场价格提供参考依据而评估出让国有建设用地使用权市场价格。</v>
      </c>
    </row>
    <row r="10" spans="1:55" s="2716" customFormat="1">
      <c r="A10" s="2717" t="s">
        <v>2655</v>
      </c>
      <c r="B10" s="2718" t="str">
        <f>'预评函-1'!A11</f>
        <v>2020年6月30日</v>
      </c>
    </row>
    <row r="11" spans="1:55" s="2716" customFormat="1">
      <c r="A11" s="2717" t="s">
        <v>2661</v>
      </c>
      <c r="B11" s="2718" t="str">
        <f>'预评函-1'!A14</f>
        <v>根据《国有土地使用证》[]，本次评估估价对象证载（地类）用途为。</v>
      </c>
    </row>
    <row r="12" spans="1:55" s="2716" customFormat="1">
      <c r="A12" s="2717" t="s">
        <v>2662</v>
      </c>
      <c r="B12" s="2718" t="str">
        <f>'预评函-1'!A15</f>
        <v>本次评估设定用途即为证载用途。</v>
      </c>
    </row>
    <row r="13" spans="1:55" s="2716" customFormat="1">
      <c r="A13" s="2717" t="s">
        <v>2663</v>
      </c>
      <c r="B13" s="2718" t="str">
        <f>'预评函-1'!A17</f>
        <v>根据委托估价方介绍及评估专业人员现场勘查，本次评估估价对象实际土地开发程度为红线外市政基础设施达“七通”（即、、、、、、）、宗地红线内场地平整。</v>
      </c>
    </row>
    <row r="14" spans="1:55" s="2716" customFormat="1">
      <c r="A14" s="2717" t="s">
        <v>2664</v>
      </c>
      <c r="B14" s="2718" t="str">
        <f>'预评函-1'!A18</f>
        <v>。本次评估设定土地开发程度为红线外市政基础设施达“七通”、宗地红线内场地平整。</v>
      </c>
    </row>
    <row r="15" spans="1:55" s="2716" customFormat="1">
      <c r="A15" s="2717" t="s">
        <v>2660</v>
      </c>
      <c r="B15" s="2718" t="str">
        <f>'预评函-1'!A20</f>
        <v>根据《国有土地使用证》[]，估价对象（分摊）出让国有建设用地使用权面积为5500平方米。根据《建设工程规划许可证》[]、《出让合同》[]，估价对象规划建筑面积为17100平方米。</v>
      </c>
    </row>
    <row r="16" spans="1:55" s="2716" customFormat="1">
      <c r="A16" s="2717" t="s">
        <v>2665</v>
      </c>
      <c r="B16" s="2718"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办公2090年12月12日。截至估价期日，出让国有建设用地使用权剩余土地使用年限为。</v>
      </c>
    </row>
    <row r="17" spans="1:48" s="2716" customFormat="1">
      <c r="A17" s="2717" t="s">
        <v>2666</v>
      </c>
      <c r="B17" s="2718" t="str">
        <f>'预评函-1'!A23</f>
        <v>本次评估设定估价对象剩余土地使用年限为。</v>
      </c>
    </row>
    <row r="18" spans="1:48" s="2716" customFormat="1">
      <c r="A18" s="2717" t="s">
        <v>2667</v>
      </c>
      <c r="B18" s="2718" t="str">
        <f>'预评函-1'!A25</f>
        <v>本次估价的“出让国有建设用地使用权价格”是指在估价对象土地所有权为国家所有，使用权性质为出让，在公开市场条件下、于估价期日2020年6月30日，在规划利用条件下、设定土地开发程度为红线外“七通”、宗地内场地，设定用途为，剩余土地使用年限为的出让国有建设用地使用权价格。</v>
      </c>
    </row>
    <row r="19" spans="1:48" s="2716" customFormat="1">
      <c r="A19" s="2717" t="s">
        <v>2668</v>
      </c>
      <c r="B19" s="2718" t="str">
        <f>'预评函-1'!A26</f>
        <v>——</v>
      </c>
    </row>
    <row r="20" spans="1:48" s="2716" customFormat="1">
      <c r="A20" s="2717" t="s">
        <v>2669</v>
      </c>
      <c r="B20" s="2718" t="str">
        <f>'预评函-1'!A27</f>
        <v>——</v>
      </c>
    </row>
    <row r="21" spans="1:48" s="2732" customFormat="1" ht="15" thickBot="1">
      <c r="A21" s="2739" t="s">
        <v>2670</v>
      </c>
      <c r="B21" s="2740" t="str">
        <f>'预评函-1'!A28</f>
        <v>——</v>
      </c>
    </row>
    <row r="22" spans="1:48" ht="15" thickTop="1">
      <c r="A22" s="2728" t="s">
        <v>2671</v>
      </c>
      <c r="B22" s="2729"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2717" t="s">
        <v>2672</v>
      </c>
      <c r="B23" s="2718" t="str">
        <f>'预评函-2'!K2</f>
        <v>估价期日：2020年6月30日</v>
      </c>
    </row>
    <row r="24" spans="1:48">
      <c r="A24" s="2717" t="s">
        <v>2673</v>
      </c>
      <c r="B24" s="2718" t="str">
        <f>'预评函-2'!R2</f>
        <v>估价期日的国有建设用地使用权性质：出让</v>
      </c>
    </row>
    <row r="25" spans="1:48">
      <c r="A25" s="2717" t="s">
        <v>2729</v>
      </c>
      <c r="B25" s="2718" t="str">
        <f>'预评函-2'!A3</f>
        <v>估价期日土地使用者</v>
      </c>
    </row>
    <row r="26" spans="1:48">
      <c r="A26" s="2717" t="s">
        <v>2705</v>
      </c>
      <c r="B26" s="2718" t="str">
        <f>'预评函-2'!A5</f>
        <v>中信开发</v>
      </c>
    </row>
    <row r="27" spans="1:48">
      <c r="A27" s="2717" t="s">
        <v>2730</v>
      </c>
      <c r="B27" s="2718" t="str">
        <f>'预评函-2'!B3</f>
        <v>宗地编号/不动产单元号</v>
      </c>
    </row>
    <row r="28" spans="1:48">
      <c r="A28" s="2717" t="s">
        <v>2706</v>
      </c>
      <c r="B28" s="2718" t="str">
        <f>'预评函-2'!B5</f>
        <v>11111111111</v>
      </c>
    </row>
    <row r="29" spans="1:48">
      <c r="A29" s="2717" t="s">
        <v>2732</v>
      </c>
      <c r="B29" s="2718">
        <f>'预评函-2'!C5</f>
        <v>22</v>
      </c>
    </row>
    <row r="30" spans="1:48">
      <c r="A30" s="2717" t="s">
        <v>2733</v>
      </c>
      <c r="B30" s="2718" t="str">
        <f>'预评函-2'!D3</f>
        <v>土地使用证编号/不动产权证书编号</v>
      </c>
    </row>
    <row r="31" spans="1:48">
      <c r="A31" s="2717" t="s">
        <v>2707</v>
      </c>
      <c r="B31" s="2718" t="str">
        <f>'预评函-2'!D5</f>
        <v>京国土字第111号</v>
      </c>
    </row>
    <row r="32" spans="1:48">
      <c r="A32" s="2717" t="s">
        <v>2708</v>
      </c>
      <c r="B32" s="2718">
        <f>'预评函-2'!E5</f>
        <v>0</v>
      </c>
      <c r="AV32" s="2722"/>
    </row>
    <row r="33" spans="1:2">
      <c r="A33" s="2717" t="s">
        <v>2709</v>
      </c>
      <c r="B33" s="2718">
        <f>'预评函-2'!F5</f>
        <v>258</v>
      </c>
    </row>
    <row r="34" spans="1:2">
      <c r="A34" s="2717" t="s">
        <v>2710</v>
      </c>
      <c r="B34" s="2718">
        <f>'预评函-2'!G5</f>
        <v>0</v>
      </c>
    </row>
    <row r="35" spans="1:2">
      <c r="A35" s="2717" t="s">
        <v>2711</v>
      </c>
      <c r="B35" s="2718">
        <f>'预评函-2'!H5</f>
        <v>1.5</v>
      </c>
    </row>
    <row r="36" spans="1:2">
      <c r="A36" s="2717" t="s">
        <v>2712</v>
      </c>
      <c r="B36" s="2718">
        <f>'预评函-2'!I5</f>
        <v>1.5</v>
      </c>
    </row>
    <row r="37" spans="1:2">
      <c r="A37" s="2717" t="s">
        <v>2713</v>
      </c>
      <c r="B37" s="2718">
        <f>'预评函-2'!J5</f>
        <v>1.5</v>
      </c>
    </row>
    <row r="38" spans="1:2">
      <c r="A38" s="2717" t="s">
        <v>2714</v>
      </c>
      <c r="B38" s="2718" t="str">
        <f>'预评函-2'!K5</f>
        <v>红线外七通、宗地红线内</v>
      </c>
    </row>
    <row r="39" spans="1:2">
      <c r="A39" s="2717" t="s">
        <v>2715</v>
      </c>
      <c r="B39" s="2718" t="str">
        <f>'预评函-2'!L5</f>
        <v>红线外七通、宗地红线内场地</v>
      </c>
    </row>
    <row r="40" spans="1:2">
      <c r="A40" s="2717" t="s">
        <v>2734</v>
      </c>
      <c r="B40" s="2718" t="str">
        <f>'预评函-2'!M3</f>
        <v>（剩余）土地使用年限/年</v>
      </c>
    </row>
    <row r="41" spans="1:2">
      <c r="A41" s="2717" t="s">
        <v>2716</v>
      </c>
      <c r="B41" s="2718">
        <f>'预评函-2'!M5</f>
        <v>0</v>
      </c>
    </row>
    <row r="42" spans="1:2">
      <c r="A42" s="2717" t="s">
        <v>2735</v>
      </c>
      <c r="B42" s="2718" t="str">
        <f>'预评函-2'!N3</f>
        <v>（分摊）出让国有建设用地使用权面积/㎡</v>
      </c>
    </row>
    <row r="43" spans="1:2">
      <c r="A43" s="2717" t="s">
        <v>2717</v>
      </c>
      <c r="B43" s="2718">
        <f>'预评函-2'!N5</f>
        <v>5500</v>
      </c>
    </row>
    <row r="44" spans="1:2">
      <c r="A44" s="2717" t="s">
        <v>2736</v>
      </c>
      <c r="B44" s="2718" t="str">
        <f>'预评函-2'!O3</f>
        <v>规划建筑面积/㎡</v>
      </c>
    </row>
    <row r="45" spans="1:2">
      <c r="A45" s="2717" t="s">
        <v>2718</v>
      </c>
      <c r="B45" s="2718">
        <f>'预评函-2'!O5</f>
        <v>17100</v>
      </c>
    </row>
    <row r="46" spans="1:2">
      <c r="A46" s="2717" t="s">
        <v>2719</v>
      </c>
      <c r="B46" s="2718" t="e">
        <f ca="1">'预评函-2'!P5</f>
        <v>#REF!</v>
      </c>
    </row>
    <row r="47" spans="1:2">
      <c r="A47" s="2717" t="s">
        <v>2720</v>
      </c>
      <c r="B47" s="2718" t="e">
        <f ca="1">'预评函-2'!Q5</f>
        <v>#REF!</v>
      </c>
    </row>
    <row r="48" spans="1:2">
      <c r="A48" s="2717" t="s">
        <v>2721</v>
      </c>
      <c r="B48" s="2718" t="e">
        <f ca="1">'预评函-2'!R5</f>
        <v>#REF!</v>
      </c>
    </row>
    <row r="49" spans="1:2">
      <c r="A49" s="2717" t="s">
        <v>2737</v>
      </c>
      <c r="B49" s="2718" t="str">
        <f>'预评函-2'!A6</f>
        <v>——</v>
      </c>
    </row>
    <row r="50" spans="1:2">
      <c r="A50" s="2717" t="s">
        <v>2722</v>
      </c>
      <c r="B50" s="2718" t="str">
        <f>'预评函-2'!R6</f>
        <v>——</v>
      </c>
    </row>
    <row r="51" spans="1:2">
      <c r="A51" s="2717" t="s">
        <v>2738</v>
      </c>
      <c r="B51" s="2718" t="str">
        <f>'预评函-2'!A7</f>
        <v>——</v>
      </c>
    </row>
    <row r="52" spans="1:2">
      <c r="A52" s="2717" t="s">
        <v>2723</v>
      </c>
      <c r="B52" s="2718" t="str">
        <f>'预评函-2'!R7</f>
        <v>——</v>
      </c>
    </row>
    <row r="53" spans="1:2">
      <c r="A53" s="2717" t="s">
        <v>2739</v>
      </c>
      <c r="B53" s="2718" t="str">
        <f>'预评函-2'!A8</f>
        <v>——</v>
      </c>
    </row>
    <row r="54" spans="1:2" s="2732" customFormat="1" ht="15" thickBot="1">
      <c r="A54" s="2739" t="s">
        <v>2724</v>
      </c>
      <c r="B54" s="2740" t="str">
        <f>'预评函-2'!R8</f>
        <v>——</v>
      </c>
    </row>
    <row r="55" spans="1:2" ht="15" thickTop="1">
      <c r="A55" s="2728" t="s">
        <v>2674</v>
      </c>
      <c r="B55" s="2729" t="str">
        <f>'预评函-3'!A2</f>
        <v>1.权利限制：根据估价对象《不动产权证书》原件、《国有土地使用权》复印件，截至估价期日，估价对象抵押权未见登记。未设定租赁等其他他项权利。</v>
      </c>
    </row>
    <row r="56" spans="1:2">
      <c r="A56" s="2717" t="s">
        <v>2675</v>
      </c>
      <c r="B56" s="2718" t="str">
        <f>'预评函-3'!A3</f>
        <v>2.基础设施条件：估价对象实际开发程度为红线外七通、宗地红线内；本次评估设定开发程度为红线外七通、宗地红线内场地。</v>
      </c>
    </row>
    <row r="57" spans="1:2">
      <c r="A57" s="2717" t="s">
        <v>2676</v>
      </c>
      <c r="B57" s="2718" t="str">
        <f>'预评函-3'!A4</f>
        <v>3.估价规划限制条件：详见《建设工程规划许可证》[]、《出让合同》[]。</v>
      </c>
    </row>
    <row r="58" spans="1:2" s="2732" customFormat="1" ht="15" thickBot="1">
      <c r="A58" s="2739" t="s">
        <v>2725</v>
      </c>
      <c r="B58" s="2740" t="str">
        <f>'预评函-3'!A5</f>
        <v>4.影响价格的其他限定条件：无。</v>
      </c>
    </row>
    <row r="59" spans="1:2" ht="15" thickTop="1">
      <c r="A59" s="2728" t="s">
        <v>2677</v>
      </c>
      <c r="B59" s="2729" t="str">
        <f>'预评函-3'!A8</f>
        <v>2.本次评估设定估价对象宗地权属无争议，未被查封或者以其他形式限制其房地产权利，未设定抵押权等他项权利，不涉及第三方权利义务。</v>
      </c>
    </row>
    <row r="60" spans="1:2">
      <c r="A60" s="2717" t="s">
        <v>2678</v>
      </c>
      <c r="B60" s="2718" t="str">
        <f>'预评函-3'!A9</f>
        <v>——</v>
      </c>
    </row>
    <row r="61" spans="1:2">
      <c r="A61" s="2717" t="s">
        <v>2680</v>
      </c>
      <c r="B61" s="2718" t="str">
        <f>'预评函-3'!A10</f>
        <v>——</v>
      </c>
    </row>
    <row r="62" spans="1:2">
      <c r="A62" s="2717" t="s">
        <v>2679</v>
      </c>
      <c r="B62" s="2718" t="str">
        <f>'预评函-3'!A11</f>
        <v>——</v>
      </c>
    </row>
    <row r="63" spans="1:2">
      <c r="A63" s="2717" t="s">
        <v>2681</v>
      </c>
      <c r="B63" s="271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717" t="s">
        <v>2682</v>
      </c>
      <c r="B64" s="2723" t="str">
        <f>'预评函-3'!A13</f>
        <v>（3）。</v>
      </c>
    </row>
    <row r="65" spans="1:2">
      <c r="A65" s="2717" t="s">
        <v>2683</v>
      </c>
      <c r="B65" s="2724" t="str">
        <f>'预评函-3'!A14</f>
        <v>——</v>
      </c>
    </row>
    <row r="66" spans="1:2">
      <c r="A66" s="2717" t="s">
        <v>2684</v>
      </c>
      <c r="B66" s="2724"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717" t="s">
        <v>2685</v>
      </c>
      <c r="B67" s="2724"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732" customFormat="1" ht="15" thickBot="1">
      <c r="A68" s="2739" t="s">
        <v>2688</v>
      </c>
      <c r="B68" s="2743">
        <f>'预评函-3'!D30</f>
        <v>42558</v>
      </c>
    </row>
    <row r="69" spans="1:2" ht="15" thickTop="1">
      <c r="A69" s="2728" t="s">
        <v>2686</v>
      </c>
      <c r="B69" s="2729" t="str">
        <f>'预评函-3'!A20</f>
        <v>土地估价师</v>
      </c>
    </row>
    <row r="70" spans="1:2">
      <c r="A70" s="2717" t="s">
        <v>2686</v>
      </c>
      <c r="B70" s="2724">
        <f>'预评函-3'!B20</f>
        <v>0</v>
      </c>
    </row>
    <row r="71" spans="1:2">
      <c r="A71" s="2717" t="s">
        <v>2687</v>
      </c>
      <c r="B71" s="2718" t="str">
        <f>'预评函-3'!A21</f>
        <v>土地估价师</v>
      </c>
    </row>
    <row r="72" spans="1:2" s="2732" customFormat="1" ht="15" thickBot="1">
      <c r="A72" s="2739" t="s">
        <v>2687</v>
      </c>
      <c r="B72" s="2745">
        <f>'预评函-3'!B21</f>
        <v>0</v>
      </c>
    </row>
    <row r="73" spans="1:2" ht="15" thickTop="1">
      <c r="A73" s="2728" t="s">
        <v>2746</v>
      </c>
      <c r="B73" s="2744"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717" t="s">
        <v>2747</v>
      </c>
      <c r="B74" s="2725" t="str">
        <f>'预评函-1 (储备)'!A18</f>
        <v>由于本次评估估价目的是评估储备国有建设用地使用权的“抵押价格”，因此本次评估设定土地开发程度为红线外市政基础设施达“七通”、宗地红线内场地平整。</v>
      </c>
    </row>
    <row r="75" spans="1:2" s="2732" customFormat="1" ht="15" thickBot="1">
      <c r="A75" s="2739" t="s">
        <v>2748</v>
      </c>
      <c r="B75" s="2746"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726" t="s">
        <v>2782</v>
      </c>
      <c r="B76" s="2727"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41" customWidth="1"/>
    <col min="2" max="2" width="10.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226" t="str">
        <f>项目基本情况!B1</f>
        <v>北京市出让国有建设用地使用权市场价格预评估</v>
      </c>
      <c r="C37" s="3226"/>
      <c r="D37" s="3226"/>
      <c r="E37" s="3226"/>
      <c r="F37" s="3226"/>
      <c r="G37" s="3226"/>
      <c r="H37" s="3226"/>
      <c r="I37" s="3226"/>
    </row>
    <row r="38" spans="1:9">
      <c r="A38" s="1642"/>
      <c r="B38" s="1642"/>
    </row>
    <row r="39" spans="1:9">
      <c r="A39" s="1640" t="s">
        <v>1901</v>
      </c>
      <c r="B39" s="1640" t="s">
        <v>2044</v>
      </c>
    </row>
    <row r="40" spans="1:9">
      <c r="A40" s="1640"/>
      <c r="B40" s="1640">
        <f>项目基本情况!B5</f>
        <v>0</v>
      </c>
    </row>
    <row r="41" spans="1:9">
      <c r="A41" s="1640"/>
      <c r="B41" s="1640"/>
    </row>
    <row r="42" spans="1:9">
      <c r="A42" s="1640" t="s">
        <v>1901</v>
      </c>
      <c r="B42" s="1640" t="s">
        <v>2045</v>
      </c>
    </row>
    <row r="43" spans="1:9">
      <c r="A43" s="1640"/>
      <c r="B43" s="1640" t="s">
        <v>1903</v>
      </c>
    </row>
    <row r="44" spans="1:9">
      <c r="A44" s="1640"/>
      <c r="B44" s="1640"/>
    </row>
    <row r="45" spans="1:9">
      <c r="A45" s="1640" t="s">
        <v>1901</v>
      </c>
      <c r="B45" s="1640" t="s">
        <v>2043</v>
      </c>
    </row>
    <row r="46" spans="1:9" s="1640" customFormat="1" ht="12.75">
      <c r="B46" s="1640" t="str">
        <f>项目基本情况!K4</f>
        <v>土地估价师、土地估价师</v>
      </c>
    </row>
    <row r="47" spans="1:9">
      <c r="A47" s="1640"/>
      <c r="B47" s="1640"/>
    </row>
    <row r="48" spans="1:9">
      <c r="A48" s="1640" t="s">
        <v>1901</v>
      </c>
      <c r="B48" s="1640" t="s">
        <v>2046</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37.5">
      <c r="A4" s="1777" t="str">
        <f>"受贵公司委托，我公司对"&amp;项目基本情况!K2&amp;项目基本情况!B9&amp;"进行了预评估。"</f>
        <v>受贵公司委托，我公司对北京市出让国有建设用地使用权市场价格进行了预评估。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5500平方米。根据《建设工程规划许可证》[]、《出让合同》[]，估价对象规划建筑面积为17100平方米。</v>
      </c>
    </row>
    <row r="7" spans="1:4" ht="56.25">
      <c r="A7" s="1781" t="s">
        <v>2743</v>
      </c>
    </row>
    <row r="8" spans="1:4" ht="18.75">
      <c r="A8" s="1780" t="s">
        <v>1906</v>
      </c>
    </row>
    <row r="9" spans="1:4" ht="37.5">
      <c r="A9" s="1782"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83" t="s">
        <v>2024</v>
      </c>
    </row>
    <row r="11" spans="1:4" ht="18.75">
      <c r="A11" s="1766" t="str">
        <f>TEXT(项目基本情况!D3,"yyyy年m月d日;;")&amp;IF(项目基本情况!B3=项目基本情况!D3,"（评估专业人员勘察现场之日）","")</f>
        <v>2020年6月30日</v>
      </c>
    </row>
    <row r="12" spans="1:4" ht="18.75">
      <c r="A12" s="1783" t="s">
        <v>2023</v>
      </c>
    </row>
    <row r="13" spans="1:4" ht="18.75">
      <c r="A13" s="1777" t="s">
        <v>2938</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2070</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7" t="s">
        <v>2071</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根据《国有土地使用证》[]，估价对象（分摊）出让国有建设用地使用权面积为5500平方米。根据《建设工程规划许可证》[]、《出让合同》[]，估价对象规划建筑面积为17100平方米。</v>
      </c>
    </row>
    <row r="21" spans="1:1" ht="18.75">
      <c r="A21" s="1777" t="s">
        <v>2072</v>
      </c>
    </row>
    <row r="22" spans="1:1" ht="93.7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办公2090年12月12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2073</v>
      </c>
    </row>
    <row r="25" spans="1:1" ht="75">
      <c r="A25" s="1777" t="str">
        <f>定义!C53</f>
        <v>本次估价的“出让国有建设用地使用权价格”是指在估价对象土地所有权为国家所有，使用权性质为出让，在公开市场条件下、于估价期日2020年6月30日，在规划利用条件下、设定土地开发程度为红线外“七通”、宗地内场地，设定用途为，剩余土地使用年限为的出让国有建设用地使用权价格。</v>
      </c>
    </row>
    <row r="26" spans="1:1" ht="18.75">
      <c r="A26" s="1777" t="str">
        <f>IF(项目基本情况!B9="市场价格","——",IF(项目基本情况!E8="抵押价格",定义!C54,IF(项目基本情况!E8="已注销",定义!C55,定义!C56)))</f>
        <v>——</v>
      </c>
    </row>
    <row r="27" spans="1:1" ht="18.7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777" t="str">
        <f>IF(项目基本情况!B9="市场价格","——",IF(项目基本情况!E9="——","",定义!C57))</f>
        <v>——</v>
      </c>
    </row>
    <row r="29" spans="1:1" ht="18.75">
      <c r="A29" s="1783" t="s">
        <v>2025</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2026</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37.5">
      <c r="A4" s="1777" t="str">
        <f>"受贵公司委托，我公司对"&amp;项目基本情况!K2&amp;项目基本情况!B9&amp;"进行了预评估。"</f>
        <v>受贵公司委托，我公司对北京市出让国有建设用地使用权市场价格进行了预评估。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5500平方米。根据《建设工程规划许可证》[]、《出让合同》[]，估价对象规划建筑面积为17100平方米。</v>
      </c>
    </row>
    <row r="7" spans="1:4" ht="93.75">
      <c r="A7" s="2713" t="s">
        <v>2744</v>
      </c>
    </row>
    <row r="8" spans="1:4" ht="18.75">
      <c r="A8" s="1780" t="s">
        <v>1906</v>
      </c>
    </row>
    <row r="9" spans="1:4" ht="37.5">
      <c r="A9" s="1782"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83" t="s">
        <v>2024</v>
      </c>
    </row>
    <row r="11" spans="1:4" ht="18.75">
      <c r="A11" s="1766" t="str">
        <f>TEXT(项目基本情况!D3,"yyyy年m月d日;;")&amp;IF(项目基本情况!B3=项目基本情况!D3,"（评估专业人员勘察现场之日）","")</f>
        <v>2020年6月30日</v>
      </c>
    </row>
    <row r="12" spans="1:4" ht="18.75">
      <c r="A12" s="1783" t="s">
        <v>2023</v>
      </c>
    </row>
    <row r="13" spans="1:4" ht="18.75">
      <c r="A13" s="1777" t="s">
        <v>2069</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2070</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7" t="s">
        <v>2071</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根据《国有土地使用证》[]，估价对象（分摊）出让国有建设用地使用权面积为5500平方米。根据《建设工程规划许可证》[]、《出让合同》[]，估价对象规划建筑面积为17100平方米。</v>
      </c>
    </row>
    <row r="21" spans="1:1" ht="93.75">
      <c r="A21" s="271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2072</v>
      </c>
    </row>
    <row r="23" spans="1:1" ht="18.75">
      <c r="A23" s="2715" t="s">
        <v>2745</v>
      </c>
    </row>
    <row r="24" spans="1:1" ht="18.75">
      <c r="A24" s="1777" t="s">
        <v>2073</v>
      </c>
    </row>
    <row r="25" spans="1:1" ht="75">
      <c r="A25" s="1777" t="str">
        <f>定义!C53</f>
        <v>本次估价的“出让国有建设用地使用权价格”是指在估价对象土地所有权为国家所有，使用权性质为出让，在公开市场条件下、于估价期日2020年6月30日，在规划利用条件下、设定土地开发程度为红线外“七通”、宗地内场地，设定用途为，剩余土地使用年限为的出让国有建设用地使用权价格。</v>
      </c>
    </row>
    <row r="26" spans="1:1" ht="9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2025</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2026</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30" t="s">
        <v>2036</v>
      </c>
      <c r="B1" s="3230"/>
      <c r="C1" s="3230"/>
      <c r="D1" s="3230"/>
      <c r="E1" s="3230"/>
      <c r="F1" s="3230"/>
      <c r="G1" s="3230"/>
      <c r="H1" s="3230"/>
      <c r="I1" s="3230"/>
      <c r="J1" s="3230"/>
      <c r="K1" s="3230"/>
      <c r="L1" s="3230"/>
      <c r="M1" s="3230"/>
      <c r="N1" s="3230"/>
      <c r="O1" s="3230"/>
      <c r="P1" s="3230"/>
      <c r="Q1" s="3230"/>
      <c r="R1" s="3230"/>
    </row>
    <row r="2" spans="1:18">
      <c r="A2" s="1793" t="s">
        <v>2038</v>
      </c>
      <c r="B2" s="1793"/>
      <c r="C2" s="1793"/>
      <c r="D2" s="1793"/>
      <c r="E2" s="1793"/>
      <c r="F2" s="1793"/>
      <c r="G2" s="1793"/>
      <c r="H2" s="1793"/>
      <c r="I2" s="1794"/>
      <c r="J2" s="1794"/>
      <c r="K2" s="1795" t="str">
        <f>"估价期日："&amp;TEXT(项目基本情况!D3,"yyyy年m月d日;;")</f>
        <v>估价期日：2020年6月30日</v>
      </c>
      <c r="L2" s="1793"/>
      <c r="M2" s="1793"/>
      <c r="N2" s="1793"/>
      <c r="O2" s="1793"/>
      <c r="P2" s="1793"/>
      <c r="Q2" s="1793"/>
      <c r="R2" s="1795" t="str">
        <f>"估价期日的国有建设用地使用权性质："&amp;项目基本情况!B16</f>
        <v>估价期日的国有建设用地使用权性质：出让</v>
      </c>
    </row>
    <row r="3" spans="1:18" ht="23.25" customHeight="1">
      <c r="A3" s="3231" t="s">
        <v>2027</v>
      </c>
      <c r="B3" s="3231" t="s">
        <v>2727</v>
      </c>
      <c r="C3" s="3232" t="s">
        <v>2028</v>
      </c>
      <c r="D3" s="3231" t="s">
        <v>2731</v>
      </c>
      <c r="E3" s="3234" t="s">
        <v>2029</v>
      </c>
      <c r="F3" s="3234"/>
      <c r="G3" s="3234"/>
      <c r="H3" s="3234" t="s">
        <v>2030</v>
      </c>
      <c r="I3" s="3234"/>
      <c r="J3" s="3234"/>
      <c r="K3" s="3232" t="s">
        <v>2031</v>
      </c>
      <c r="L3" s="3232" t="s">
        <v>2032</v>
      </c>
      <c r="M3" s="3231" t="s">
        <v>2728</v>
      </c>
      <c r="N3" s="3233" t="str">
        <f>"（分摊）"&amp;项目基本情况!B16&amp;"国有建设用地使用权面积/㎡"</f>
        <v>（分摊）出让国有建设用地使用权面积/㎡</v>
      </c>
      <c r="O3" s="3231" t="s">
        <v>2061</v>
      </c>
      <c r="P3" s="3232" t="s">
        <v>2041</v>
      </c>
      <c r="Q3" s="3232" t="s">
        <v>2062</v>
      </c>
      <c r="R3" s="3232" t="s">
        <v>2033</v>
      </c>
    </row>
    <row r="4" spans="1:18" ht="36.75" customHeight="1">
      <c r="A4" s="3231"/>
      <c r="B4" s="3231"/>
      <c r="C4" s="3232"/>
      <c r="D4" s="3231"/>
      <c r="E4" s="2614" t="s">
        <v>2040</v>
      </c>
      <c r="F4" s="2614" t="s">
        <v>2740</v>
      </c>
      <c r="G4" s="2614" t="s">
        <v>2034</v>
      </c>
      <c r="H4" s="2614" t="s">
        <v>2035</v>
      </c>
      <c r="I4" s="2614" t="s">
        <v>2741</v>
      </c>
      <c r="J4" s="2614" t="s">
        <v>2034</v>
      </c>
      <c r="K4" s="3232"/>
      <c r="L4" s="3232"/>
      <c r="M4" s="3231"/>
      <c r="N4" s="3233"/>
      <c r="O4" s="3231"/>
      <c r="P4" s="3232"/>
      <c r="Q4" s="3232"/>
      <c r="R4" s="3232"/>
    </row>
    <row r="5" spans="1:18" ht="135" customHeight="1">
      <c r="A5" s="1929" t="s">
        <v>2651</v>
      </c>
      <c r="B5" s="2707" t="s">
        <v>2649</v>
      </c>
      <c r="C5" s="2613">
        <v>22</v>
      </c>
      <c r="D5" s="2612" t="s">
        <v>2650</v>
      </c>
      <c r="E5" s="1796">
        <f>项目基本情况!B12</f>
        <v>0</v>
      </c>
      <c r="F5" s="2612">
        <v>258</v>
      </c>
      <c r="G5" s="1796">
        <f>项目基本情况!B13</f>
        <v>0</v>
      </c>
      <c r="H5" s="2612">
        <v>1.5</v>
      </c>
      <c r="I5" s="2612">
        <v>1.5</v>
      </c>
      <c r="J5" s="2612">
        <v>1.5</v>
      </c>
      <c r="K5" s="1796" t="str">
        <f>"红线外"&amp;项目基本情况!T40&amp;"、宗地红线内"&amp;项目基本情况!B35</f>
        <v>红线外七通、宗地红线内</v>
      </c>
      <c r="L5" s="1796" t="str">
        <f>"红线外"&amp;项目基本情况!T40&amp;"、宗地红线内场地"&amp;项目基本情况!D36</f>
        <v>红线外七通、宗地红线内场地</v>
      </c>
      <c r="M5" s="1796">
        <f>IF(项目基本情况!B16="出让",项目基本情况!D20,"——")</f>
        <v>0</v>
      </c>
      <c r="N5" s="1796">
        <f>项目基本情况!C22</f>
        <v>5500</v>
      </c>
      <c r="O5" s="1796">
        <f>项目基本情况!C21</f>
        <v>17100</v>
      </c>
      <c r="P5" s="1796" t="e">
        <f ca="1">结果表!E42</f>
        <v>#REF!</v>
      </c>
      <c r="Q5" s="1796" t="e">
        <f ca="1">结果表!D42</f>
        <v>#REF!</v>
      </c>
      <c r="R5" s="1797" t="e">
        <f ca="1">结果表!C42</f>
        <v>#REF!</v>
      </c>
    </row>
    <row r="6" spans="1:18">
      <c r="A6" s="3227" t="str">
        <f>IF(项目基本情况!B9="市场价格","——","抵押价格")</f>
        <v>——</v>
      </c>
      <c r="B6" s="3228"/>
      <c r="C6" s="3228"/>
      <c r="D6" s="3228"/>
      <c r="E6" s="3228"/>
      <c r="F6" s="3228"/>
      <c r="G6" s="3228"/>
      <c r="H6" s="3228"/>
      <c r="I6" s="3228"/>
      <c r="J6" s="3228"/>
      <c r="K6" s="3228"/>
      <c r="L6" s="3228"/>
      <c r="M6" s="3228"/>
      <c r="N6" s="3228"/>
      <c r="O6" s="3228"/>
      <c r="P6" s="3228"/>
      <c r="Q6" s="3229"/>
      <c r="R6" s="1798" t="str">
        <f>结果表!O39</f>
        <v>——</v>
      </c>
    </row>
    <row r="7" spans="1:18">
      <c r="A7" s="3227" t="str">
        <f>IF(项目基本情况!B9="市场价格","——",IF(项目基本情况!E8="已注销及未注销","抵押担保权已注销时的抵押价格","——"))</f>
        <v>——</v>
      </c>
      <c r="B7" s="3228"/>
      <c r="C7" s="3228"/>
      <c r="D7" s="3228"/>
      <c r="E7" s="3228"/>
      <c r="F7" s="3228"/>
      <c r="G7" s="3228"/>
      <c r="H7" s="3228"/>
      <c r="I7" s="3228"/>
      <c r="J7" s="3228"/>
      <c r="K7" s="3228"/>
      <c r="L7" s="3228"/>
      <c r="M7" s="3228"/>
      <c r="N7" s="3228"/>
      <c r="O7" s="3228"/>
      <c r="P7" s="3228"/>
      <c r="Q7" s="3229"/>
      <c r="R7" s="1798" t="str">
        <f>结果表!O40</f>
        <v>——</v>
      </c>
    </row>
    <row r="8" spans="1:18">
      <c r="A8" s="3227" t="str">
        <f>IF(项目基本情况!B9="市场价格","——",项目基本情况!E9)</f>
        <v>——</v>
      </c>
      <c r="B8" s="3228"/>
      <c r="C8" s="3228"/>
      <c r="D8" s="3228"/>
      <c r="E8" s="3228"/>
      <c r="F8" s="3228"/>
      <c r="G8" s="3228"/>
      <c r="H8" s="3228"/>
      <c r="I8" s="3228"/>
      <c r="J8" s="3228"/>
      <c r="K8" s="3228"/>
      <c r="L8" s="3228"/>
      <c r="M8" s="3228"/>
      <c r="N8" s="3228"/>
      <c r="O8" s="3228"/>
      <c r="P8" s="3228"/>
      <c r="Q8" s="3229"/>
      <c r="R8" s="1798" t="str">
        <f>结果表!O41</f>
        <v>——</v>
      </c>
    </row>
    <row r="9" spans="1:18">
      <c r="A9" s="1799" t="s">
        <v>2039</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2026</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8" customWidth="1"/>
    <col min="2" max="3" width="21.375" style="1788" customWidth="1"/>
    <col min="4" max="4" width="19.875" style="1788" customWidth="1"/>
    <col min="5" max="16384" width="9" style="1788"/>
  </cols>
  <sheetData>
    <row r="1" spans="1:4">
      <c r="A1" s="3236" t="s">
        <v>2063</v>
      </c>
      <c r="B1" s="3236"/>
      <c r="C1" s="3236"/>
      <c r="D1" s="3236"/>
    </row>
    <row r="2" spans="1:4" ht="47.25" customHeight="1">
      <c r="A2" s="3237" t="str">
        <f>"1.权利限制："&amp;项目基本情况!L24&amp;"未设定租赁等其他他项权利。"</f>
        <v>1.权利限制：根据估价对象《不动产权证书》原件、《国有土地使用权》复印件，截至估价期日，估价对象抵押权未见登记。未设定租赁等其他他项权利。</v>
      </c>
      <c r="B2" s="3237"/>
      <c r="C2" s="3237"/>
      <c r="D2" s="3237"/>
    </row>
    <row r="3" spans="1:4" ht="48" customHeight="1">
      <c r="A3" s="323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36"/>
      <c r="C3" s="3236"/>
      <c r="D3" s="3236"/>
    </row>
    <row r="4" spans="1:4" ht="36.75" customHeight="1">
      <c r="A4" s="3236" t="str">
        <f>"3.估价规划限制条件：详见"&amp;项目基本情况!E21&amp;"。"</f>
        <v>3.估价规划限制条件：详见《建设工程规划许可证》[]、《出让合同》[]。</v>
      </c>
      <c r="B4" s="3236"/>
      <c r="C4" s="3236"/>
      <c r="D4" s="3236"/>
    </row>
    <row r="5" spans="1:4">
      <c r="A5" s="3235" t="s">
        <v>2064</v>
      </c>
      <c r="B5" s="3235"/>
      <c r="C5" s="3235"/>
      <c r="D5" s="3235"/>
    </row>
    <row r="6" spans="1:4">
      <c r="A6" s="3236" t="s">
        <v>2042</v>
      </c>
      <c r="B6" s="3236"/>
      <c r="C6" s="3236"/>
      <c r="D6" s="3236"/>
    </row>
    <row r="7" spans="1:4" ht="33" customHeight="1">
      <c r="A7" s="3236" t="s">
        <v>2571</v>
      </c>
      <c r="B7" s="3236"/>
      <c r="C7" s="3236"/>
      <c r="D7" s="3236"/>
    </row>
    <row r="8" spans="1:4" ht="32.25" customHeight="1">
      <c r="A8" s="323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236"/>
      <c r="C8" s="3236"/>
      <c r="D8" s="3236"/>
    </row>
    <row r="9" spans="1:4" ht="33.75" customHeight="1">
      <c r="A9" s="3236" t="str">
        <f>IF(项目基本情况!B8="抵押","3.抵押双方在办理抵押登记手续时，应使用本公司出具的正式《土地估价报告》，特提请报告使用者注意。","——")</f>
        <v>——</v>
      </c>
      <c r="B9" s="3236"/>
      <c r="C9" s="3236"/>
      <c r="D9" s="3236"/>
    </row>
    <row r="10" spans="1:4">
      <c r="A10" s="3236" t="str">
        <f>IF(项目基本情况!B8="抵押","4.估价师所知悉的法定优先受偿款情况为：","——")</f>
        <v>——</v>
      </c>
      <c r="B10" s="3236"/>
      <c r="C10" s="3236"/>
      <c r="D10" s="3236"/>
    </row>
    <row r="11" spans="1:4" ht="37.5" customHeight="1">
      <c r="A11" s="3238" t="str">
        <f>IF(项目基本情况!B8="抵押","（1）"&amp;CONCATENATE(项目基本情况!L24,项目基本情况!L25,项目基本情况!L26),"——")</f>
        <v>——</v>
      </c>
      <c r="B11" s="3238"/>
      <c r="C11" s="3238"/>
      <c r="D11" s="3238"/>
    </row>
    <row r="12" spans="1:4" ht="168" customHeight="1">
      <c r="A12" s="3235" t="s">
        <v>2066</v>
      </c>
      <c r="B12" s="3235"/>
      <c r="C12" s="3235"/>
      <c r="D12" s="3235"/>
    </row>
    <row r="13" spans="1:4">
      <c r="A13" s="3239" t="s">
        <v>2742</v>
      </c>
      <c r="B13" s="3239"/>
      <c r="C13" s="3239"/>
      <c r="D13" s="3239"/>
    </row>
    <row r="14" spans="1:4">
      <c r="A14" s="3238" t="str">
        <f>IF(项目基本情况!B8="抵押","综上，"&amp;结果表!K47,"——")</f>
        <v>——</v>
      </c>
      <c r="B14" s="3238"/>
      <c r="C14" s="3238"/>
      <c r="D14" s="3238"/>
    </row>
    <row r="15" spans="1:4" ht="58.5" customHeight="1">
      <c r="A15" s="323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36"/>
      <c r="C15" s="3236"/>
      <c r="D15" s="3236"/>
    </row>
    <row r="16" spans="1:4" ht="70.5" customHeight="1">
      <c r="A16" s="323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36"/>
      <c r="C16" s="3236"/>
      <c r="D16" s="3236"/>
    </row>
    <row r="17" spans="1:4">
      <c r="A17" s="3236" t="s">
        <v>2698</v>
      </c>
      <c r="B17" s="3236"/>
      <c r="C17" s="3236"/>
      <c r="D17" s="3236"/>
    </row>
    <row r="18" spans="1:4">
      <c r="A18" s="3236" t="s">
        <v>2690</v>
      </c>
      <c r="B18" s="3236"/>
      <c r="C18" s="3236"/>
      <c r="D18" s="3236"/>
    </row>
    <row r="19" spans="1:4">
      <c r="A19" s="2708" t="s">
        <v>2691</v>
      </c>
      <c r="B19" s="2708" t="s">
        <v>2692</v>
      </c>
      <c r="C19" s="2708" t="s">
        <v>2693</v>
      </c>
      <c r="D19" s="2708" t="s">
        <v>2694</v>
      </c>
    </row>
    <row r="20" spans="1:4">
      <c r="A20" s="2708" t="str">
        <f>项目基本情况!B4</f>
        <v>土地估价师</v>
      </c>
      <c r="B20" s="2708">
        <f>项目基本情况!C4</f>
        <v>0</v>
      </c>
      <c r="C20" s="2710"/>
      <c r="D20" s="1786" t="s">
        <v>2699</v>
      </c>
    </row>
    <row r="21" spans="1:4">
      <c r="A21" s="2708" t="str">
        <f>项目基本情况!D4</f>
        <v>土地估价师</v>
      </c>
      <c r="B21" s="2708">
        <f>项目基本情况!E4</f>
        <v>0</v>
      </c>
      <c r="C21" s="2710"/>
      <c r="D21" s="1786" t="s">
        <v>2700</v>
      </c>
    </row>
    <row r="23" spans="1:4">
      <c r="A23" s="3236" t="s">
        <v>2695</v>
      </c>
      <c r="B23" s="3236"/>
      <c r="C23" s="3236"/>
      <c r="D23" s="3236"/>
    </row>
    <row r="24" spans="1:4">
      <c r="A24" s="2708" t="s">
        <v>2691</v>
      </c>
      <c r="B24" s="2708" t="s">
        <v>2696</v>
      </c>
      <c r="C24" s="2708" t="s">
        <v>2693</v>
      </c>
      <c r="D24" s="2708" t="s">
        <v>2694</v>
      </c>
    </row>
    <row r="25" spans="1:4">
      <c r="A25" s="2711" t="s">
        <v>2697</v>
      </c>
      <c r="B25" s="2708" t="s">
        <v>952</v>
      </c>
      <c r="C25" s="2710"/>
      <c r="D25" s="1786" t="s">
        <v>2700</v>
      </c>
    </row>
    <row r="29" spans="1:4">
      <c r="D29" s="2709" t="s">
        <v>2037</v>
      </c>
    </row>
    <row r="30" spans="1:4">
      <c r="D30" s="2712">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47" t="s">
        <v>53</v>
      </c>
      <c r="B15" s="3248" t="s">
        <v>846</v>
      </c>
      <c r="C15" s="3244"/>
    </row>
    <row r="16" spans="1:7" ht="14.25">
      <c r="A16" s="3247"/>
      <c r="B16" s="3245" t="s">
        <v>54</v>
      </c>
      <c r="C16" s="1168" t="s">
        <v>53</v>
      </c>
    </row>
    <row r="17" spans="1:3" ht="14.25">
      <c r="A17" s="3247"/>
      <c r="B17" s="3245"/>
      <c r="C17" s="1168" t="s">
        <v>55</v>
      </c>
    </row>
    <row r="18" spans="1:3" ht="14.25">
      <c r="A18" s="3247"/>
      <c r="B18" s="3245"/>
      <c r="C18" s="1168" t="s">
        <v>56</v>
      </c>
    </row>
    <row r="19" spans="1:3" ht="14.25">
      <c r="A19" s="3247"/>
      <c r="B19" s="3243" t="s">
        <v>57</v>
      </c>
      <c r="C19" s="3244"/>
    </row>
    <row r="20" spans="1:3" ht="14.25">
      <c r="A20" s="1169" t="s">
        <v>58</v>
      </c>
      <c r="B20" s="1170"/>
      <c r="C20" s="1171"/>
    </row>
    <row r="21" spans="1:3" ht="14.25">
      <c r="A21" s="3246" t="s">
        <v>59</v>
      </c>
      <c r="B21" s="3243" t="s">
        <v>60</v>
      </c>
      <c r="C21" s="3244"/>
    </row>
    <row r="22" spans="1:3" ht="14.25">
      <c r="A22" s="3246"/>
      <c r="B22" s="3243" t="s">
        <v>61</v>
      </c>
      <c r="C22" s="3244"/>
    </row>
    <row r="23" spans="1:3" ht="14.25">
      <c r="A23" s="3246"/>
      <c r="B23" s="3243" t="s">
        <v>62</v>
      </c>
      <c r="C23" s="3244"/>
    </row>
    <row r="24" spans="1:3" ht="14.25">
      <c r="A24" s="3246"/>
      <c r="B24" s="3249" t="s">
        <v>63</v>
      </c>
      <c r="C24" s="1172" t="s">
        <v>837</v>
      </c>
    </row>
    <row r="25" spans="1:3" ht="14.25">
      <c r="A25" s="3246"/>
      <c r="B25" s="3250"/>
      <c r="C25" s="1172" t="s">
        <v>838</v>
      </c>
    </row>
    <row r="26" spans="1:3" ht="14.25">
      <c r="A26" s="3246"/>
      <c r="B26" s="3250"/>
      <c r="C26" s="1172" t="s">
        <v>839</v>
      </c>
    </row>
    <row r="27" spans="1:3" ht="14.25">
      <c r="A27" s="3246"/>
      <c r="B27" s="3250"/>
      <c r="C27" s="1172" t="s">
        <v>840</v>
      </c>
    </row>
    <row r="28" spans="1:3" ht="14.25">
      <c r="A28" s="3246"/>
      <c r="B28" s="3250"/>
      <c r="C28" s="1172" t="s">
        <v>841</v>
      </c>
    </row>
    <row r="29" spans="1:3" ht="14.25">
      <c r="A29" s="3246"/>
      <c r="B29" s="3250"/>
      <c r="C29" s="1172" t="s">
        <v>842</v>
      </c>
    </row>
    <row r="30" spans="1:3" ht="14.25">
      <c r="A30" s="3246"/>
      <c r="B30" s="3250"/>
      <c r="C30" s="1172" t="s">
        <v>843</v>
      </c>
    </row>
    <row r="31" spans="1:3" ht="14.25">
      <c r="A31" s="3246"/>
      <c r="B31" s="3250"/>
      <c r="C31" s="1172" t="s">
        <v>844</v>
      </c>
    </row>
    <row r="32" spans="1:3" ht="14.25">
      <c r="A32" s="3246"/>
      <c r="B32" s="3250"/>
      <c r="C32" s="1172" t="s">
        <v>1646</v>
      </c>
    </row>
    <row r="33" spans="1:3" ht="14.25">
      <c r="A33" s="3246"/>
      <c r="B33" s="3240" t="s">
        <v>1652</v>
      </c>
      <c r="C33" s="1172" t="s">
        <v>1647</v>
      </c>
    </row>
    <row r="34" spans="1:3" ht="14.25">
      <c r="A34" s="3246"/>
      <c r="B34" s="3241"/>
      <c r="C34" s="1177" t="s">
        <v>1648</v>
      </c>
    </row>
    <row r="35" spans="1:3" ht="14.25">
      <c r="A35" s="3246"/>
      <c r="B35" s="3241"/>
      <c r="C35" s="1178" t="s">
        <v>1649</v>
      </c>
    </row>
    <row r="36" spans="1:3" ht="14.25">
      <c r="A36" s="3246"/>
      <c r="B36" s="3241"/>
      <c r="C36" s="1178" t="s">
        <v>1650</v>
      </c>
    </row>
    <row r="37" spans="1:3" ht="14.25">
      <c r="A37" s="3246"/>
      <c r="B37" s="3242"/>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C23" sqref="C23"/>
    </sheetView>
  </sheetViews>
  <sheetFormatPr defaultColWidth="22.625" defaultRowHeight="20.25" customHeight="1"/>
  <cols>
    <col min="1" max="1" width="24.75" style="2983" customWidth="1"/>
    <col min="2" max="5" width="22.625" style="2983"/>
    <col min="6" max="6" width="25.625" style="2983" customWidth="1"/>
    <col min="7" max="16384" width="22.625" style="2983"/>
  </cols>
  <sheetData>
    <row r="2" spans="1:6" ht="20.25" customHeight="1">
      <c r="A2" s="2980" t="s">
        <v>1907</v>
      </c>
      <c r="B2" s="2981">
        <f ca="1">TODAY()</f>
        <v>44041</v>
      </c>
      <c r="C2" s="2982" t="s">
        <v>1908</v>
      </c>
      <c r="D2" s="2982"/>
    </row>
    <row r="3" spans="1:6" ht="20.25" customHeight="1">
      <c r="A3" s="2984" t="s">
        <v>1909</v>
      </c>
      <c r="B3" s="2985" t="s">
        <v>1910</v>
      </c>
      <c r="C3" s="2985" t="s">
        <v>1911</v>
      </c>
      <c r="D3" s="2986" t="s">
        <v>1912</v>
      </c>
      <c r="E3" s="2985" t="s">
        <v>1913</v>
      </c>
      <c r="F3" s="2985" t="s">
        <v>1911</v>
      </c>
    </row>
    <row r="4" spans="1:6" ht="20.25" customHeight="1">
      <c r="A4" s="2985" t="s">
        <v>1914</v>
      </c>
      <c r="B4" s="2985">
        <f ca="1">IF(C4&lt;B2,"已过期",1119970066)</f>
        <v>1119970066</v>
      </c>
      <c r="C4" s="2987">
        <v>44876</v>
      </c>
      <c r="D4" s="2985" t="s">
        <v>1914</v>
      </c>
      <c r="E4" s="2985">
        <f ca="1">IF(F4&lt;B2,"已过期",96010014)</f>
        <v>96010014</v>
      </c>
      <c r="F4" s="2988">
        <v>47118</v>
      </c>
    </row>
    <row r="5" spans="1:6" ht="20.25" customHeight="1">
      <c r="A5" s="2985"/>
      <c r="B5" s="2985"/>
      <c r="C5" s="2987"/>
      <c r="D5" s="2985"/>
      <c r="E5" s="2985"/>
      <c r="F5" s="2988"/>
    </row>
    <row r="6" spans="1:6" ht="20.25" customHeight="1">
      <c r="A6" s="2985" t="s">
        <v>1915</v>
      </c>
      <c r="B6" s="2985">
        <f ca="1">IF(C6&lt;B2,"已过期",1119970111)</f>
        <v>1119970111</v>
      </c>
      <c r="C6" s="2987">
        <v>44876</v>
      </c>
      <c r="D6" s="2985" t="s">
        <v>1915</v>
      </c>
      <c r="E6" s="2985">
        <f ca="1">IF(F6&lt;B2,"已过期",94010078)</f>
        <v>94010078</v>
      </c>
      <c r="F6" s="2988">
        <v>46387</v>
      </c>
    </row>
    <row r="7" spans="1:6" ht="20.25" customHeight="1">
      <c r="A7" s="2985" t="s">
        <v>1916</v>
      </c>
      <c r="B7" s="2985">
        <f ca="1">IF(C7&lt;B2,"已过期",1120050019)</f>
        <v>1120050019</v>
      </c>
      <c r="C7" s="2987">
        <v>44395</v>
      </c>
      <c r="D7" s="2985" t="s">
        <v>1916</v>
      </c>
      <c r="E7" s="2985">
        <f ca="1">IF(F7&lt;B2,"已过期",2002110030)</f>
        <v>2002110030</v>
      </c>
      <c r="F7" s="2988">
        <v>46387</v>
      </c>
    </row>
    <row r="8" spans="1:6" ht="20.25" customHeight="1">
      <c r="A8" s="2985" t="s">
        <v>1917</v>
      </c>
      <c r="B8" s="2985">
        <f ca="1">IF(C8&lt;B2,"已过期",1120000080)</f>
        <v>1120000080</v>
      </c>
      <c r="C8" s="2987">
        <v>44876</v>
      </c>
      <c r="D8" s="2985" t="s">
        <v>1917</v>
      </c>
      <c r="E8" s="2985">
        <f ca="1">IF(F8&lt;B2,"已过期",2000110082)</f>
        <v>2000110082</v>
      </c>
      <c r="F8" s="2988">
        <v>46387</v>
      </c>
    </row>
    <row r="9" spans="1:6" ht="20.25" customHeight="1">
      <c r="A9" s="2985" t="s">
        <v>1918</v>
      </c>
      <c r="B9" s="2985">
        <f ca="1">IF(C9&lt;B2,"已过期",1419970001)</f>
        <v>1419970001</v>
      </c>
      <c r="C9" s="2987">
        <v>44899</v>
      </c>
      <c r="D9" s="2985" t="s">
        <v>1918</v>
      </c>
      <c r="E9" s="2985">
        <f ca="1">IF(F9&lt;B2,"已过期",2002110125)</f>
        <v>2002110125</v>
      </c>
      <c r="F9" s="2988">
        <v>47118</v>
      </c>
    </row>
    <row r="10" spans="1:6" ht="20.25" customHeight="1">
      <c r="A10" s="2985" t="s">
        <v>1919</v>
      </c>
      <c r="B10" s="2985">
        <f ca="1">IF(C10&lt;B2,"已过期",1120060040)</f>
        <v>1120060040</v>
      </c>
      <c r="C10" s="2987">
        <v>44554</v>
      </c>
      <c r="D10" s="2985" t="s">
        <v>1919</v>
      </c>
      <c r="E10" s="2985">
        <f ca="1">IF(F10&lt;B2,"已过期",2004110096)</f>
        <v>2004110096</v>
      </c>
      <c r="F10" s="2988">
        <v>47118</v>
      </c>
    </row>
    <row r="11" spans="1:6" ht="20.25" customHeight="1">
      <c r="A11" s="2985" t="s">
        <v>1920</v>
      </c>
      <c r="B11" s="2985">
        <f ca="1">IF(C11&lt;B2,"已过期",1120100036)</f>
        <v>1120100036</v>
      </c>
      <c r="C11" s="2987">
        <v>44675</v>
      </c>
      <c r="D11" s="2985" t="s">
        <v>1920</v>
      </c>
      <c r="E11" s="2985">
        <f ca="1">IF(F11&lt;B2,"已过期",2010110070)</f>
        <v>2010110070</v>
      </c>
      <c r="F11" s="2988">
        <v>47907</v>
      </c>
    </row>
    <row r="12" spans="1:6" ht="20.25" customHeight="1">
      <c r="A12" s="2985"/>
      <c r="B12" s="2985"/>
      <c r="C12" s="2987"/>
      <c r="D12" s="2985"/>
      <c r="E12" s="2985"/>
      <c r="F12" s="2988"/>
    </row>
    <row r="13" spans="1:6" ht="20.25" customHeight="1">
      <c r="A13" s="2985" t="s">
        <v>1921</v>
      </c>
      <c r="B13" s="2985">
        <f ca="1">IF(C13&lt;B2,"已过期",1120070131)</f>
        <v>1120070131</v>
      </c>
      <c r="C13" s="2987">
        <v>44849</v>
      </c>
      <c r="D13" s="2985" t="s">
        <v>1921</v>
      </c>
      <c r="E13" s="2985">
        <f ca="1">IF(F13&lt;B2,"已过期",2014110011)</f>
        <v>2014110011</v>
      </c>
      <c r="F13" s="2988">
        <v>49302</v>
      </c>
    </row>
    <row r="14" spans="1:6" ht="20.25" customHeight="1">
      <c r="A14" s="2985" t="s">
        <v>2977</v>
      </c>
      <c r="B14" s="2985">
        <f ca="1">IF(C14&lt;B2,"已过期",1120040230)</f>
        <v>1120040230</v>
      </c>
      <c r="C14" s="2989">
        <v>44864</v>
      </c>
      <c r="D14" s="2990" t="s">
        <v>2978</v>
      </c>
      <c r="E14" s="2985">
        <f ca="1">IF(F14&lt;B2,"已过期",98030020)</f>
        <v>98030020</v>
      </c>
      <c r="F14" s="2988">
        <v>47118</v>
      </c>
    </row>
    <row r="15" spans="1:6" ht="20.25" customHeight="1">
      <c r="A15" s="2985"/>
      <c r="B15" s="2985"/>
      <c r="C15" s="2989"/>
      <c r="D15" s="2985"/>
      <c r="E15" s="2985"/>
      <c r="F15" s="2991"/>
    </row>
    <row r="16" spans="1:6" ht="20.25" customHeight="1">
      <c r="A16" s="2985"/>
      <c r="B16" s="2985"/>
      <c r="C16" s="2987"/>
      <c r="D16" s="2985"/>
      <c r="E16" s="2985"/>
      <c r="F16" s="2988"/>
    </row>
    <row r="17" spans="1:7" ht="20.25" customHeight="1">
      <c r="A17" s="2985"/>
      <c r="B17" s="2985"/>
      <c r="C17" s="2987"/>
      <c r="D17" s="2990"/>
      <c r="E17" s="2985"/>
      <c r="F17" s="2988"/>
    </row>
    <row r="18" spans="1:7" ht="20.25" customHeight="1">
      <c r="A18" s="2985" t="s">
        <v>2990</v>
      </c>
      <c r="B18" s="2985">
        <v>1120190079</v>
      </c>
      <c r="C18" s="2987">
        <v>44826</v>
      </c>
      <c r="D18" s="2985"/>
      <c r="E18" s="2985"/>
      <c r="F18" s="2988"/>
    </row>
    <row r="19" spans="1:7" ht="20.25" customHeight="1">
      <c r="A19" s="2985"/>
      <c r="B19" s="2985"/>
      <c r="C19" s="2987"/>
      <c r="D19" s="2985"/>
      <c r="E19" s="2985"/>
      <c r="F19" s="2985"/>
    </row>
    <row r="20" spans="1:7" ht="20.25" customHeight="1">
      <c r="A20" s="2985"/>
      <c r="B20" s="2985"/>
      <c r="C20" s="2987"/>
      <c r="D20" s="2985"/>
      <c r="E20" s="2985"/>
      <c r="F20" s="2985"/>
    </row>
    <row r="21" spans="1:7" ht="20.25" customHeight="1">
      <c r="A21" s="2985"/>
      <c r="B21" s="2985"/>
      <c r="C21" s="2987"/>
      <c r="D21" s="2985" t="s">
        <v>1922</v>
      </c>
      <c r="E21" s="2985">
        <f ca="1">IF(F21&lt;B2,"已过期",2011110090)</f>
        <v>2011110090</v>
      </c>
      <c r="F21" s="2988">
        <v>48302</v>
      </c>
    </row>
    <row r="22" spans="1:7" ht="20.25" customHeight="1">
      <c r="A22" s="2985" t="s">
        <v>1923</v>
      </c>
      <c r="B22" s="2985">
        <f ca="1">IF(C22&lt;B2,"已过期",1120020033)</f>
        <v>1120020033</v>
      </c>
      <c r="C22" s="2987">
        <v>44339</v>
      </c>
      <c r="D22" s="2985" t="s">
        <v>1923</v>
      </c>
      <c r="E22" s="2985">
        <f ca="1">IF(F22&lt;B2,"已过期",2000110137)</f>
        <v>2000110137</v>
      </c>
      <c r="F22" s="2988">
        <v>46387</v>
      </c>
    </row>
    <row r="23" spans="1:7" ht="20.25" customHeight="1">
      <c r="A23" s="2985" t="s">
        <v>2992</v>
      </c>
      <c r="B23" s="2985">
        <v>1119980106</v>
      </c>
      <c r="C23" s="2987">
        <v>44969</v>
      </c>
      <c r="D23" s="2985"/>
      <c r="E23" s="2985"/>
      <c r="F23" s="2985"/>
    </row>
    <row r="24" spans="1:7" s="2993" customFormat="1" ht="20.25" customHeight="1">
      <c r="A24" s="2984" t="s">
        <v>2051</v>
      </c>
      <c r="B24" s="2984" t="s">
        <v>2051</v>
      </c>
      <c r="C24" s="2987"/>
      <c r="D24" s="2992" t="s">
        <v>2051</v>
      </c>
      <c r="E24" s="2984" t="s">
        <v>2051</v>
      </c>
      <c r="F24" s="2991"/>
    </row>
    <row r="25" spans="1:7" ht="20.25" customHeight="1">
      <c r="A25" s="3251" t="s">
        <v>1924</v>
      </c>
      <c r="B25" s="3251"/>
      <c r="C25" s="3251"/>
      <c r="D25" s="3251"/>
      <c r="E25" s="3251"/>
      <c r="F25" s="3251"/>
      <c r="G25" s="3251"/>
    </row>
    <row r="26" spans="1:7" ht="20.25" customHeight="1">
      <c r="A26" s="3252" t="s">
        <v>1925</v>
      </c>
      <c r="B26" s="3252"/>
      <c r="C26" s="3252"/>
      <c r="D26" s="3252" t="s">
        <v>1926</v>
      </c>
      <c r="E26" s="3252"/>
      <c r="F26" s="3252"/>
    </row>
    <row r="27" spans="1:7" s="2980" customFormat="1" ht="20.25" customHeight="1">
      <c r="A27" s="2994" t="s">
        <v>1927</v>
      </c>
      <c r="B27" s="2995" t="s">
        <v>1928</v>
      </c>
      <c r="C27" s="2995" t="s">
        <v>1929</v>
      </c>
      <c r="D27" s="2985" t="s">
        <v>1927</v>
      </c>
      <c r="E27" s="2995" t="s">
        <v>1928</v>
      </c>
      <c r="F27" s="2995" t="s">
        <v>1929</v>
      </c>
    </row>
    <row r="28" spans="1:7" s="2980" customFormat="1" ht="20.25" customHeight="1">
      <c r="A28" s="2996" t="s">
        <v>1930</v>
      </c>
      <c r="B28" s="2996" t="s">
        <v>1931</v>
      </c>
      <c r="C28" s="2988">
        <v>44820</v>
      </c>
      <c r="D28" s="2996" t="s">
        <v>1932</v>
      </c>
      <c r="E28" s="2996" t="s">
        <v>1933</v>
      </c>
      <c r="F28" s="2997">
        <v>44377</v>
      </c>
    </row>
    <row r="29" spans="1:7" s="2980" customFormat="1" ht="20.25" customHeight="1">
      <c r="A29" s="2996"/>
      <c r="B29" s="2996"/>
      <c r="C29" s="2998"/>
      <c r="D29" s="2996" t="s">
        <v>1934</v>
      </c>
      <c r="E29" s="2996" t="s">
        <v>2991</v>
      </c>
      <c r="F29" s="2997">
        <v>44012</v>
      </c>
    </row>
    <row r="30" spans="1:7" ht="20.25" customHeight="1">
      <c r="C30" s="2999"/>
      <c r="D30" s="2999"/>
    </row>
  </sheetData>
  <sheetProtection sheet="1" objects="1" scenarios="1"/>
  <mergeCells count="3">
    <mergeCell ref="A25:G25"/>
    <mergeCell ref="A26:C26"/>
    <mergeCell ref="D26:F26"/>
  </mergeCells>
  <phoneticPr fontId="3" type="noConversion"/>
  <conditionalFormatting sqref="C24:D24">
    <cfRule type="expression" dxfId="232" priority="137">
      <formula>AND($C24-TODAY()&lt;30,TODAY()&lt;$C24)</formula>
    </cfRule>
  </conditionalFormatting>
  <conditionalFormatting sqref="C28">
    <cfRule type="expression" dxfId="231" priority="136">
      <formula>AND($C28-TODAY()&lt;30,TODAY()&lt;$C28)</formula>
    </cfRule>
  </conditionalFormatting>
  <conditionalFormatting sqref="C28 F4">
    <cfRule type="cellIs" dxfId="230" priority="138" stopIfTrue="1" operator="lessThan">
      <formula>$B$2</formula>
    </cfRule>
  </conditionalFormatting>
  <conditionalFormatting sqref="F5">
    <cfRule type="cellIs" dxfId="229" priority="134" stopIfTrue="1" operator="lessThan">
      <formula>$B$2</formula>
    </cfRule>
  </conditionalFormatting>
  <conditionalFormatting sqref="F6 F8 F10">
    <cfRule type="cellIs" dxfId="228" priority="132" stopIfTrue="1" operator="lessThan">
      <formula>$B$2</formula>
    </cfRule>
  </conditionalFormatting>
  <conditionalFormatting sqref="C24:D24">
    <cfRule type="expression" dxfId="227" priority="130">
      <formula>AND($C24-TODAY()&lt;30,TODAY()&lt;$C24)</formula>
    </cfRule>
  </conditionalFormatting>
  <conditionalFormatting sqref="F7 F9 F11 C24:D24">
    <cfRule type="cellIs" dxfId="226" priority="131" stopIfTrue="1" operator="lessThan">
      <formula>$B$2</formula>
    </cfRule>
  </conditionalFormatting>
  <conditionalFormatting sqref="F18">
    <cfRule type="cellIs" dxfId="225" priority="103" stopIfTrue="1" operator="lessThan">
      <formula>$B$2</formula>
    </cfRule>
  </conditionalFormatting>
  <conditionalFormatting sqref="F22">
    <cfRule type="cellIs" dxfId="224" priority="102" stopIfTrue="1" operator="lessThan">
      <formula>$B$2</formula>
    </cfRule>
  </conditionalFormatting>
  <conditionalFormatting sqref="F21">
    <cfRule type="cellIs" dxfId="223" priority="101" stopIfTrue="1" operator="lessThan">
      <formula>$B$2</formula>
    </cfRule>
  </conditionalFormatting>
  <conditionalFormatting sqref="B4:B11 E4:E11 E18:E23 B17:B23 B13 E13">
    <cfRule type="cellIs" dxfId="222" priority="99" stopIfTrue="1" operator="equal">
      <formula>"已过期"</formula>
    </cfRule>
  </conditionalFormatting>
  <conditionalFormatting sqref="F28">
    <cfRule type="cellIs" dxfId="221" priority="96" stopIfTrue="1" operator="lessThan">
      <formula>$B$2</formula>
    </cfRule>
  </conditionalFormatting>
  <conditionalFormatting sqref="F28">
    <cfRule type="expression" dxfId="220" priority="140">
      <formula>AND($E28-TODAY()&lt;30,TODAY()&lt;$E28)</formula>
    </cfRule>
  </conditionalFormatting>
  <conditionalFormatting sqref="C5">
    <cfRule type="expression" dxfId="219" priority="91">
      <formula>AND($C5-TODAY()&lt;30,TODAY()&lt;$C5)</formula>
    </cfRule>
  </conditionalFormatting>
  <conditionalFormatting sqref="C5">
    <cfRule type="cellIs" dxfId="218" priority="92" stopIfTrue="1" operator="lessThan">
      <formula>$B$2</formula>
    </cfRule>
  </conditionalFormatting>
  <conditionalFormatting sqref="C5:C6">
    <cfRule type="expression" dxfId="217" priority="89">
      <formula>AND($C5-TODAY()&lt;30,TODAY()&lt;$C5)</formula>
    </cfRule>
  </conditionalFormatting>
  <conditionalFormatting sqref="C5:C6">
    <cfRule type="cellIs" dxfId="216" priority="90" stopIfTrue="1" operator="lessThan">
      <formula>$B$2</formula>
    </cfRule>
  </conditionalFormatting>
  <conditionalFormatting sqref="C7">
    <cfRule type="expression" dxfId="215" priority="70">
      <formula>AND($C7-TODAY()&lt;30,TODAY()&lt;$C7)</formula>
    </cfRule>
  </conditionalFormatting>
  <conditionalFormatting sqref="C7">
    <cfRule type="cellIs" dxfId="214" priority="71" stopIfTrue="1" operator="lessThan">
      <formula>$B$2</formula>
    </cfRule>
  </conditionalFormatting>
  <conditionalFormatting sqref="C13 C17:C21">
    <cfRule type="expression" dxfId="213" priority="68">
      <formula>AND($C13-TODAY()&lt;30,TODAY()&lt;$C13)</formula>
    </cfRule>
  </conditionalFormatting>
  <conditionalFormatting sqref="C13 C17:C21">
    <cfRule type="cellIs" dxfId="212" priority="69" stopIfTrue="1" operator="lessThan">
      <formula>$B$2</formula>
    </cfRule>
  </conditionalFormatting>
  <conditionalFormatting sqref="F13">
    <cfRule type="cellIs" dxfId="211" priority="67" stopIfTrue="1" operator="lessThan">
      <formula>$B$2</formula>
    </cfRule>
  </conditionalFormatting>
  <conditionalFormatting sqref="F12">
    <cfRule type="cellIs" dxfId="210" priority="59" stopIfTrue="1" operator="lessThan">
      <formula>$B$2</formula>
    </cfRule>
  </conditionalFormatting>
  <conditionalFormatting sqref="B12 E12">
    <cfRule type="cellIs" dxfId="209" priority="58" stopIfTrue="1" operator="equal">
      <formula>"已过期"</formula>
    </cfRule>
  </conditionalFormatting>
  <conditionalFormatting sqref="C12">
    <cfRule type="expression" dxfId="208" priority="56">
      <formula>AND($C12-TODAY()&lt;30,TODAY()&lt;$C12)</formula>
    </cfRule>
  </conditionalFormatting>
  <conditionalFormatting sqref="C12">
    <cfRule type="cellIs" dxfId="207" priority="57" stopIfTrue="1" operator="lessThan">
      <formula>$B$2</formula>
    </cfRule>
  </conditionalFormatting>
  <conditionalFormatting sqref="C22">
    <cfRule type="expression" dxfId="206" priority="48">
      <formula>AND($C22-TODAY()&lt;30,TODAY()&lt;$C22)</formula>
    </cfRule>
  </conditionalFormatting>
  <conditionalFormatting sqref="C22">
    <cfRule type="cellIs" dxfId="205" priority="49" stopIfTrue="1" operator="lessThan">
      <formula>$B$2</formula>
    </cfRule>
  </conditionalFormatting>
  <conditionalFormatting sqref="C16">
    <cfRule type="expression" dxfId="204" priority="46">
      <formula>AND($C16-TODAY()&lt;30,TODAY()&lt;$C16)</formula>
    </cfRule>
  </conditionalFormatting>
  <conditionalFormatting sqref="C16">
    <cfRule type="cellIs" dxfId="203" priority="47" stopIfTrue="1" operator="lessThan">
      <formula>$B$2</formula>
    </cfRule>
  </conditionalFormatting>
  <conditionalFormatting sqref="C16">
    <cfRule type="expression" dxfId="202" priority="44">
      <formula>AND($C16-TODAY()&lt;30,TODAY()&lt;$C16)</formula>
    </cfRule>
  </conditionalFormatting>
  <conditionalFormatting sqref="C16">
    <cfRule type="cellIs" dxfId="201" priority="45" stopIfTrue="1" operator="lessThan">
      <formula>$B$2</formula>
    </cfRule>
  </conditionalFormatting>
  <conditionalFormatting sqref="B16">
    <cfRule type="cellIs" dxfId="200" priority="43" stopIfTrue="1" operator="equal">
      <formula>"已过期"</formula>
    </cfRule>
  </conditionalFormatting>
  <conditionalFormatting sqref="C14:C15">
    <cfRule type="expression" dxfId="199" priority="41">
      <formula>AND($C14-TODAY()&lt;30,TODAY()&lt;$C14)</formula>
    </cfRule>
  </conditionalFormatting>
  <conditionalFormatting sqref="C14:C15">
    <cfRule type="cellIs" dxfId="198" priority="42" stopIfTrue="1" operator="lessThan">
      <formula>$B$2</formula>
    </cfRule>
  </conditionalFormatting>
  <conditionalFormatting sqref="C14">
    <cfRule type="expression" dxfId="197" priority="39">
      <formula>AND($C14-TODAY()&lt;30,TODAY()&lt;$C14)</formula>
    </cfRule>
  </conditionalFormatting>
  <conditionalFormatting sqref="C14">
    <cfRule type="cellIs" dxfId="196" priority="40" stopIfTrue="1" operator="lessThan">
      <formula>$B$2</formula>
    </cfRule>
  </conditionalFormatting>
  <conditionalFormatting sqref="C15">
    <cfRule type="expression" dxfId="195" priority="37">
      <formula>AND($C15-TODAY()&lt;30,TODAY()&lt;$C15)</formula>
    </cfRule>
  </conditionalFormatting>
  <conditionalFormatting sqref="C15">
    <cfRule type="cellIs" dxfId="194" priority="38" stopIfTrue="1" operator="lessThan">
      <formula>$B$2</formula>
    </cfRule>
  </conditionalFormatting>
  <conditionalFormatting sqref="B14">
    <cfRule type="cellIs" dxfId="193" priority="36" stopIfTrue="1" operator="equal">
      <formula>"已过期"</formula>
    </cfRule>
  </conditionalFormatting>
  <conditionalFormatting sqref="B15">
    <cfRule type="cellIs" dxfId="192" priority="35" stopIfTrue="1" operator="equal">
      <formula>"已过期"</formula>
    </cfRule>
  </conditionalFormatting>
  <conditionalFormatting sqref="A15">
    <cfRule type="cellIs" dxfId="191" priority="34" stopIfTrue="1" operator="equal">
      <formula>"已过期"</formula>
    </cfRule>
  </conditionalFormatting>
  <conditionalFormatting sqref="C15">
    <cfRule type="expression" dxfId="190" priority="33">
      <formula>AND($C15-TODAY()&lt;30,TODAY()&lt;$C15)</formula>
    </cfRule>
  </conditionalFormatting>
  <conditionalFormatting sqref="F16">
    <cfRule type="cellIs" dxfId="189" priority="32" stopIfTrue="1" operator="lessThan">
      <formula>$B$2</formula>
    </cfRule>
  </conditionalFormatting>
  <conditionalFormatting sqref="E16">
    <cfRule type="cellIs" dxfId="188" priority="31" stopIfTrue="1" operator="equal">
      <formula>"已过期"</formula>
    </cfRule>
  </conditionalFormatting>
  <conditionalFormatting sqref="E15">
    <cfRule type="cellIs" dxfId="187" priority="30" stopIfTrue="1" operator="equal">
      <formula>"已过期"</formula>
    </cfRule>
  </conditionalFormatting>
  <conditionalFormatting sqref="D15">
    <cfRule type="cellIs" dxfId="186" priority="29" stopIfTrue="1" operator="equal">
      <formula>"已过期"</formula>
    </cfRule>
  </conditionalFormatting>
  <conditionalFormatting sqref="F17">
    <cfRule type="cellIs" dxfId="185" priority="28" stopIfTrue="1" operator="lessThan">
      <formula>$B$2</formula>
    </cfRule>
  </conditionalFormatting>
  <conditionalFormatting sqref="E17">
    <cfRule type="cellIs" dxfId="184" priority="27" stopIfTrue="1" operator="equal">
      <formula>"已过期"</formula>
    </cfRule>
  </conditionalFormatting>
  <conditionalFormatting sqref="E14">
    <cfRule type="cellIs" dxfId="183" priority="26" stopIfTrue="1" operator="equal">
      <formula>"已过期"</formula>
    </cfRule>
  </conditionalFormatting>
  <conditionalFormatting sqref="F14">
    <cfRule type="cellIs" dxfId="182" priority="25" stopIfTrue="1" operator="lessThan">
      <formula>$B$2</formula>
    </cfRule>
  </conditionalFormatting>
  <conditionalFormatting sqref="C10:C11">
    <cfRule type="expression" dxfId="181" priority="21">
      <formula>AND($C10-TODAY()&lt;30,TODAY()&lt;$C10)</formula>
    </cfRule>
  </conditionalFormatting>
  <conditionalFormatting sqref="C10:C11">
    <cfRule type="cellIs" dxfId="180" priority="22" stopIfTrue="1" operator="lessThan">
      <formula>$B$2</formula>
    </cfRule>
  </conditionalFormatting>
  <conditionalFormatting sqref="F29">
    <cfRule type="cellIs" dxfId="179" priority="17" stopIfTrue="1" operator="lessThan">
      <formula>$B$2</formula>
    </cfRule>
  </conditionalFormatting>
  <conditionalFormatting sqref="F29">
    <cfRule type="expression" dxfId="178" priority="18">
      <formula>AND($E29-TODAY()&lt;30,TODAY()&lt;$E29)</formula>
    </cfRule>
  </conditionalFormatting>
  <conditionalFormatting sqref="C4">
    <cfRule type="expression" dxfId="177" priority="5">
      <formula>AND($C4-TODAY()&lt;30,TODAY()&lt;$C4)</formula>
    </cfRule>
  </conditionalFormatting>
  <conditionalFormatting sqref="C4">
    <cfRule type="cellIs" dxfId="176" priority="6" stopIfTrue="1" operator="lessThan">
      <formula>$B$2</formula>
    </cfRule>
  </conditionalFormatting>
  <conditionalFormatting sqref="C8:C9">
    <cfRule type="expression" dxfId="175" priority="3">
      <formula>AND($C8-TODAY()&lt;30,TODAY()&lt;$C8)</formula>
    </cfRule>
  </conditionalFormatting>
  <conditionalFormatting sqref="C8:C9">
    <cfRule type="cellIs" dxfId="174" priority="4" stopIfTrue="1" operator="lessThan">
      <formula>$B$2</formula>
    </cfRule>
  </conditionalFormatting>
  <conditionalFormatting sqref="C23">
    <cfRule type="expression" dxfId="173" priority="1">
      <formula>AND($C23-TODAY()&lt;30,TODAY()&lt;$C23)</formula>
    </cfRule>
  </conditionalFormatting>
  <conditionalFormatting sqref="C23">
    <cfRule type="cellIs" dxfId="172" priority="2"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X25" sqref="X25"/>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2542</v>
      </c>
      <c r="R1" s="2547" t="s">
        <v>2536</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2537</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2538</v>
      </c>
      <c r="S3" s="9" t="s">
        <v>84</v>
      </c>
      <c r="T3" s="9" t="s">
        <v>85</v>
      </c>
      <c r="U3" s="9" t="s">
        <v>84</v>
      </c>
      <c r="V3" s="9" t="s">
        <v>86</v>
      </c>
      <c r="W3" s="9" t="s">
        <v>876</v>
      </c>
    </row>
    <row r="4" spans="1:23">
      <c r="A4" s="8" t="s">
        <v>87</v>
      </c>
      <c r="B4" s="8" t="s">
        <v>152</v>
      </c>
      <c r="C4" s="1538" t="s">
        <v>1711</v>
      </c>
      <c r="D4" s="9" t="s">
        <v>1992</v>
      </c>
      <c r="E4" s="9" t="s">
        <v>88</v>
      </c>
      <c r="F4" s="9" t="s">
        <v>89</v>
      </c>
      <c r="G4" s="9">
        <v>70</v>
      </c>
      <c r="H4" s="9" t="s">
        <v>90</v>
      </c>
      <c r="I4" s="9" t="s">
        <v>91</v>
      </c>
      <c r="K4" s="9" t="s">
        <v>92</v>
      </c>
      <c r="L4" s="9" t="s">
        <v>92</v>
      </c>
      <c r="M4" s="9" t="s">
        <v>92</v>
      </c>
      <c r="N4" s="9" t="s">
        <v>92</v>
      </c>
      <c r="O4" s="9" t="s">
        <v>92</v>
      </c>
      <c r="P4" s="1006" t="s">
        <v>760</v>
      </c>
      <c r="Q4" s="9" t="s">
        <v>92</v>
      </c>
      <c r="R4" s="1006" t="s">
        <v>2539</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2540</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2541</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2942" t="s">
        <v>2951</v>
      </c>
      <c r="C18" s="1541"/>
    </row>
    <row r="19" spans="1:3">
      <c r="A19" s="8" t="s">
        <v>120</v>
      </c>
      <c r="B19" s="2942" t="s">
        <v>2959</v>
      </c>
      <c r="C19" s="1541"/>
    </row>
    <row r="20" spans="1:3">
      <c r="A20" s="8" t="s">
        <v>121</v>
      </c>
      <c r="B20" s="3046" t="s">
        <v>3009</v>
      </c>
      <c r="C20" s="1541"/>
    </row>
    <row r="21" spans="1:3">
      <c r="A21" s="8" t="s">
        <v>122</v>
      </c>
      <c r="B21" s="3046" t="s">
        <v>3010</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1940</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1984</v>
      </c>
      <c r="B52" s="1754" t="s">
        <v>1985</v>
      </c>
      <c r="C52" s="1752" t="s">
        <v>1986</v>
      </c>
      <c r="D52" s="1752" t="s">
        <v>1987</v>
      </c>
      <c r="E52" s="1753"/>
    </row>
    <row r="53" spans="1:5">
      <c r="A53" s="3253" t="s">
        <v>1988</v>
      </c>
      <c r="B53" s="1752" t="s">
        <v>1994</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6月30日，在规划利用条件下、设定土地开发程度为红线外“七通”、宗地内场地，设定用途为，剩余土地使用年限为的出让国有建设用地使用权价格。</v>
      </c>
      <c r="D53" s="1753"/>
      <c r="E53" s="1753"/>
    </row>
    <row r="54" spans="1:5">
      <c r="A54" s="3253"/>
      <c r="B54" s="1752" t="s">
        <v>1995</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53"/>
      <c r="B55" s="1752" t="s">
        <v>1989</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53"/>
      <c r="B56" s="1752" t="s">
        <v>1990</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53"/>
      <c r="B57" s="1752" t="s">
        <v>1991</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2047</v>
      </c>
      <c r="B58" s="1752" t="s">
        <v>2048</v>
      </c>
      <c r="C58" s="11" t="s">
        <v>2049</v>
      </c>
      <c r="D58" s="1315" t="s">
        <v>2050</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B11" sqref="B11"/>
    </sheetView>
  </sheetViews>
  <sheetFormatPr defaultColWidth="10" defaultRowHeight="14.25"/>
  <cols>
    <col min="1" max="1" width="15.375" style="1675" customWidth="1"/>
    <col min="2" max="2" width="11.375" style="1675" customWidth="1"/>
    <col min="3" max="3" width="12.625" style="1675" customWidth="1"/>
    <col min="4" max="4" width="10"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1935</v>
      </c>
      <c r="B1" s="3269" t="str">
        <f>IF(B10="北京市","北京市",C10)&amp;F10&amp;B16&amp;"国有建设用地使用权"&amp;B9&amp;"预评估"</f>
        <v>北京市出让国有建设用地使用权市场价格预评估</v>
      </c>
      <c r="C1" s="3270"/>
      <c r="D1" s="3270"/>
      <c r="E1" s="3270"/>
      <c r="F1" s="3270"/>
      <c r="G1" s="3270"/>
      <c r="H1" s="3270"/>
      <c r="I1" s="3271"/>
      <c r="J1" s="1678"/>
      <c r="K1" s="2419" t="str">
        <f>IF(B10="北京市","北京市",C10)&amp;F10&amp;B16&amp;"国有建设用地使用权"&amp;B9</f>
        <v>北京市出让国有建设用地使用权市场价格</v>
      </c>
      <c r="L1" s="1707"/>
      <c r="M1" s="1707"/>
      <c r="N1" s="1678"/>
      <c r="O1" s="1679"/>
      <c r="P1" s="1678"/>
      <c r="Q1" s="1678"/>
      <c r="R1" s="1678"/>
      <c r="S1" s="1678"/>
      <c r="T1" s="1678"/>
      <c r="U1" s="1678"/>
    </row>
    <row r="2" spans="1:21">
      <c r="A2" s="1644" t="s">
        <v>1936</v>
      </c>
      <c r="B2" s="1826"/>
      <c r="D2" s="1678"/>
      <c r="E2" s="1678"/>
      <c r="F2" s="1678"/>
      <c r="G2" s="1678"/>
      <c r="H2" s="1644"/>
      <c r="I2" s="1679"/>
      <c r="J2" s="1678"/>
      <c r="K2" s="2419" t="str">
        <f>IF(B10="北京市","北京市",C10)&amp;F10&amp;B16&amp;"国有建设用地使用权"</f>
        <v>北京市出让国有建设用地使用权</v>
      </c>
      <c r="L2" s="1707"/>
      <c r="M2" s="1707"/>
      <c r="N2" s="1678"/>
      <c r="O2" s="1679"/>
      <c r="P2" s="1678"/>
      <c r="Q2" s="1678"/>
      <c r="R2" s="1678"/>
      <c r="S2" s="1678"/>
      <c r="T2" s="1678"/>
      <c r="U2" s="1678"/>
    </row>
    <row r="3" spans="1:21">
      <c r="A3" s="1645" t="s">
        <v>1937</v>
      </c>
      <c r="B3" s="1646"/>
      <c r="C3" s="1647" t="s">
        <v>1993</v>
      </c>
      <c r="D3" s="1646">
        <v>44012</v>
      </c>
      <c r="E3" s="1678"/>
      <c r="F3" s="1678"/>
      <c r="G3" s="1678"/>
      <c r="H3" s="1644"/>
      <c r="I3" s="1679"/>
      <c r="J3" s="1678"/>
      <c r="K3" s="1758"/>
      <c r="L3" s="1707"/>
      <c r="M3" s="1707"/>
      <c r="N3" s="1678"/>
      <c r="O3" s="1679"/>
      <c r="P3" s="1678"/>
      <c r="Q3" s="1678"/>
      <c r="R3" s="1678"/>
      <c r="S3" s="1678"/>
      <c r="T3" s="1678"/>
      <c r="U3" s="1678"/>
    </row>
    <row r="4" spans="1:21" ht="29.25" thickBot="1">
      <c r="A4" s="1648" t="s">
        <v>1938</v>
      </c>
      <c r="B4" s="1827" t="s">
        <v>2884</v>
      </c>
      <c r="C4" s="1830">
        <f>SUMIF(土地估价师,B4,估价师及机构信息!E3:E24)</f>
        <v>0</v>
      </c>
      <c r="D4" s="1827" t="s">
        <v>2884</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1939</v>
      </c>
      <c r="B5" s="1773"/>
      <c r="C5" s="1650"/>
      <c r="D5" s="1651"/>
      <c r="E5" s="1678"/>
      <c r="F5" s="1678"/>
      <c r="G5" s="1678"/>
      <c r="H5" s="1644"/>
      <c r="I5" s="1679"/>
      <c r="J5" s="1678"/>
      <c r="K5" s="1758"/>
      <c r="L5" s="1707"/>
      <c r="M5" s="1707"/>
      <c r="N5" s="1678"/>
      <c r="O5" s="1679"/>
      <c r="P5" s="1678"/>
      <c r="Q5" s="1678"/>
      <c r="R5" s="1678"/>
      <c r="S5" s="1678"/>
      <c r="T5" s="1678"/>
      <c r="U5" s="1678"/>
    </row>
    <row r="6" spans="1:21" ht="26.25">
      <c r="A6" s="1647" t="s">
        <v>2702</v>
      </c>
      <c r="B6" s="1773"/>
      <c r="C6" s="1745"/>
      <c r="D6" s="1652"/>
      <c r="E6" s="1678"/>
      <c r="F6" s="1678"/>
      <c r="G6" s="1678"/>
      <c r="H6" s="1644"/>
      <c r="I6" s="1679"/>
      <c r="J6" s="1678"/>
      <c r="K6" s="2884" t="str">
        <f>IF(COUNTIF(B6,"*上海银行*"),"上海银行","")</f>
        <v/>
      </c>
      <c r="L6" s="1707"/>
      <c r="M6" s="1707"/>
      <c r="N6" s="1678"/>
      <c r="O6" s="1679"/>
      <c r="P6" s="1678"/>
      <c r="Q6" s="1678"/>
      <c r="R6" s="1678"/>
      <c r="S6" s="1678"/>
      <c r="T6" s="1678"/>
      <c r="U6" s="1678"/>
    </row>
    <row r="7" spans="1:21">
      <c r="A7" s="1653" t="s">
        <v>2703</v>
      </c>
      <c r="B7" s="1773"/>
      <c r="C7" s="1745"/>
      <c r="D7" s="1652"/>
      <c r="E7" s="1678"/>
      <c r="F7" s="1678"/>
      <c r="G7" s="1678"/>
      <c r="H7" s="1644"/>
      <c r="I7" s="1679"/>
      <c r="J7" s="1678"/>
      <c r="K7" s="1758"/>
      <c r="L7" s="1707"/>
      <c r="M7" s="1707"/>
      <c r="N7" s="1678"/>
      <c r="O7" s="1679"/>
      <c r="P7" s="1678"/>
      <c r="Q7" s="1678"/>
      <c r="R7" s="1678"/>
      <c r="S7" s="1678"/>
      <c r="T7" s="1678"/>
      <c r="U7" s="1678"/>
    </row>
    <row r="8" spans="1:21">
      <c r="A8" s="1653" t="s">
        <v>1940</v>
      </c>
      <c r="B8" s="1654" t="s">
        <v>2983</v>
      </c>
      <c r="C8" s="1655"/>
      <c r="D8" s="3275" t="s">
        <v>1942</v>
      </c>
      <c r="E8" s="1828"/>
      <c r="F8" s="1656"/>
      <c r="G8" s="1644"/>
      <c r="H8" s="1644"/>
      <c r="I8" s="1691"/>
      <c r="J8" s="1678"/>
      <c r="K8" s="1758"/>
      <c r="L8" s="1707"/>
      <c r="M8" s="1707"/>
      <c r="N8" s="1678"/>
      <c r="O8" s="1679"/>
      <c r="P8" s="1678"/>
      <c r="Q8" s="1678"/>
      <c r="R8" s="1678"/>
      <c r="S8" s="1678"/>
      <c r="T8" s="1678"/>
      <c r="U8" s="1678"/>
    </row>
    <row r="9" spans="1:21" ht="15" thickBot="1">
      <c r="A9" s="1657" t="s">
        <v>1941</v>
      </c>
      <c r="B9" s="1658" t="s">
        <v>2997</v>
      </c>
      <c r="C9" s="1659"/>
      <c r="D9" s="3276"/>
      <c r="E9" s="1658"/>
      <c r="F9" s="1731"/>
      <c r="G9" s="1726"/>
      <c r="H9" s="1726"/>
      <c r="I9" s="1727"/>
      <c r="J9" s="1678"/>
      <c r="K9" s="1758"/>
      <c r="L9" s="1707"/>
      <c r="M9" s="1707"/>
      <c r="N9" s="1678"/>
      <c r="O9" s="1679"/>
      <c r="P9" s="1678"/>
      <c r="Q9" s="1678"/>
      <c r="R9" s="1678"/>
      <c r="S9" s="1678"/>
      <c r="T9" s="1678"/>
      <c r="U9" s="1678"/>
    </row>
    <row r="10" spans="1:21" ht="15" thickTop="1">
      <c r="A10" s="1728" t="s">
        <v>1997</v>
      </c>
      <c r="B10" s="1703" t="s">
        <v>1943</v>
      </c>
      <c r="C10" s="1660"/>
      <c r="D10" s="1651"/>
      <c r="E10" s="1661" t="s">
        <v>1944</v>
      </c>
      <c r="F10" s="1662"/>
      <c r="G10" s="1729"/>
      <c r="H10" s="1730"/>
      <c r="I10" s="1651"/>
      <c r="J10" s="1678"/>
      <c r="K10" s="1758"/>
      <c r="L10" s="1707"/>
      <c r="M10" s="1707"/>
      <c r="N10" s="1678"/>
      <c r="O10" s="1679"/>
      <c r="P10" s="1678"/>
      <c r="Q10" s="1678"/>
      <c r="R10" s="1678"/>
      <c r="S10" s="1678"/>
      <c r="T10" s="1678"/>
      <c r="U10" s="1678"/>
    </row>
    <row r="11" spans="1:21">
      <c r="A11" s="1681" t="s">
        <v>1998</v>
      </c>
      <c r="B11" s="1682" t="s">
        <v>2998</v>
      </c>
      <c r="C11" s="1663"/>
      <c r="D11" s="1746"/>
      <c r="E11" s="1644"/>
      <c r="F11" s="1644"/>
      <c r="G11" s="1644"/>
      <c r="H11" s="1644"/>
      <c r="I11" s="1644"/>
      <c r="J11" s="1678"/>
      <c r="K11" s="1758"/>
      <c r="L11" s="1707"/>
      <c r="M11" s="1707"/>
      <c r="N11" s="1678"/>
      <c r="O11" s="1679"/>
      <c r="P11" s="1678"/>
      <c r="Q11" s="1678"/>
      <c r="R11" s="1678"/>
      <c r="S11" s="1678"/>
      <c r="T11" s="1678"/>
      <c r="U11" s="1678"/>
    </row>
    <row r="12" spans="1:21">
      <c r="A12" s="1769" t="s">
        <v>2056</v>
      </c>
      <c r="B12" s="3272"/>
      <c r="C12" s="3273"/>
      <c r="D12" s="3274"/>
      <c r="E12" s="1683" t="s">
        <v>2059</v>
      </c>
      <c r="F12" s="3290" t="s">
        <v>2885</v>
      </c>
      <c r="G12" s="3291"/>
      <c r="H12" s="3291"/>
      <c r="I12" s="3292"/>
      <c r="J12" s="1678"/>
      <c r="K12" s="1758"/>
      <c r="L12" s="1707"/>
      <c r="M12" s="1707"/>
      <c r="N12" s="1678"/>
      <c r="O12" s="1679"/>
      <c r="P12" s="1678"/>
      <c r="Q12" s="1678"/>
      <c r="R12" s="1678"/>
      <c r="S12" s="1678"/>
      <c r="T12" s="1678"/>
      <c r="U12" s="1678"/>
    </row>
    <row r="13" spans="1:21">
      <c r="A13" s="1671" t="s">
        <v>2057</v>
      </c>
      <c r="B13" s="3272"/>
      <c r="C13" s="3273"/>
      <c r="D13" s="3274"/>
      <c r="E13" s="1683" t="s">
        <v>2059</v>
      </c>
      <c r="F13" s="3290" t="s">
        <v>2886</v>
      </c>
      <c r="G13" s="3291"/>
      <c r="H13" s="3291"/>
      <c r="I13" s="3292"/>
      <c r="J13" s="1678"/>
      <c r="K13" s="1758"/>
      <c r="L13" s="1707"/>
      <c r="M13" s="1707"/>
      <c r="N13" s="1678"/>
      <c r="O13" s="1679"/>
      <c r="P13" s="1678"/>
      <c r="Q13" s="1678"/>
      <c r="R13" s="1678"/>
      <c r="S13" s="1678"/>
      <c r="T13" s="1678"/>
      <c r="U13" s="1678"/>
    </row>
    <row r="14" spans="1:21">
      <c r="A14" s="1645" t="s">
        <v>2060</v>
      </c>
      <c r="B14" s="1683"/>
      <c r="C14" s="1829"/>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1947</v>
      </c>
      <c r="E15" s="1750" t="s">
        <v>1948</v>
      </c>
      <c r="F15" s="1750" t="s">
        <v>1949</v>
      </c>
      <c r="G15" s="1670" t="s">
        <v>1950</v>
      </c>
      <c r="H15" s="1670" t="s">
        <v>1951</v>
      </c>
      <c r="I15" s="1670" t="s">
        <v>1952</v>
      </c>
      <c r="J15" s="1678"/>
      <c r="K15" s="1758"/>
      <c r="L15" s="1707"/>
      <c r="M15" s="1707"/>
      <c r="N15" s="1678"/>
      <c r="O15" s="1679"/>
      <c r="P15" s="1678"/>
      <c r="Q15" s="1678"/>
      <c r="R15" s="1678"/>
      <c r="S15" s="1678"/>
      <c r="T15" s="1678"/>
      <c r="U15" s="1678"/>
    </row>
    <row r="16" spans="1:21" ht="42.75">
      <c r="A16" s="1664" t="s">
        <v>1945</v>
      </c>
      <c r="B16" s="1665" t="s">
        <v>2983</v>
      </c>
      <c r="C16" s="1683" t="s">
        <v>1946</v>
      </c>
      <c r="D16" s="2610" t="s">
        <v>1947</v>
      </c>
      <c r="E16" s="1706"/>
      <c r="F16" s="1706" t="s">
        <v>1677</v>
      </c>
      <c r="G16" s="1706"/>
      <c r="H16" s="1706"/>
      <c r="I16" s="1670" t="s">
        <v>1952</v>
      </c>
      <c r="J16" s="1678"/>
      <c r="K16" s="2420" t="str">
        <f>IF(D17="","",D16&amp;TEXT(D17,"yyyy年m月d日;;"))</f>
        <v/>
      </c>
      <c r="L16" s="1683" t="str">
        <f>IF(OR(K16="",M16=""),"","、")</f>
        <v/>
      </c>
      <c r="M16" s="2420" t="str">
        <f>IF(E17="","",E16&amp;TEXT(E17,"yyyy年m月d日;;"))</f>
        <v/>
      </c>
      <c r="N16" s="1683" t="str">
        <f>IF(OR(M16="",O16=""),"","、")</f>
        <v/>
      </c>
      <c r="O16" s="2420" t="str">
        <f>IF(F17="","",F16&amp;TEXT(F17,"yyyy年m月d日;;"))</f>
        <v>办公2090年12月12日</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1953</v>
      </c>
      <c r="D17" s="1684"/>
      <c r="E17" s="1684"/>
      <c r="F17" s="1684">
        <v>69744</v>
      </c>
      <c r="G17" s="1684"/>
      <c r="H17" s="1684"/>
      <c r="I17" s="1684"/>
      <c r="J17" s="1678"/>
      <c r="K17" s="2419" t="str">
        <f>CONCATENATE(K16,L16,M16,N16,O16,P16,Q16,R16,S16,T16,,U16)</f>
        <v>办公2090年12月12日</v>
      </c>
      <c r="L17" s="1707"/>
      <c r="M17" s="1707"/>
      <c r="N17" s="1678"/>
      <c r="O17" s="1679"/>
      <c r="P17" s="1678"/>
      <c r="Q17" s="1678"/>
      <c r="R17" s="1678"/>
      <c r="S17" s="1678"/>
      <c r="T17" s="1678"/>
      <c r="U17" s="1678"/>
    </row>
    <row r="18" spans="1:21">
      <c r="A18" s="1747"/>
      <c r="B18" s="1666"/>
      <c r="C18" s="1667" t="s">
        <v>1954</v>
      </c>
      <c r="D18" s="1668"/>
      <c r="E18" s="1668"/>
      <c r="F18" s="1668">
        <v>50</v>
      </c>
      <c r="G18" s="1668"/>
      <c r="H18" s="1668"/>
      <c r="I18" s="1668"/>
      <c r="J18" s="1678"/>
      <c r="K18" s="1758"/>
      <c r="L18" s="1707"/>
      <c r="M18" s="1707"/>
      <c r="N18" s="1678"/>
      <c r="O18" s="1679"/>
      <c r="P18" s="1678"/>
      <c r="Q18" s="1678"/>
      <c r="R18" s="1678"/>
      <c r="S18" s="1678"/>
      <c r="T18" s="1678"/>
      <c r="U18" s="1678"/>
    </row>
    <row r="19" spans="1:21">
      <c r="A19" s="1747"/>
      <c r="B19" s="1666"/>
      <c r="C19" s="1644" t="s">
        <v>1955</v>
      </c>
      <c r="D19" s="1742" t="str">
        <f>IF(B16="出让",IF(D17="","",ROUNDDOWN(MIN((D17-$D$3)/365,D18),2)),D18)</f>
        <v/>
      </c>
      <c r="E19" s="1669" t="str">
        <f>IF(B16="出让",IF(E17="","",ROUNDDOWN(MIN((E17-$D$3)/365,E18),2)),E18)</f>
        <v/>
      </c>
      <c r="F19" s="1669">
        <f>IF(B16="出让",IF(F17="","",ROUNDDOWN(MIN((F17-$D$3)/365,F18),2)),F18)</f>
        <v>50</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2058</v>
      </c>
      <c r="D20" s="3287"/>
      <c r="E20" s="3288"/>
      <c r="F20" s="3288"/>
      <c r="G20" s="3288"/>
      <c r="H20" s="3288"/>
      <c r="I20" s="3289"/>
      <c r="J20" s="1678"/>
      <c r="K20" s="1758"/>
      <c r="L20" s="1707"/>
      <c r="M20" s="1707"/>
      <c r="N20" s="1678"/>
      <c r="O20" s="1679"/>
      <c r="P20" s="1678"/>
      <c r="Q20" s="1678"/>
      <c r="R20" s="1678"/>
      <c r="S20" s="1678"/>
      <c r="T20" s="1678"/>
      <c r="U20" s="1678"/>
    </row>
    <row r="21" spans="1:21">
      <c r="A21" s="1747" t="s">
        <v>1956</v>
      </c>
      <c r="B21" s="1748" t="s">
        <v>1957</v>
      </c>
      <c r="C21" s="1743">
        <f>'数据-汇总表'!E3</f>
        <v>17100</v>
      </c>
      <c r="D21" s="1744" t="s">
        <v>1958</v>
      </c>
      <c r="E21" s="3277" t="s">
        <v>1996</v>
      </c>
      <c r="F21" s="3278"/>
      <c r="G21" s="3278"/>
      <c r="H21" s="3278"/>
      <c r="I21" s="3279"/>
      <c r="J21" s="1678"/>
      <c r="K21" s="1758"/>
      <c r="L21" s="1707"/>
      <c r="M21" s="1707"/>
      <c r="N21" s="1678"/>
      <c r="O21" s="1679"/>
      <c r="P21" s="1678"/>
      <c r="Q21" s="1678"/>
      <c r="R21" s="1678"/>
      <c r="S21" s="1678"/>
      <c r="T21" s="1678"/>
      <c r="U21" s="1678"/>
    </row>
    <row r="22" spans="1:21">
      <c r="A22" s="2952" t="s">
        <v>952</v>
      </c>
      <c r="B22" s="1645" t="s">
        <v>1959</v>
      </c>
      <c r="C22" s="1670">
        <f>'数据-汇总表'!D3</f>
        <v>5500</v>
      </c>
      <c r="D22" s="1671" t="s">
        <v>1958</v>
      </c>
      <c r="E22" s="3277" t="s">
        <v>2887</v>
      </c>
      <c r="F22" s="3278"/>
      <c r="G22" s="3278"/>
      <c r="H22" s="3278"/>
      <c r="I22" s="3279"/>
      <c r="J22" s="1678"/>
      <c r="K22" s="1758"/>
      <c r="L22" s="1707"/>
      <c r="M22" s="1707"/>
      <c r="N22" s="1678"/>
      <c r="O22" s="1679"/>
      <c r="P22" s="1678"/>
      <c r="Q22" s="1678"/>
      <c r="R22" s="1678"/>
      <c r="S22" s="1678"/>
      <c r="T22" s="1678"/>
      <c r="U22" s="1678"/>
    </row>
    <row r="23" spans="1:21" ht="43.5" thickBot="1">
      <c r="A23" s="1749" t="s">
        <v>1960</v>
      </c>
      <c r="B23" s="1685" t="s">
        <v>1961</v>
      </c>
      <c r="C23" s="1686"/>
      <c r="D23" s="1687" t="s">
        <v>1962</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1963</v>
      </c>
      <c r="B24" s="3280" t="s">
        <v>1964</v>
      </c>
      <c r="C24" s="3281"/>
      <c r="D24" s="3282" t="s">
        <v>1965</v>
      </c>
      <c r="E24" s="3283"/>
      <c r="F24" s="1692" t="s">
        <v>1966</v>
      </c>
      <c r="G24" s="1678"/>
      <c r="H24" s="1678"/>
      <c r="I24" s="1691"/>
      <c r="J24" s="1678"/>
      <c r="K24" s="3268" t="s">
        <v>1967</v>
      </c>
      <c r="L24" s="242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7"/>
      <c r="N24" s="1678"/>
      <c r="O24" s="1679"/>
      <c r="P24" s="1678"/>
      <c r="Q24" s="1678"/>
      <c r="R24" s="1678"/>
      <c r="S24" s="1678"/>
      <c r="T24" s="1678"/>
      <c r="U24" s="1678"/>
    </row>
    <row r="25" spans="1:21" ht="28.5">
      <c r="A25" s="1735"/>
      <c r="B25" s="1732" t="s">
        <v>2322</v>
      </c>
      <c r="C25" s="1693" t="s">
        <v>1968</v>
      </c>
      <c r="D25" s="1694"/>
      <c r="E25" s="1695" t="s">
        <v>952</v>
      </c>
      <c r="F25" s="1696"/>
      <c r="G25" s="1678"/>
      <c r="H25" s="1678"/>
      <c r="I25" s="1691"/>
      <c r="J25" s="1678"/>
      <c r="K25" s="3268"/>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7"/>
      <c r="N25" s="1678"/>
      <c r="O25" s="1679"/>
      <c r="P25" s="1678"/>
      <c r="Q25" s="1678"/>
      <c r="R25" s="1678"/>
      <c r="S25" s="1678"/>
      <c r="T25" s="1678"/>
      <c r="U25" s="1678"/>
    </row>
    <row r="26" spans="1:21" ht="29.25" thickBot="1">
      <c r="A26" s="1736"/>
      <c r="B26" s="1733" t="s">
        <v>1969</v>
      </c>
      <c r="C26" s="1693" t="s">
        <v>2323</v>
      </c>
      <c r="D26" s="1644"/>
      <c r="E26" s="1644"/>
      <c r="F26" s="1672"/>
      <c r="G26" s="1678"/>
      <c r="H26" s="1678"/>
      <c r="I26" s="1691"/>
      <c r="J26" s="1678"/>
      <c r="K26" s="3268"/>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1970</v>
      </c>
      <c r="B27" s="1737" t="s">
        <v>1971</v>
      </c>
      <c r="C27" s="1697"/>
      <c r="D27" s="2615" t="s">
        <v>1971</v>
      </c>
      <c r="E27" s="1698"/>
      <c r="F27" s="1672"/>
      <c r="G27" s="1678"/>
      <c r="H27" s="1678"/>
      <c r="I27" s="1691"/>
      <c r="J27" s="1678"/>
      <c r="K27" s="1758"/>
      <c r="L27" s="1707"/>
      <c r="M27" s="1707"/>
      <c r="N27" s="1678"/>
      <c r="O27" s="1679"/>
      <c r="P27" s="1678"/>
      <c r="Q27" s="1678"/>
      <c r="R27" s="1678"/>
      <c r="S27" s="1678"/>
      <c r="T27" s="1678"/>
      <c r="U27" s="1678"/>
    </row>
    <row r="28" spans="1:21">
      <c r="A28" s="1740"/>
      <c r="B28" s="1737" t="s">
        <v>1972</v>
      </c>
      <c r="C28" s="1699"/>
      <c r="D28" s="2616" t="s">
        <v>1972</v>
      </c>
      <c r="E28" s="1700"/>
      <c r="F28" s="1672"/>
      <c r="G28" s="1678"/>
      <c r="H28" s="1678"/>
      <c r="I28" s="1691"/>
      <c r="J28" s="1678"/>
      <c r="K28" s="1758"/>
      <c r="L28" s="1707"/>
      <c r="M28" s="1707"/>
      <c r="N28" s="1678"/>
      <c r="O28" s="1679"/>
      <c r="P28" s="1678"/>
      <c r="Q28" s="1678"/>
      <c r="R28" s="1678"/>
      <c r="S28" s="1678"/>
      <c r="T28" s="1678"/>
      <c r="U28" s="1678"/>
    </row>
    <row r="29" spans="1:21">
      <c r="A29" s="1740"/>
      <c r="B29" s="1737" t="s">
        <v>1973</v>
      </c>
      <c r="C29" s="1699"/>
      <c r="D29" s="2616" t="s">
        <v>1973</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1974</v>
      </c>
      <c r="C30" s="1701"/>
      <c r="D30" s="2617" t="s">
        <v>1974</v>
      </c>
      <c r="E30" s="1702"/>
      <c r="F30" s="1673"/>
      <c r="G30" s="1726"/>
      <c r="H30" s="1726"/>
      <c r="I30" s="1727"/>
      <c r="J30" s="1678"/>
      <c r="K30" s="1758"/>
      <c r="L30" s="1707"/>
      <c r="M30" s="1707"/>
      <c r="N30" s="1678"/>
      <c r="O30" s="1679"/>
      <c r="P30" s="1678"/>
      <c r="Q30" s="1678"/>
      <c r="R30" s="1678"/>
      <c r="S30" s="1678"/>
      <c r="T30" s="1678"/>
      <c r="U30" s="1678"/>
    </row>
    <row r="31" spans="1:21" ht="15" thickTop="1">
      <c r="A31" s="3254" t="s">
        <v>1999</v>
      </c>
      <c r="B31" s="1748" t="s">
        <v>2000</v>
      </c>
      <c r="C31" s="3293"/>
      <c r="D31" s="3294"/>
      <c r="E31" s="1678"/>
      <c r="F31" s="1678"/>
      <c r="G31" s="1678"/>
      <c r="H31" s="1678"/>
      <c r="I31" s="1691"/>
      <c r="J31" s="1678"/>
      <c r="K31" s="2422"/>
      <c r="L31" s="1678"/>
      <c r="M31" s="1678"/>
      <c r="N31" s="1678"/>
      <c r="O31" s="1678"/>
      <c r="P31" s="1678"/>
      <c r="Q31" s="1678"/>
      <c r="R31" s="1678"/>
      <c r="S31" s="1678"/>
      <c r="T31" s="1678"/>
      <c r="U31" s="1678"/>
    </row>
    <row r="32" spans="1:21">
      <c r="A32" s="3254"/>
      <c r="B32" s="1645" t="s">
        <v>2001</v>
      </c>
      <c r="C32" s="1703"/>
      <c r="D32" s="1704"/>
      <c r="E32" s="1678"/>
      <c r="F32" s="1678"/>
      <c r="G32" s="1678"/>
      <c r="H32" s="1678"/>
      <c r="I32" s="1691"/>
      <c r="J32" s="1678"/>
      <c r="K32" s="2422"/>
      <c r="L32" s="1678"/>
      <c r="M32" s="1678"/>
      <c r="N32" s="1678"/>
      <c r="O32" s="1678"/>
      <c r="P32" s="1678"/>
      <c r="Q32" s="1678"/>
      <c r="R32" s="1678"/>
      <c r="S32" s="1678"/>
      <c r="T32" s="1678"/>
      <c r="U32" s="1678"/>
    </row>
    <row r="33" spans="1:21">
      <c r="A33" s="3254"/>
      <c r="B33" s="1645" t="s">
        <v>2002</v>
      </c>
      <c r="C33" s="1705"/>
      <c r="D33" s="1822"/>
      <c r="E33" s="1678"/>
      <c r="F33" s="1678"/>
      <c r="G33" s="1678"/>
      <c r="H33" s="1678"/>
      <c r="I33" s="1691"/>
      <c r="J33" s="1678"/>
      <c r="K33" s="2422"/>
      <c r="L33" s="1678"/>
      <c r="M33" s="1678"/>
      <c r="N33" s="1678"/>
      <c r="O33" s="1678"/>
      <c r="P33" s="1678"/>
      <c r="Q33" s="1678"/>
      <c r="R33" s="1678"/>
      <c r="S33" s="1678"/>
      <c r="T33" s="1678"/>
      <c r="U33" s="1678"/>
    </row>
    <row r="34" spans="1:21">
      <c r="A34" s="3255"/>
      <c r="B34" s="1645" t="s">
        <v>2003</v>
      </c>
      <c r="C34" s="3256"/>
      <c r="D34" s="3257"/>
      <c r="E34" s="1678"/>
      <c r="F34" s="1678"/>
      <c r="G34" s="1678"/>
      <c r="H34" s="1678"/>
      <c r="I34" s="1691"/>
      <c r="J34" s="1678"/>
      <c r="K34" s="2422"/>
      <c r="L34" s="1678"/>
      <c r="M34" s="1678"/>
      <c r="N34" s="1678"/>
      <c r="O34" s="1678"/>
      <c r="P34" s="1678"/>
      <c r="Q34" s="1678"/>
      <c r="R34" s="1678"/>
      <c r="S34" s="1678"/>
      <c r="T34" s="1678"/>
      <c r="U34" s="1678"/>
    </row>
    <row r="35" spans="1:21">
      <c r="A35" s="3258" t="s">
        <v>847</v>
      </c>
      <c r="B35" s="1706"/>
      <c r="C35" s="1760" t="str">
        <f>IF(B35="场地平整","——","具体情况：")</f>
        <v>具体情况：</v>
      </c>
      <c r="D35" s="3260"/>
      <c r="E35" s="3261"/>
      <c r="F35" s="3261"/>
      <c r="G35" s="3261"/>
      <c r="H35" s="3261"/>
      <c r="I35" s="3262"/>
      <c r="J35" s="1678"/>
      <c r="K35" s="1759"/>
      <c r="L35" s="1707"/>
      <c r="M35" s="1707"/>
      <c r="N35" s="1678"/>
      <c r="O35" s="1679"/>
      <c r="P35" s="1678"/>
      <c r="Q35" s="1678"/>
      <c r="R35" s="1678"/>
      <c r="S35" s="1678"/>
      <c r="T35" s="1678"/>
      <c r="U35" s="1678"/>
    </row>
    <row r="36" spans="1:21">
      <c r="A36" s="3254"/>
      <c r="B36" s="3263" t="s">
        <v>2052</v>
      </c>
      <c r="C36" s="3264"/>
      <c r="D36" s="1776"/>
      <c r="E36" s="3265"/>
      <c r="F36" s="3265"/>
      <c r="G36" s="1671" t="str">
        <f>IF(B35="场地未平整","估价结果处理","")</f>
        <v/>
      </c>
      <c r="H36" s="3266"/>
      <c r="I36" s="3266"/>
      <c r="J36" s="1678"/>
      <c r="K36" s="1759"/>
      <c r="L36" s="1707"/>
      <c r="M36" s="1707"/>
      <c r="N36" s="1678"/>
      <c r="O36" s="1679"/>
      <c r="P36" s="1678"/>
      <c r="Q36" s="1678"/>
      <c r="R36" s="1678"/>
      <c r="S36" s="1678"/>
      <c r="T36" s="1678"/>
      <c r="U36" s="1678"/>
    </row>
    <row r="37" spans="1:21" ht="28.5">
      <c r="A37" s="3254"/>
      <c r="B37" s="3284"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54"/>
      <c r="B38" s="3285"/>
      <c r="C38" s="1653" t="s">
        <v>850</v>
      </c>
      <c r="D38" s="1775">
        <f>ROUNDDOWN(MIN(('数据-取费表'!$B$2-D37)/365,D34),1)</f>
        <v>120.5</v>
      </c>
      <c r="E38" s="1711" t="s">
        <v>851</v>
      </c>
      <c r="F38" s="1678"/>
      <c r="G38" s="1678"/>
      <c r="H38" s="1678"/>
      <c r="I38" s="1691"/>
      <c r="J38" s="1678"/>
      <c r="K38" s="1759"/>
      <c r="L38" s="1678"/>
      <c r="M38" s="1678"/>
      <c r="N38" s="1678"/>
      <c r="O38" s="1678"/>
      <c r="P38" s="1678"/>
      <c r="Q38" s="1678"/>
      <c r="R38" s="1678"/>
      <c r="S38" s="1678"/>
      <c r="T38" s="1678"/>
      <c r="U38" s="1678"/>
    </row>
    <row r="39" spans="1:21">
      <c r="A39" s="3255"/>
      <c r="B39" s="3286"/>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1975</v>
      </c>
      <c r="B40" s="1674"/>
      <c r="C40" s="1674"/>
      <c r="D40" s="1674"/>
      <c r="E40" s="1674"/>
      <c r="F40" s="1674"/>
      <c r="G40" s="1674"/>
      <c r="H40" s="1674"/>
      <c r="I40" s="1691"/>
      <c r="J40" s="1678"/>
      <c r="K40" s="1714">
        <f>COUNTIF(B40:H40,"——")</f>
        <v>0</v>
      </c>
      <c r="L40" s="1683" t="s">
        <v>1976</v>
      </c>
      <c r="M40" s="1680" t="s">
        <v>1977</v>
      </c>
      <c r="N40" s="1680" t="s">
        <v>1978</v>
      </c>
      <c r="O40" s="1680" t="s">
        <v>1979</v>
      </c>
      <c r="P40" s="1680" t="s">
        <v>1980</v>
      </c>
      <c r="Q40" s="1680" t="s">
        <v>1981</v>
      </c>
      <c r="R40" s="1680" t="s">
        <v>1982</v>
      </c>
      <c r="S40" s="3267" t="s">
        <v>1983</v>
      </c>
      <c r="T40" s="1715" t="str">
        <f>NUMBERSTRING(7-K40,1)&amp;"通"</f>
        <v>七通</v>
      </c>
      <c r="U40" s="1678"/>
    </row>
    <row r="41" spans="1:21">
      <c r="A41" s="1647"/>
      <c r="B41" s="3259" t="s">
        <v>1721</v>
      </c>
      <c r="C41" s="3259"/>
      <c r="D41" s="3259"/>
      <c r="E41" s="3259"/>
      <c r="F41" s="1716">
        <f>C10</f>
        <v>0</v>
      </c>
      <c r="G41" s="1678"/>
      <c r="H41" s="1678"/>
      <c r="I41" s="1691"/>
      <c r="J41" s="1678"/>
      <c r="K41" s="1683"/>
      <c r="L41" s="1680">
        <f>B40</f>
        <v>0</v>
      </c>
      <c r="M41" s="1717" t="str">
        <f>B40&amp;"、"&amp;C40</f>
        <v>、</v>
      </c>
      <c r="N41" s="1718" t="str">
        <f>B40&amp;"、"&amp;C40&amp;"、"&amp;D40</f>
        <v>、、</v>
      </c>
      <c r="O41" s="1718" t="str">
        <f>B40&amp;"、"&amp;C40&amp;"、"&amp;D40&amp;"、"&amp;E40</f>
        <v>、、、</v>
      </c>
      <c r="P41" s="1718" t="str">
        <f>B40&amp;"、"&amp;C40&amp;"、"&amp;D40&amp;"、"&amp;E40&amp;"、"&amp;F40</f>
        <v>、、、、</v>
      </c>
      <c r="Q41" s="1718" t="str">
        <f>B40&amp;"、"&amp;C40&amp;"、"&amp;D40&amp;"、"&amp;E40&amp;"、"&amp;F40&amp;"、"&amp;G40</f>
        <v>、、、、、</v>
      </c>
      <c r="R41" s="1718" t="str">
        <f>B40&amp;"、"&amp;C40&amp;"、"&amp;D40&amp;"、"&amp;E40&amp;"、"&amp;F40&amp;"、"&amp;G40&amp;"、"&amp;H40</f>
        <v>、、、、、、</v>
      </c>
      <c r="S41" s="3267"/>
      <c r="T41" s="1717" t="str">
        <f>IF(T40="一通",L41,IF(T40="二通",M41,IF(T40="三通",N41,IF(T40="四通",O41,IF(T40="五通",P41,IF(T40="六通",Q41,R41))))))</f>
        <v>、、、、、、</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t="s">
        <v>1413</v>
      </c>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t="s">
        <v>2999</v>
      </c>
      <c r="D44" s="1722"/>
      <c r="E44" s="1776"/>
      <c r="F44" s="1723"/>
      <c r="G44" s="1678"/>
      <c r="H44" s="1678"/>
      <c r="I44" s="1691"/>
      <c r="J44" s="1678"/>
      <c r="K44" s="1758"/>
      <c r="L44" s="1707"/>
      <c r="M44" s="1707"/>
      <c r="N44" s="1678"/>
      <c r="O44" s="1679"/>
      <c r="P44" s="1678"/>
      <c r="Q44" s="1678"/>
      <c r="R44" s="1678"/>
      <c r="S44" s="1678"/>
      <c r="T44" s="1678"/>
      <c r="U44" s="1678"/>
    </row>
    <row r="45" spans="1:21" s="2901" customFormat="1" ht="21" thickBot="1">
      <c r="A45" s="2902" t="s">
        <v>2888</v>
      </c>
      <c r="B45" s="2897"/>
      <c r="C45" s="2897"/>
      <c r="D45" s="2897"/>
      <c r="E45" s="2897"/>
      <c r="F45" s="2897"/>
      <c r="G45" s="2897"/>
      <c r="H45" s="2897"/>
      <c r="I45" s="2898"/>
      <c r="J45" s="2897"/>
      <c r="K45" s="2899"/>
      <c r="L45" s="2900"/>
      <c r="M45" s="2900"/>
      <c r="N45" s="2897"/>
      <c r="O45" s="2898"/>
      <c r="P45" s="2897"/>
      <c r="Q45" s="2897"/>
      <c r="R45" s="2897"/>
      <c r="S45" s="2897"/>
      <c r="T45" s="2897"/>
      <c r="U45" s="2897"/>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2004</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2005</v>
      </c>
      <c r="B48" s="1670" t="s">
        <v>2006</v>
      </c>
      <c r="C48" s="1670" t="s">
        <v>2007</v>
      </c>
      <c r="D48" s="1670" t="s">
        <v>2008</v>
      </c>
      <c r="E48" s="1670" t="s">
        <v>2009</v>
      </c>
      <c r="F48" s="1670" t="s">
        <v>2010</v>
      </c>
      <c r="G48" s="1670" t="s">
        <v>2011</v>
      </c>
      <c r="H48" s="1670" t="s">
        <v>2012</v>
      </c>
      <c r="I48" s="1670" t="s">
        <v>2013</v>
      </c>
      <c r="J48" s="1756" t="s">
        <v>2014</v>
      </c>
      <c r="K48" s="1750" t="s">
        <v>2015</v>
      </c>
      <c r="L48" s="1750" t="s">
        <v>2016</v>
      </c>
      <c r="M48" s="1750" t="s">
        <v>2017</v>
      </c>
      <c r="N48" s="1670" t="s">
        <v>2018</v>
      </c>
      <c r="O48" s="1670" t="s">
        <v>2019</v>
      </c>
      <c r="P48" s="1670" t="s">
        <v>2020</v>
      </c>
      <c r="Q48" s="1683" t="s">
        <v>2021</v>
      </c>
      <c r="R48" s="1683" t="s">
        <v>2022</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F17" sqref="F17"/>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2330</v>
      </c>
      <c r="BA2" s="2325" t="s">
        <v>2329</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5500</v>
      </c>
      <c r="B3" s="22">
        <f>IF(C3="否",G5-AT5,G5)</f>
        <v>17100</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17100</v>
      </c>
      <c r="H5" s="27">
        <f t="shared" ref="H5:AT5" si="0">SUM(H13:H641)</f>
        <v>17100</v>
      </c>
      <c r="I5" s="27">
        <f t="shared" si="0"/>
        <v>17100</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17100</v>
      </c>
      <c r="BA5" s="29">
        <f t="shared" si="1"/>
        <v>17100</v>
      </c>
      <c r="BB5" s="29">
        <f t="shared" si="1"/>
        <v>17100</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5500</v>
      </c>
      <c r="F6" s="27" t="s">
        <v>1</v>
      </c>
      <c r="G6" s="27" t="s">
        <v>2</v>
      </c>
      <c r="H6" s="33">
        <f>SUMIF(I$12:AB$12,"总值",I6:AB6)</f>
        <v>5500</v>
      </c>
      <c r="I6" s="27">
        <f t="shared" ref="I6:AB6" si="2">ROUND($A$3*I5/$B$3,2)</f>
        <v>5500</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5500</v>
      </c>
      <c r="AZ6" s="27" t="s">
        <v>3</v>
      </c>
      <c r="BA6" s="27">
        <f>ROUND($AY$6*BA5/$AZ$5,2)</f>
        <v>5500</v>
      </c>
      <c r="BB6" s="27">
        <f>ROUND($AY$6*BB5/$AZ$5,2)</f>
        <v>5500</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854" t="s">
        <v>3000</v>
      </c>
      <c r="J9" s="51"/>
      <c r="K9" s="2854"/>
      <c r="L9" s="51"/>
      <c r="M9" s="2854"/>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854" t="s">
        <v>1677</v>
      </c>
      <c r="J10" s="51"/>
      <c r="K10" s="2856"/>
      <c r="L10" s="51"/>
      <c r="M10" s="2856"/>
      <c r="N10" s="51"/>
      <c r="O10" s="66"/>
      <c r="P10" s="51"/>
      <c r="Q10" s="66"/>
      <c r="R10" s="51"/>
      <c r="S10" s="66"/>
      <c r="T10" s="51"/>
      <c r="U10" s="66"/>
      <c r="V10" s="51"/>
      <c r="W10" s="66"/>
      <c r="X10" s="51"/>
      <c r="Y10" s="66"/>
      <c r="Z10" s="51"/>
      <c r="AA10" s="66"/>
      <c r="AB10" s="51"/>
      <c r="AC10" s="55"/>
      <c r="AD10" s="2299" t="s">
        <v>2314</v>
      </c>
      <c r="AE10" s="2321"/>
      <c r="AF10" s="2299" t="s">
        <v>2314</v>
      </c>
      <c r="AG10" s="2321"/>
      <c r="AH10" s="2299" t="s">
        <v>2315</v>
      </c>
      <c r="AI10" s="2321"/>
      <c r="AJ10" s="26" t="s">
        <v>2328</v>
      </c>
      <c r="AK10" s="2318"/>
      <c r="AL10" s="2299" t="s">
        <v>2316</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855" t="s">
        <v>3002</v>
      </c>
      <c r="J11" s="71"/>
      <c r="K11" s="2855"/>
      <c r="L11" s="71"/>
      <c r="M11" s="70"/>
      <c r="N11" s="71"/>
      <c r="O11" s="70"/>
      <c r="P11" s="71"/>
      <c r="Q11" s="70"/>
      <c r="R11" s="71"/>
      <c r="S11" s="70"/>
      <c r="T11" s="71"/>
      <c r="U11" s="70"/>
      <c r="V11" s="71"/>
      <c r="W11" s="70"/>
      <c r="X11" s="71"/>
      <c r="Y11" s="70"/>
      <c r="Z11" s="71"/>
      <c r="AA11" s="70"/>
      <c r="AB11" s="71"/>
      <c r="AC11" s="55"/>
      <c r="AD11" s="2319" t="s">
        <v>2327</v>
      </c>
      <c r="AE11" s="1002"/>
      <c r="AF11" s="2319" t="s">
        <v>2327</v>
      </c>
      <c r="AG11" s="1002"/>
      <c r="AH11" s="2319" t="s">
        <v>2326</v>
      </c>
      <c r="AI11" s="2320"/>
      <c r="AJ11" s="2319" t="s">
        <v>2326</v>
      </c>
      <c r="AK11" s="2318"/>
      <c r="AL11" s="1000"/>
      <c r="AM11" s="1002"/>
      <c r="AN11" s="1000"/>
      <c r="AO11" s="1002"/>
      <c r="AP11" s="1184"/>
      <c r="AQ11" s="1186"/>
      <c r="AR11" s="1184"/>
      <c r="AS11" s="1186"/>
      <c r="AT11" s="1003"/>
      <c r="AU11" s="45"/>
      <c r="AV11" s="55"/>
      <c r="AW11" s="1003"/>
      <c r="AX11" s="55"/>
      <c r="AY11" s="62"/>
      <c r="AZ11" s="62"/>
      <c r="BA11" s="62"/>
      <c r="BB11" s="50" t="str">
        <f>I10</f>
        <v>办公</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t="str">
        <f>I11</f>
        <v>办公楼</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849"/>
      <c r="B13" s="2849"/>
      <c r="C13" s="2849"/>
      <c r="D13" s="2850" t="s">
        <v>1678</v>
      </c>
      <c r="E13" s="27">
        <f t="shared" ref="E13:E20" si="6">IF($C$3="是",ROUND($A$3*G13/$B$3,2),ROUND($A$3*(G13-AT13)/$B$3,2))</f>
        <v>5500</v>
      </c>
      <c r="F13" s="81"/>
      <c r="G13" s="82">
        <f t="shared" ref="G13:G20" si="7">H13+AC13+AT13</f>
        <v>17100</v>
      </c>
      <c r="H13" s="33">
        <f t="shared" ref="H13:H20" si="8">SUMIF(I$12:AB$12,"总值",I13:AB13)</f>
        <v>17100</v>
      </c>
      <c r="I13" s="2853">
        <v>17100</v>
      </c>
      <c r="J13" s="2853"/>
      <c r="K13" s="2853"/>
      <c r="L13" s="2853"/>
      <c r="M13" s="2853"/>
      <c r="N13" s="83"/>
      <c r="O13" s="83"/>
      <c r="P13" s="83"/>
      <c r="Q13" s="83"/>
      <c r="R13" s="83"/>
      <c r="S13" s="83"/>
      <c r="T13" s="83"/>
      <c r="U13" s="83"/>
      <c r="V13" s="83"/>
      <c r="W13" s="83"/>
      <c r="X13" s="83"/>
      <c r="Y13" s="83"/>
      <c r="Z13" s="83"/>
      <c r="AA13" s="83"/>
      <c r="AB13" s="83"/>
      <c r="AC13" s="27">
        <f t="shared" ref="AC13:AC20" si="9">SUMIF(AD$12:AS$12,"总值",AD13:AS13)</f>
        <v>0</v>
      </c>
      <c r="AD13" s="2857"/>
      <c r="AE13" s="2857"/>
      <c r="AF13" s="2857"/>
      <c r="AG13" s="2857"/>
      <c r="AH13" s="2857"/>
      <c r="AI13" s="2857"/>
      <c r="AJ13" s="2857"/>
      <c r="AK13" s="2857"/>
      <c r="AL13" s="2857"/>
      <c r="AM13" s="2857"/>
      <c r="AN13" s="2857"/>
      <c r="AO13" s="2857"/>
      <c r="AP13" s="2857"/>
      <c r="AQ13" s="2857"/>
      <c r="AR13" s="2857"/>
      <c r="AS13" s="2857"/>
      <c r="AT13" s="2858"/>
      <c r="AU13" s="2859"/>
      <c r="AV13" s="17">
        <f t="shared" ref="AV13:AX20" si="10">A13</f>
        <v>0</v>
      </c>
      <c r="AW13" s="17">
        <f t="shared" si="10"/>
        <v>0</v>
      </c>
      <c r="AX13" s="17">
        <f t="shared" si="10"/>
        <v>0</v>
      </c>
      <c r="AY13" s="996">
        <f t="shared" ref="AY13:AY20" si="11">ROUND($AY$6*AZ13/$AZ$5,2)</f>
        <v>5500</v>
      </c>
      <c r="AZ13" s="27">
        <f t="shared" ref="AZ13:AZ20" si="12">BA13+BL13</f>
        <v>17100</v>
      </c>
      <c r="BA13" s="27">
        <f t="shared" ref="BA13:BA20" si="13">SUM(BB13:BK13)</f>
        <v>17100</v>
      </c>
      <c r="BB13" s="27">
        <f t="shared" ref="BB13:BB20" si="14">IF($D13="是",I13-J13,0)</f>
        <v>17100</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849"/>
      <c r="B14" s="2849"/>
      <c r="C14" s="2851"/>
      <c r="D14" s="2850"/>
      <c r="E14" s="27">
        <f t="shared" si="6"/>
        <v>0</v>
      </c>
      <c r="F14" s="81"/>
      <c r="G14" s="82">
        <f t="shared" si="7"/>
        <v>0</v>
      </c>
      <c r="H14" s="33">
        <f t="shared" si="8"/>
        <v>0</v>
      </c>
      <c r="I14" s="2853"/>
      <c r="J14" s="2853"/>
      <c r="K14" s="2853"/>
      <c r="L14" s="2853"/>
      <c r="M14" s="2853"/>
      <c r="N14" s="83"/>
      <c r="O14" s="83"/>
      <c r="P14" s="83"/>
      <c r="Q14" s="83"/>
      <c r="R14" s="83"/>
      <c r="S14" s="83"/>
      <c r="T14" s="83"/>
      <c r="U14" s="83"/>
      <c r="V14" s="83"/>
      <c r="W14" s="83"/>
      <c r="X14" s="83"/>
      <c r="Y14" s="83"/>
      <c r="Z14" s="83"/>
      <c r="AA14" s="83"/>
      <c r="AB14" s="83"/>
      <c r="AC14" s="27">
        <f t="shared" si="9"/>
        <v>0</v>
      </c>
      <c r="AD14" s="2857"/>
      <c r="AE14" s="2857"/>
      <c r="AF14" s="2857"/>
      <c r="AG14" s="2857"/>
      <c r="AH14" s="2857"/>
      <c r="AI14" s="2857"/>
      <c r="AJ14" s="2857"/>
      <c r="AK14" s="2857"/>
      <c r="AL14" s="2857"/>
      <c r="AM14" s="2857"/>
      <c r="AN14" s="2857"/>
      <c r="AO14" s="2857"/>
      <c r="AP14" s="2857"/>
      <c r="AQ14" s="2857"/>
      <c r="AR14" s="2857"/>
      <c r="AS14" s="2857"/>
      <c r="AT14" s="2858"/>
      <c r="AU14" s="2859"/>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849"/>
      <c r="B15" s="2849"/>
      <c r="C15" s="2851"/>
      <c r="D15" s="2850"/>
      <c r="E15" s="27">
        <f t="shared" si="6"/>
        <v>0</v>
      </c>
      <c r="F15" s="81"/>
      <c r="G15" s="82">
        <f t="shared" si="7"/>
        <v>0</v>
      </c>
      <c r="H15" s="33">
        <f t="shared" si="8"/>
        <v>0</v>
      </c>
      <c r="I15" s="2853"/>
      <c r="J15" s="2853"/>
      <c r="K15" s="2853"/>
      <c r="L15" s="2853"/>
      <c r="M15" s="2853"/>
      <c r="N15" s="83"/>
      <c r="O15" s="83"/>
      <c r="P15" s="83"/>
      <c r="Q15" s="83"/>
      <c r="R15" s="83"/>
      <c r="S15" s="83"/>
      <c r="T15" s="83"/>
      <c r="U15" s="83"/>
      <c r="V15" s="83"/>
      <c r="W15" s="83"/>
      <c r="X15" s="83"/>
      <c r="Y15" s="83"/>
      <c r="Z15" s="83"/>
      <c r="AA15" s="83"/>
      <c r="AB15" s="83"/>
      <c r="AC15" s="27">
        <f t="shared" si="9"/>
        <v>0</v>
      </c>
      <c r="AD15" s="2857"/>
      <c r="AE15" s="2857"/>
      <c r="AF15" s="2857"/>
      <c r="AG15" s="2857"/>
      <c r="AH15" s="2857"/>
      <c r="AI15" s="2857"/>
      <c r="AJ15" s="2857"/>
      <c r="AK15" s="2857"/>
      <c r="AL15" s="2857"/>
      <c r="AM15" s="2857"/>
      <c r="AN15" s="2857"/>
      <c r="AO15" s="2857"/>
      <c r="AP15" s="2857"/>
      <c r="AQ15" s="2857"/>
      <c r="AR15" s="2857"/>
      <c r="AS15" s="2857"/>
      <c r="AT15" s="2858"/>
      <c r="AU15" s="2859"/>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849"/>
      <c r="B16" s="2849"/>
      <c r="C16" s="2851"/>
      <c r="D16" s="2850"/>
      <c r="E16" s="27">
        <f t="shared" si="6"/>
        <v>0</v>
      </c>
      <c r="F16" s="81"/>
      <c r="G16" s="82">
        <f t="shared" si="7"/>
        <v>0</v>
      </c>
      <c r="H16" s="33">
        <f t="shared" si="8"/>
        <v>0</v>
      </c>
      <c r="I16" s="2853"/>
      <c r="J16" s="2853"/>
      <c r="K16" s="2853"/>
      <c r="L16" s="2853"/>
      <c r="M16" s="2853"/>
      <c r="N16" s="83"/>
      <c r="O16" s="83"/>
      <c r="P16" s="83"/>
      <c r="Q16" s="83"/>
      <c r="R16" s="83"/>
      <c r="S16" s="83"/>
      <c r="T16" s="83"/>
      <c r="U16" s="83"/>
      <c r="V16" s="83"/>
      <c r="W16" s="83"/>
      <c r="X16" s="83"/>
      <c r="Y16" s="83"/>
      <c r="Z16" s="83"/>
      <c r="AA16" s="83"/>
      <c r="AB16" s="83"/>
      <c r="AC16" s="27">
        <f t="shared" si="9"/>
        <v>0</v>
      </c>
      <c r="AD16" s="2857"/>
      <c r="AE16" s="2857"/>
      <c r="AF16" s="2857"/>
      <c r="AG16" s="2857"/>
      <c r="AH16" s="2857"/>
      <c r="AI16" s="2857"/>
      <c r="AJ16" s="2857"/>
      <c r="AK16" s="2857"/>
      <c r="AL16" s="2857"/>
      <c r="AM16" s="2857"/>
      <c r="AN16" s="2857"/>
      <c r="AO16" s="2857"/>
      <c r="AP16" s="2857"/>
      <c r="AQ16" s="2857"/>
      <c r="AR16" s="2857"/>
      <c r="AS16" s="2857"/>
      <c r="AT16" s="2858"/>
      <c r="AU16" s="2859"/>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849"/>
      <c r="B17" s="2849"/>
      <c r="C17" s="2851"/>
      <c r="D17" s="2850"/>
      <c r="E17" s="27">
        <f t="shared" si="6"/>
        <v>0</v>
      </c>
      <c r="F17" s="81"/>
      <c r="G17" s="82">
        <f t="shared" si="7"/>
        <v>0</v>
      </c>
      <c r="H17" s="33">
        <f t="shared" si="8"/>
        <v>0</v>
      </c>
      <c r="I17" s="2853"/>
      <c r="J17" s="2853"/>
      <c r="K17" s="2853"/>
      <c r="L17" s="2853"/>
      <c r="M17" s="2853"/>
      <c r="N17" s="83"/>
      <c r="O17" s="83"/>
      <c r="P17" s="83"/>
      <c r="Q17" s="83"/>
      <c r="R17" s="83"/>
      <c r="S17" s="83"/>
      <c r="T17" s="83"/>
      <c r="U17" s="83"/>
      <c r="V17" s="83"/>
      <c r="W17" s="83"/>
      <c r="X17" s="83"/>
      <c r="Y17" s="83"/>
      <c r="Z17" s="83"/>
      <c r="AA17" s="83"/>
      <c r="AB17" s="83"/>
      <c r="AC17" s="27">
        <f t="shared" si="9"/>
        <v>0</v>
      </c>
      <c r="AD17" s="2857"/>
      <c r="AE17" s="2857"/>
      <c r="AF17" s="2857"/>
      <c r="AG17" s="2857"/>
      <c r="AH17" s="2857"/>
      <c r="AI17" s="2857"/>
      <c r="AJ17" s="2857"/>
      <c r="AK17" s="2857"/>
      <c r="AL17" s="2857"/>
      <c r="AM17" s="2857"/>
      <c r="AN17" s="2857"/>
      <c r="AO17" s="2857"/>
      <c r="AP17" s="2857"/>
      <c r="AQ17" s="2857"/>
      <c r="AR17" s="2857"/>
      <c r="AS17" s="2857"/>
      <c r="AT17" s="2858"/>
      <c r="AU17" s="2859"/>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852"/>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95" t="s">
        <v>0</v>
      </c>
      <c r="B1" s="3295" t="s">
        <v>4</v>
      </c>
      <c r="C1" s="3295" t="s">
        <v>5</v>
      </c>
      <c r="D1" s="3296" t="s">
        <v>40</v>
      </c>
      <c r="E1" s="3296" t="s">
        <v>41</v>
      </c>
      <c r="F1" s="3296"/>
      <c r="G1" s="3296"/>
      <c r="H1" s="3296"/>
      <c r="I1" s="3296"/>
      <c r="J1" s="3296"/>
      <c r="K1" s="3296"/>
      <c r="L1" s="3296"/>
      <c r="M1" s="3296"/>
    </row>
    <row r="2" spans="1:13" ht="27" customHeight="1">
      <c r="A2" s="3295"/>
      <c r="B2" s="3295"/>
      <c r="C2" s="3295"/>
      <c r="D2" s="3296"/>
      <c r="E2" s="3296" t="s">
        <v>24</v>
      </c>
      <c r="F2" s="3296" t="s">
        <v>25</v>
      </c>
      <c r="G2" s="3296"/>
      <c r="H2" s="3296"/>
      <c r="I2" s="3296"/>
      <c r="J2" s="3296" t="s">
        <v>26</v>
      </c>
      <c r="K2" s="3296"/>
      <c r="L2" s="3296"/>
      <c r="M2" s="3296"/>
    </row>
    <row r="3" spans="1:13" ht="28.5">
      <c r="A3" s="3295"/>
      <c r="B3" s="3295"/>
      <c r="C3" s="3295"/>
      <c r="D3" s="3296"/>
      <c r="E3" s="3296"/>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96" t="s">
        <v>42</v>
      </c>
      <c r="B9" s="3296"/>
      <c r="C9" s="3296"/>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I26" sqref="I26"/>
    </sheetView>
  </sheetViews>
  <sheetFormatPr defaultColWidth="9.25" defaultRowHeight="14.25"/>
  <cols>
    <col min="1" max="1" width="8.25" style="1970" customWidth="1"/>
    <col min="2" max="2" width="10.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25" style="1970"/>
  </cols>
  <sheetData>
    <row r="1" spans="1:16" ht="18.75">
      <c r="A1" s="104" t="s">
        <v>202</v>
      </c>
      <c r="B1" s="1969"/>
      <c r="C1" s="1969"/>
      <c r="D1" s="1969"/>
      <c r="E1" s="1969"/>
      <c r="F1" s="1969"/>
      <c r="G1" s="1969"/>
      <c r="H1" s="1969"/>
      <c r="I1" s="1969"/>
      <c r="J1" s="1969"/>
      <c r="K1" s="1969"/>
      <c r="L1" s="1969"/>
    </row>
    <row r="2" spans="1:16" ht="15">
      <c r="A2" s="3306" t="s">
        <v>203</v>
      </c>
      <c r="B2" s="3306"/>
      <c r="C2" s="3306"/>
      <c r="D2" s="1960" t="s">
        <v>204</v>
      </c>
      <c r="E2" s="106" t="s">
        <v>205</v>
      </c>
      <c r="F2" s="1969"/>
      <c r="G2" s="1194"/>
      <c r="H2" s="1195"/>
      <c r="I2" s="1196" t="s">
        <v>857</v>
      </c>
      <c r="J2" s="1969"/>
      <c r="K2" s="1969"/>
      <c r="L2" s="1969"/>
    </row>
    <row r="3" spans="1:16" ht="15.75" thickBot="1">
      <c r="A3" s="3307" t="s">
        <v>206</v>
      </c>
      <c r="B3" s="3307"/>
      <c r="C3" s="3307"/>
      <c r="D3" s="107">
        <f>'数据-基础表'!AY6</f>
        <v>5500</v>
      </c>
      <c r="E3" s="107">
        <f>'数据-基础表'!AZ5</f>
        <v>17100</v>
      </c>
      <c r="F3" s="1969"/>
      <c r="G3" s="280" t="s">
        <v>858</v>
      </c>
      <c r="H3" s="275" t="s">
        <v>859</v>
      </c>
      <c r="I3" s="1961">
        <f>ROUND('数据-基础表'!B3/'数据-基础表'!A3,2)</f>
        <v>3.11</v>
      </c>
      <c r="J3" s="1969"/>
      <c r="K3" s="1969"/>
      <c r="L3" s="1969"/>
    </row>
    <row r="4" spans="1:16" ht="15">
      <c r="A4" s="3308"/>
      <c r="B4" s="3309"/>
      <c r="C4" s="3310"/>
      <c r="D4" s="108" t="s">
        <v>204</v>
      </c>
      <c r="E4" s="109" t="s">
        <v>205</v>
      </c>
      <c r="F4" s="1969"/>
      <c r="G4" s="1197"/>
      <c r="H4" s="275" t="s">
        <v>860</v>
      </c>
      <c r="I4" s="1961">
        <f>ROUND(SUMIF('数据-基础表'!I9:AS9,"地上",'数据-基础表'!I5:AS5)/'数据-基础表'!A3,2)</f>
        <v>3.11</v>
      </c>
      <c r="J4" s="1969"/>
      <c r="K4" s="1969"/>
      <c r="L4" s="1969"/>
    </row>
    <row r="5" spans="1:16">
      <c r="A5" s="110" t="s">
        <v>207</v>
      </c>
      <c r="B5" s="3311" t="s">
        <v>230</v>
      </c>
      <c r="C5" s="3311"/>
      <c r="D5" s="111">
        <f>ROUND($D$3*E5/$E$3,2)</f>
        <v>0</v>
      </c>
      <c r="E5" s="112">
        <f>SUMIF('数据-基础表'!$11:$11,"住宅",'数据-基础表'!$5:$5)</f>
        <v>0</v>
      </c>
      <c r="F5" s="1969"/>
      <c r="G5" s="280" t="s">
        <v>861</v>
      </c>
      <c r="H5" s="275" t="s">
        <v>859</v>
      </c>
      <c r="I5" s="1961">
        <f>ROUND(E31/D31,2)</f>
        <v>3.11</v>
      </c>
      <c r="J5" s="1969"/>
      <c r="K5" s="1969"/>
      <c r="L5" s="1969"/>
    </row>
    <row r="6" spans="1:16" ht="15" thickBot="1">
      <c r="A6" s="113"/>
      <c r="B6" s="3311" t="s">
        <v>208</v>
      </c>
      <c r="C6" s="3311"/>
      <c r="D6" s="111">
        <f>ROUND($D$3*E6/$E$3,2)</f>
        <v>5500</v>
      </c>
      <c r="E6" s="112">
        <f>E3-E5</f>
        <v>17100</v>
      </c>
      <c r="F6" s="1969"/>
      <c r="G6" s="1197"/>
      <c r="H6" s="275" t="s">
        <v>860</v>
      </c>
      <c r="I6" s="1961">
        <f>ROUND(F31/D31,2)</f>
        <v>3.11</v>
      </c>
      <c r="J6" s="1969"/>
      <c r="K6" s="1969"/>
      <c r="L6" s="1969"/>
    </row>
    <row r="7" spans="1:16" ht="15">
      <c r="A7" s="3303"/>
      <c r="B7" s="3304"/>
      <c r="C7" s="3305"/>
      <c r="D7" s="108" t="s">
        <v>204</v>
      </c>
      <c r="E7" s="114" t="s">
        <v>231</v>
      </c>
      <c r="F7" s="1969"/>
      <c r="G7" s="1152" t="s">
        <v>1645</v>
      </c>
      <c r="H7" s="1153"/>
      <c r="I7" s="1831">
        <v>3.11</v>
      </c>
      <c r="J7" s="1969"/>
      <c r="K7" s="1969"/>
      <c r="L7" s="1969"/>
    </row>
    <row r="8" spans="1:16">
      <c r="A8" s="110" t="s">
        <v>209</v>
      </c>
      <c r="B8" s="115" t="s">
        <v>210</v>
      </c>
      <c r="C8" s="111" t="s">
        <v>211</v>
      </c>
      <c r="D8" s="111">
        <f t="shared" ref="D8:D15" si="0">ROUND($D$3*E8/$E$3,2)</f>
        <v>5500</v>
      </c>
      <c r="E8" s="116">
        <f>SUMIF('数据-基础表'!BB10:BK10,"地上",'数据-基础表'!BB5:BK5)</f>
        <v>17100</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2324</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2331</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5500</v>
      </c>
      <c r="E16" s="120">
        <f>SUM(E8:E15)</f>
        <v>17100</v>
      </c>
      <c r="F16" s="1969"/>
      <c r="G16" s="1971"/>
      <c r="H16" s="968" t="s">
        <v>219</v>
      </c>
      <c r="I16" s="969"/>
      <c r="J16" s="1969"/>
      <c r="K16" s="3297" t="s">
        <v>2563</v>
      </c>
      <c r="L16" s="3298"/>
      <c r="M16" s="3298"/>
      <c r="N16" s="3298"/>
      <c r="O16" s="3298"/>
      <c r="P16" s="3299"/>
    </row>
    <row r="17" spans="1:19" ht="15">
      <c r="A17" s="121" t="s">
        <v>216</v>
      </c>
      <c r="B17" s="122" t="s">
        <v>217</v>
      </c>
      <c r="C17" s="2283" t="s">
        <v>2310</v>
      </c>
      <c r="D17" s="108" t="s">
        <v>204</v>
      </c>
      <c r="E17" s="124" t="s">
        <v>205</v>
      </c>
      <c r="F17" s="125"/>
      <c r="G17" s="1362"/>
      <c r="H17" s="970" t="s">
        <v>218</v>
      </c>
      <c r="I17" s="971" t="s">
        <v>2309</v>
      </c>
      <c r="J17" s="1969"/>
      <c r="K17" s="3300" t="s">
        <v>2564</v>
      </c>
      <c r="L17" s="3301"/>
      <c r="M17" s="3302"/>
      <c r="N17" s="3300" t="s">
        <v>2565</v>
      </c>
      <c r="O17" s="3301"/>
      <c r="P17" s="3302"/>
      <c r="R17" s="2284" t="s">
        <v>2308</v>
      </c>
      <c r="S17" s="144"/>
    </row>
    <row r="18" spans="1:19" ht="15">
      <c r="A18" s="117"/>
      <c r="B18" s="128"/>
      <c r="C18" s="129"/>
      <c r="D18" s="2606"/>
      <c r="E18" s="130" t="s">
        <v>220</v>
      </c>
      <c r="F18" s="131" t="s">
        <v>221</v>
      </c>
      <c r="G18" s="1363" t="s">
        <v>222</v>
      </c>
      <c r="H18" s="972" t="s">
        <v>223</v>
      </c>
      <c r="I18" s="973" t="s">
        <v>224</v>
      </c>
      <c r="J18" s="1969"/>
      <c r="K18" s="2569" t="s">
        <v>2566</v>
      </c>
      <c r="L18" s="2570" t="s">
        <v>2567</v>
      </c>
      <c r="M18" s="2571" t="s">
        <v>2568</v>
      </c>
      <c r="N18" s="2569" t="s">
        <v>2566</v>
      </c>
      <c r="O18" s="2570" t="s">
        <v>2567</v>
      </c>
      <c r="P18" s="2571" t="s">
        <v>2568</v>
      </c>
      <c r="R18" s="2285" t="s">
        <v>2306</v>
      </c>
      <c r="S18" s="2285" t="s">
        <v>2307</v>
      </c>
    </row>
    <row r="19" spans="1:19">
      <c r="A19" s="133"/>
      <c r="B19" s="115" t="s">
        <v>225</v>
      </c>
      <c r="C19" s="2860" t="s">
        <v>3001</v>
      </c>
      <c r="D19" s="111">
        <f t="shared" ref="D19:D26" si="1">ROUND($D$3*E19/$E$3,2)</f>
        <v>5500</v>
      </c>
      <c r="E19" s="134">
        <f t="shared" ref="E19:E26" si="2">SUM(F19:G19)</f>
        <v>17100</v>
      </c>
      <c r="F19" s="135">
        <f>'数据-基础表'!I13</f>
        <v>17100</v>
      </c>
      <c r="G19" s="1364"/>
      <c r="H19" s="974">
        <f>ROUND($D$3*I19/$E$3,2)</f>
        <v>0</v>
      </c>
      <c r="I19" s="116">
        <f>IF($I$17="自定义",P19,M19)</f>
        <v>0</v>
      </c>
      <c r="J19" s="1969"/>
      <c r="K19" s="2572">
        <f t="shared" ref="K19:K26" si="3">ROUND(E$28*E19/E$27,2)</f>
        <v>0</v>
      </c>
      <c r="L19" s="275">
        <f t="shared" ref="L19:L26" si="4">ROUND(IF(COUNTIF(C19,"*住宅*")&gt;0,E$29*E19/E$32,0),2)</f>
        <v>0</v>
      </c>
      <c r="M19" s="2573">
        <f>K19+L19</f>
        <v>0</v>
      </c>
      <c r="N19" s="2574"/>
      <c r="O19" s="2575"/>
      <c r="P19" s="2576">
        <f>N19+O19</f>
        <v>0</v>
      </c>
      <c r="R19" s="275">
        <f t="shared" ref="R19:S26" si="5">D19+H19</f>
        <v>5500</v>
      </c>
      <c r="S19" s="2286">
        <f t="shared" si="5"/>
        <v>17100</v>
      </c>
    </row>
    <row r="20" spans="1:19">
      <c r="A20" s="138"/>
      <c r="B20" s="115" t="s">
        <v>226</v>
      </c>
      <c r="C20" s="2860"/>
      <c r="D20" s="111">
        <f t="shared" si="1"/>
        <v>0</v>
      </c>
      <c r="E20" s="134">
        <f t="shared" si="2"/>
        <v>0</v>
      </c>
      <c r="F20" s="135"/>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0</v>
      </c>
      <c r="S20" s="2286">
        <f t="shared" si="5"/>
        <v>0</v>
      </c>
    </row>
    <row r="21" spans="1:19">
      <c r="A21" s="138"/>
      <c r="B21" s="115" t="s">
        <v>226</v>
      </c>
      <c r="C21" s="2860"/>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5500</v>
      </c>
      <c r="E27" s="143">
        <f>IF(SUM(E19:E26)='数据-基础表'!BA5,SUM(E19:E26),IF(F27="地上面积有误","面积有误","地下面积有误"))</f>
        <v>17100</v>
      </c>
      <c r="F27" s="134">
        <f>IF(SUM(F19:F26)=E8,SUM(F19:F26),"地上面积有误")</f>
        <v>17100</v>
      </c>
      <c r="G27" s="112">
        <f>SUM(G19:G26)</f>
        <v>0</v>
      </c>
      <c r="H27" s="975">
        <f>SUM(H19:H26)</f>
        <v>0</v>
      </c>
      <c r="I27" s="976">
        <f>SUM(I19:I26)</f>
        <v>0</v>
      </c>
      <c r="J27" s="1969"/>
      <c r="K27" s="2581">
        <f>SUM(K19:K26)</f>
        <v>0</v>
      </c>
      <c r="L27" s="2582">
        <f>SUM(L19:L26)</f>
        <v>0</v>
      </c>
      <c r="M27" s="2583">
        <f>SUM(M19:M26)</f>
        <v>0</v>
      </c>
      <c r="N27" s="2581">
        <f t="shared" ref="N27:O27" si="10">SUM(N19:N26)</f>
        <v>0</v>
      </c>
      <c r="O27" s="2582">
        <f t="shared" si="10"/>
        <v>0</v>
      </c>
      <c r="P27" s="2584">
        <f>SUM(P19:P26)</f>
        <v>0</v>
      </c>
      <c r="R27" s="2290">
        <f>IF(SUM(R19:R26)=$D$3,SUM(R19:R26),SUM(R19:R26)&amp;"误差"&amp;ROUND(SUM(R19:R26)-$D$3,2))</f>
        <v>5500</v>
      </c>
      <c r="S27" s="275">
        <f>IF(SUM(S19:S26)=$E$3,SUM(S19:S26),SUM(S19:S26)&amp;"误差"&amp;ROUND(SUM(S19:S26)-E3,2))</f>
        <v>17100</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2317</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2319</v>
      </c>
      <c r="D31" s="1368">
        <f>D27+D30</f>
        <v>5500</v>
      </c>
      <c r="E31" s="1368">
        <f>E27+E30</f>
        <v>17100</v>
      </c>
      <c r="F31" s="1369">
        <f>F27+F30</f>
        <v>17100</v>
      </c>
      <c r="G31" s="1370">
        <f>G27+G30</f>
        <v>0</v>
      </c>
      <c r="H31" s="1969"/>
      <c r="I31" s="1969"/>
      <c r="J31" s="1969"/>
      <c r="K31" s="1969"/>
      <c r="L31" s="1969"/>
    </row>
    <row r="32" spans="1:19">
      <c r="A32" s="1969"/>
      <c r="B32" s="2327" t="s">
        <v>2318</v>
      </c>
      <c r="C32" s="2611"/>
      <c r="D32" s="1197"/>
      <c r="E32" s="1197">
        <f>SUMIF(C19:C26,"*住宅*",E19:E26)</f>
        <v>0</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71" priority="1" stopIfTrue="1" operator="containsText" text="面积有误">
      <formula>NOT(ISERROR(SEARCH("面积有误",E27)))</formula>
    </cfRule>
    <cfRule type="cellIs" dxfId="170" priority="3" stopIfTrue="1" operator="equal">
      <formula>"地下面积有误"</formula>
    </cfRule>
  </conditionalFormatting>
  <conditionalFormatting sqref="F27">
    <cfRule type="cellIs" dxfId="16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E6" activePane="bottomRight" state="frozen"/>
      <selection pane="topRight" activeCell="D1" sqref="D1"/>
      <selection pane="bottomLeft" activeCell="A4" sqref="A4"/>
      <selection pane="bottomRight" activeCell="U6" sqref="U6"/>
    </sheetView>
  </sheetViews>
  <sheetFormatPr defaultColWidth="13.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3"/>
    <col min="42" max="42" width="0" style="1983" hidden="1" customWidth="1"/>
    <col min="43" max="83" width="13.75" style="1983"/>
    <col min="84" max="16384" width="13.75"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44012</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40.5">
      <c r="A5" s="2289" t="s">
        <v>2321</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2823</v>
      </c>
      <c r="O5" s="163" t="s">
        <v>246</v>
      </c>
      <c r="P5" s="165" t="s">
        <v>247</v>
      </c>
      <c r="Q5" s="166" t="s">
        <v>248</v>
      </c>
      <c r="R5" s="167" t="s">
        <v>249</v>
      </c>
      <c r="S5" s="2585" t="s">
        <v>2569</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2320</v>
      </c>
      <c r="AI5" s="171" t="s">
        <v>2289</v>
      </c>
      <c r="AJ5" s="171" t="s">
        <v>258</v>
      </c>
      <c r="AK5" s="159" t="s">
        <v>259</v>
      </c>
      <c r="AL5" s="159" t="s">
        <v>260</v>
      </c>
      <c r="AM5" s="172" t="s">
        <v>261</v>
      </c>
      <c r="AN5" s="2355" t="s">
        <v>2370</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c r="A6" s="2287" t="str">
        <f>'数据-汇总表'!C19</f>
        <v>办公</v>
      </c>
      <c r="B6" s="2322" t="str">
        <f>IF(A6=0,"","经营性")</f>
        <v>经营性</v>
      </c>
      <c r="C6" s="173" t="s">
        <v>1677</v>
      </c>
      <c r="D6" s="2293">
        <f>SUMIF(项目基本情况!D$15:I$15,C6,项目基本情况!D$18:I$18)</f>
        <v>50</v>
      </c>
      <c r="E6" s="2294">
        <f>IF(B6="","",SUMIF(项目基本情况!D$15:I$15,C6,项目基本情况!D$17:I$17))</f>
        <v>69744</v>
      </c>
      <c r="F6" s="174">
        <f>SUMIF(项目基本情况!D$15:I$15,C6,项目基本情况!D$19:I$19)</f>
        <v>50</v>
      </c>
      <c r="G6" s="175">
        <f>IF(ISERROR(ROUND(POWER(1+H6,D6-F6)*(POWER(1+H6,F6)-1)/(POWER(1+H6,D6)-1),3)),0,ROUND(POWER(1+H6,D6-F6)*(POWER(1+H6,F6)-1)/(POWER(1+H6,D6)-1),3))</f>
        <v>1</v>
      </c>
      <c r="H6" s="2861">
        <v>0.04</v>
      </c>
      <c r="I6" s="2861">
        <v>0.04</v>
      </c>
      <c r="J6" s="176">
        <v>0.08</v>
      </c>
      <c r="K6" s="179">
        <f>SUMIF('数据-汇总表'!C$19:C$33,'数据-取费表'!A6,'数据-汇总表'!E$19:E$33)</f>
        <v>17100</v>
      </c>
      <c r="L6" s="3188">
        <v>3800</v>
      </c>
      <c r="M6" s="177">
        <f t="shared" ref="M6:M14" si="0">ROUND(K6*L6/10000,0)</f>
        <v>6498</v>
      </c>
      <c r="N6" s="2863">
        <v>1</v>
      </c>
      <c r="O6" s="177">
        <f>IF($N$5="成新度","——",ROUND(M6*N6,0))</f>
        <v>6498</v>
      </c>
      <c r="P6" s="178">
        <f>IF($N$5="成新度","——",M6-O6)</f>
        <v>0</v>
      </c>
      <c r="Q6" s="3189">
        <v>0.1</v>
      </c>
      <c r="R6" s="179">
        <f>SUMIF('数据-汇总表'!C$19:C$33,A6,'数据-汇总表'!R$19:R$33)</f>
        <v>5500</v>
      </c>
      <c r="S6" s="132">
        <f>IF('数据-汇总表'!$I$17="按面积比例",SUMIF('数据-汇总表'!C$19:C$33,A6,'数据-汇总表'!K$19:K$33),SUMIF('数据-汇总表'!C$19:C$33,A6,'数据-汇总表'!N$19:N$33))</f>
        <v>0</v>
      </c>
      <c r="T6" s="2219" t="str">
        <f>IF($T$4="按面积比例",IF(ISERROR(ROUND($M$14*S6/S$16,0)),"0",ROUND($M$14*S6/S$16,0)),"需自行计算录入")</f>
        <v>0</v>
      </c>
      <c r="U6" s="180">
        <f>'不动产比较法-办公租金'!C50</f>
        <v>2.56</v>
      </c>
      <c r="V6" s="181">
        <v>0</v>
      </c>
      <c r="W6" s="181">
        <v>0.05</v>
      </c>
      <c r="X6" s="2306"/>
      <c r="Y6" s="182">
        <v>1</v>
      </c>
      <c r="Z6" s="183"/>
      <c r="AA6" s="176"/>
      <c r="AB6" s="176"/>
      <c r="AC6" s="2309"/>
      <c r="AD6" s="184">
        <v>1</v>
      </c>
      <c r="AE6" s="3202">
        <f>F6</f>
        <v>50</v>
      </c>
      <c r="AF6" s="141"/>
      <c r="AG6" s="1209">
        <f>IF(AF6="",0,AE6-AF6)</f>
        <v>0</v>
      </c>
      <c r="AH6" s="141">
        <f>'数据-基础表'!B3</f>
        <v>17100</v>
      </c>
      <c r="AI6" s="187">
        <v>365</v>
      </c>
      <c r="AJ6" s="188"/>
      <c r="AK6" s="189">
        <v>0.02</v>
      </c>
      <c r="AL6" s="190">
        <v>2E-3</v>
      </c>
      <c r="AM6" s="2875">
        <v>0.02</v>
      </c>
      <c r="AN6" s="2356" t="s">
        <v>3003</v>
      </c>
      <c r="AO6" s="1985"/>
      <c r="AP6" s="1200">
        <f>ROUND(1-1/(1+H6)^F6,3)</f>
        <v>0.85899999999999999</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f>'数据-汇总表'!C20</f>
        <v>0</v>
      </c>
      <c r="B7" s="2322" t="str">
        <f t="shared" ref="B7:B13" si="1">IF(A7=0,"","经营性")</f>
        <v/>
      </c>
      <c r="C7" s="173"/>
      <c r="D7" s="2293">
        <f>SUMIF(项目基本情况!D$15:I$15,C7,项目基本情况!D$18:I$18)</f>
        <v>0</v>
      </c>
      <c r="E7" s="2294"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861"/>
      <c r="I7" s="2861"/>
      <c r="J7" s="176"/>
      <c r="K7" s="179">
        <f>SUMIF('数据-汇总表'!C$19:C$33,'数据-取费表'!A7,'数据-汇总表'!E$19:E$33)</f>
        <v>0</v>
      </c>
      <c r="L7" s="2862"/>
      <c r="M7" s="177">
        <f t="shared" si="0"/>
        <v>0</v>
      </c>
      <c r="N7" s="2863"/>
      <c r="O7" s="177">
        <f t="shared" ref="O7:O14" si="3">IF($N$5="成新度","——",ROUND(M7*N7,0))</f>
        <v>0</v>
      </c>
      <c r="P7" s="178">
        <f t="shared" ref="P7:P14" si="4">IF($N$5="成新度","——",M7-O7)</f>
        <v>0</v>
      </c>
      <c r="Q7" s="2864"/>
      <c r="R7" s="179">
        <f>SUMIF('数据-汇总表'!C$19:C$33,A7,'数据-汇总表'!R$19:R$33)</f>
        <v>0</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c r="V7" s="181"/>
      <c r="W7" s="181"/>
      <c r="X7" s="2306"/>
      <c r="Y7" s="182"/>
      <c r="Z7" s="183"/>
      <c r="AA7" s="176"/>
      <c r="AB7" s="176"/>
      <c r="AC7" s="2309"/>
      <c r="AD7" s="184"/>
      <c r="AE7" s="972">
        <f t="shared" ref="AE7:AE13" ca="1" si="6">IF(AN7="",0,SUMIF(INDIRECT("'"&amp;AN7&amp;"'"&amp;"!E:E"),$AE$5,INDIRECT("'"&amp;AN7&amp;"'"&amp;"!F:F")))</f>
        <v>0</v>
      </c>
      <c r="AF7" s="141"/>
      <c r="AG7" s="1209">
        <f t="shared" ref="AG7:AG13" si="7">IF(AF7="",0,AE7-AF7)</f>
        <v>0</v>
      </c>
      <c r="AH7" s="141"/>
      <c r="AI7" s="187"/>
      <c r="AJ7" s="188"/>
      <c r="AK7" s="189"/>
      <c r="AL7" s="190"/>
      <c r="AM7" s="2354"/>
      <c r="AN7" s="2356"/>
      <c r="AO7" s="1985"/>
      <c r="AP7" s="1200">
        <f t="shared" ref="AP7:AP13" si="8">ROUND(1-1/(1+H7)^F7,3)</f>
        <v>0</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861"/>
      <c r="I8" s="2861"/>
      <c r="J8" s="176"/>
      <c r="K8" s="179">
        <f>SUMIF('数据-汇总表'!C$19:C$33,'数据-取费表'!A8,'数据-汇总表'!E$19:E$33)</f>
        <v>0</v>
      </c>
      <c r="L8" s="2862"/>
      <c r="M8" s="177">
        <f>ROUND(K8*L8/10000,0)</f>
        <v>0</v>
      </c>
      <c r="N8" s="2863"/>
      <c r="O8" s="177">
        <f t="shared" si="3"/>
        <v>0</v>
      </c>
      <c r="P8" s="178">
        <f t="shared" si="4"/>
        <v>0</v>
      </c>
      <c r="Q8" s="2864"/>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2311</v>
      </c>
      <c r="B14" s="2291" t="s">
        <v>1679</v>
      </c>
      <c r="C14" s="2292" t="s">
        <v>2311</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2313</v>
      </c>
      <c r="B15" s="2291" t="s">
        <v>1679</v>
      </c>
      <c r="C15" s="2292" t="s">
        <v>2312</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1</v>
      </c>
      <c r="H16" s="203">
        <f>ROUND(SUMPRODUCT(H6:H13,K6:K13)/SUMPRODUCT((H6:H13&gt;0)*(K6:K13)),3)</f>
        <v>0.04</v>
      </c>
      <c r="I16" s="204"/>
      <c r="J16" s="204"/>
      <c r="K16" s="205">
        <f>SUM(K6:K15)</f>
        <v>17100</v>
      </c>
      <c r="L16" s="206">
        <f>ROUND(M16*10000/SUM(K6:K14),0)</f>
        <v>3800</v>
      </c>
      <c r="M16" s="206">
        <f>SUM(M6:M14)</f>
        <v>6498</v>
      </c>
      <c r="N16" s="207">
        <f>ROUND(SUMPRODUCT(M6:M14,N6:N14)/M16,3)</f>
        <v>1</v>
      </c>
      <c r="O16" s="206">
        <f>SUM(O6:O14)</f>
        <v>6498</v>
      </c>
      <c r="P16" s="206">
        <f>SUM(P6:P14)</f>
        <v>0</v>
      </c>
      <c r="Q16" s="208">
        <f>ROUND(SUMPRODUCT(Q6:Q13,K6:K13)/SUMPRODUCT((Q6:Q13&gt;0)*(K6:K13)),2)</f>
        <v>0.1</v>
      </c>
      <c r="R16" s="2296">
        <f>SUM(R6:R13)</f>
        <v>5500</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0.85899999999999999</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2333</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3187">
        <v>1.5</v>
      </c>
      <c r="C20" s="2328" t="s">
        <v>2332</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14.25">
      <c r="A21" s="221" t="s">
        <v>266</v>
      </c>
      <c r="B21" s="220">
        <v>0</v>
      </c>
      <c r="C21" s="1977"/>
      <c r="D21" s="1978"/>
      <c r="E21" s="1977"/>
      <c r="F21" s="1977"/>
      <c r="G21" s="1977"/>
      <c r="H21" s="1977"/>
      <c r="I21" s="1977"/>
      <c r="J21" s="1977"/>
      <c r="K21" s="1976"/>
      <c r="L21" s="1976"/>
      <c r="M21" s="1974"/>
      <c r="N21" s="1974"/>
      <c r="O21" s="1974"/>
      <c r="P21" s="1974"/>
      <c r="Q21" s="1974"/>
      <c r="R21" s="1974"/>
      <c r="S21" s="1974"/>
      <c r="T21" s="1974"/>
      <c r="U21" s="1974"/>
      <c r="V21" s="1974"/>
      <c r="W21" s="1974"/>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1.5</v>
      </c>
      <c r="C22" s="1977"/>
      <c r="D22" s="1978"/>
      <c r="E22" s="1977"/>
      <c r="F22" s="1977"/>
      <c r="G22" s="1977"/>
      <c r="H22" s="1977"/>
      <c r="I22" s="1977"/>
      <c r="J22" s="1977"/>
      <c r="K22" s="1976"/>
      <c r="L22" s="1976"/>
      <c r="M22" s="1974"/>
      <c r="N22" s="1974"/>
      <c r="O22" s="1974"/>
      <c r="P22" s="1974"/>
      <c r="Q22" s="1974"/>
      <c r="R22" s="1974"/>
      <c r="S22" s="1974"/>
      <c r="T22" s="1974"/>
      <c r="U22" s="1974"/>
      <c r="V22" s="1974"/>
      <c r="W22" s="1974"/>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1977"/>
      <c r="I23" s="1977"/>
      <c r="J23" s="1977"/>
      <c r="K23" s="1976"/>
      <c r="L23" s="1976"/>
      <c r="M23" s="1974"/>
      <c r="N23" s="1974"/>
      <c r="O23" s="1974"/>
      <c r="P23" s="1974"/>
      <c r="Q23" s="1974"/>
      <c r="R23" s="1974"/>
      <c r="S23" s="1974"/>
      <c r="T23" s="1974"/>
      <c r="U23" s="1974"/>
      <c r="V23" s="1974"/>
      <c r="W23" s="1974"/>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1.5</v>
      </c>
      <c r="C24" s="1977"/>
      <c r="D24" s="1978"/>
      <c r="E24" s="1977"/>
      <c r="F24" s="1977"/>
      <c r="G24" s="1977"/>
      <c r="H24" s="1977"/>
      <c r="I24" s="1977"/>
      <c r="J24" s="1977"/>
      <c r="K24" s="1976"/>
      <c r="L24" s="1976"/>
      <c r="M24" s="1974"/>
      <c r="N24" s="1974"/>
      <c r="O24" s="1974"/>
      <c r="P24" s="1974"/>
      <c r="Q24" s="1974"/>
      <c r="R24" s="1974"/>
      <c r="S24" s="1974"/>
      <c r="T24" s="1974"/>
      <c r="U24" s="1974"/>
      <c r="V24" s="1974"/>
      <c r="W24" s="1974"/>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2335</v>
      </c>
      <c r="B27" s="227">
        <v>170</v>
      </c>
      <c r="C27" s="2331" t="s">
        <v>2339</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2336</v>
      </c>
      <c r="B28" s="229">
        <v>200</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2334</v>
      </c>
      <c r="B29" s="232"/>
      <c r="C29" s="1539" t="s">
        <v>2337</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0.03</v>
      </c>
      <c r="C33" s="2329" t="s">
        <v>2889</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0.1</v>
      </c>
      <c r="C34" s="2329" t="s">
        <v>2890</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229">
        <v>300</v>
      </c>
      <c r="C35" s="2329" t="s">
        <v>2891</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2892</v>
      </c>
      <c r="D36" s="1975"/>
      <c r="E36" s="1198"/>
      <c r="F36" s="1977"/>
      <c r="G36" s="1977"/>
      <c r="H36" s="1977"/>
      <c r="I36" s="1977"/>
      <c r="J36" s="1977"/>
      <c r="K36" s="1976"/>
      <c r="L36" s="1976"/>
      <c r="M36" s="1974"/>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0.02</v>
      </c>
      <c r="C37" s="2329" t="s">
        <v>2893</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0.02</v>
      </c>
      <c r="C38" s="2329" t="s">
        <v>2893</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2453</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2454</v>
      </c>
      <c r="B40" s="2445">
        <f ca="1">存贷款利率!E2</f>
        <v>4.7500000000000001E-2</v>
      </c>
      <c r="C40" s="2329" t="s">
        <v>2338</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5.6500000000000002E-2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2929">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6.5000000000000006E-3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0.05</v>
      </c>
      <c r="C44" s="2329" t="s">
        <v>2894</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2895</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0.05</v>
      </c>
      <c r="C46" s="2331" t="s">
        <v>2896</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c r="C47" s="2903" t="s">
        <v>2897</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2904" t="s">
        <v>2898</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2904" t="s">
        <v>2899</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1.5</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1409</v>
      </c>
      <c r="C53" s="2905" t="s">
        <v>2900</v>
      </c>
      <c r="D53" s="2906" t="s">
        <v>2901</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2908" t="s">
        <v>2902</v>
      </c>
      <c r="B54" s="186"/>
      <c r="C54" s="1979">
        <v>30</v>
      </c>
      <c r="D54" s="2907"/>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2908" t="s">
        <v>2903</v>
      </c>
      <c r="B55" s="186"/>
      <c r="C55" s="1979">
        <v>24</v>
      </c>
      <c r="D55" s="2907"/>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2908" t="s">
        <v>2904</v>
      </c>
      <c r="B56" s="186"/>
      <c r="C56" s="1979">
        <v>18</v>
      </c>
      <c r="D56" s="2907"/>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2908" t="s">
        <v>2905</v>
      </c>
      <c r="B57" s="186"/>
      <c r="C57" s="1979">
        <v>12</v>
      </c>
      <c r="D57" s="2907"/>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2908" t="s">
        <v>2906</v>
      </c>
      <c r="B58" s="186"/>
      <c r="C58" s="1979">
        <v>3</v>
      </c>
      <c r="D58" s="2907"/>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2908" t="s">
        <v>2907</v>
      </c>
      <c r="B59" s="186">
        <v>1.5</v>
      </c>
      <c r="C59" s="1979">
        <v>1.5</v>
      </c>
      <c r="D59" s="2907"/>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2908" t="s">
        <v>2908</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2908" t="s">
        <v>2909</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2908" t="s">
        <v>2910</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2909" t="s">
        <v>2911</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phoneticPr fontId="3" type="noConversion"/>
  <conditionalFormatting sqref="T6:T15">
    <cfRule type="containsText" dxfId="168" priority="12" stopIfTrue="1" operator="containsText" text="自行计算">
      <formula>NOT(ISERROR(SEARCH("自行计算",T6)))</formula>
    </cfRule>
    <cfRule type="containsText" dxfId="167" priority="13" stopIfTrue="1" operator="containsText" text="自行计算">
      <formula>NOT(ISERROR(SEARCH("自行计算",T6)))</formula>
    </cfRule>
  </conditionalFormatting>
  <conditionalFormatting sqref="T6:T13">
    <cfRule type="containsText" dxfId="166" priority="10" stopIfTrue="1" operator="containsText" text="自行计算">
      <formula>NOT(ISERROR(SEARCH("自行计算",T6)))</formula>
    </cfRule>
    <cfRule type="containsText" dxfId="165" priority="11" stopIfTrue="1" operator="containsText" text="自行计算">
      <formula>NOT(ISERROR(SEARCH("自行计算",T6)))</formula>
    </cfRule>
  </conditionalFormatting>
  <conditionalFormatting sqref="T12:T13">
    <cfRule type="containsText" dxfId="164" priority="4" stopIfTrue="1" operator="containsText" text="自行计算">
      <formula>NOT(ISERROR(SEARCH("自行计算",T12)))</formula>
    </cfRule>
    <cfRule type="containsText" dxfId="163" priority="5" stopIfTrue="1" operator="containsText" text="自行计算">
      <formula>NOT(ISERROR(SEARCH("自行计算",T12)))</formula>
    </cfRule>
  </conditionalFormatting>
  <conditionalFormatting sqref="T12:T13">
    <cfRule type="containsText" dxfId="162" priority="2" stopIfTrue="1" operator="containsText" text="自行计算">
      <formula>NOT(ISERROR(SEARCH("自行计算",T12)))</formula>
    </cfRule>
    <cfRule type="containsText" dxfId="161" priority="3" stopIfTrue="1" operator="containsText" text="自行计算">
      <formula>NOT(ISERROR(SEARCH("自行计算",T12)))</formula>
    </cfRule>
  </conditionalFormatting>
  <conditionalFormatting sqref="T6:T15">
    <cfRule type="expression" dxfId="160"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75" style="2009" customWidth="1"/>
    <col min="10" max="10" width="2.625" style="2010" customWidth="1"/>
    <col min="11" max="11" width="11.875" style="2008" customWidth="1"/>
    <col min="12" max="12" width="16.75" style="2009" customWidth="1"/>
    <col min="13" max="13" width="2.625" style="2010" customWidth="1"/>
    <col min="14" max="14" width="11.875" style="2008" customWidth="1"/>
    <col min="15" max="15" width="16.75" style="2009" customWidth="1"/>
    <col min="16" max="16" width="2.625" style="2010" customWidth="1"/>
    <col min="17" max="17" width="11.875" style="2008" customWidth="1"/>
    <col min="18" max="18" width="16.75" style="2011" customWidth="1"/>
    <col min="19" max="16384" width="9" style="1993"/>
  </cols>
  <sheetData>
    <row r="1" spans="1:18" s="1992" customFormat="1" ht="19.5" thickBot="1">
      <c r="A1" s="3312" t="s">
        <v>1663</v>
      </c>
      <c r="B1" s="3313"/>
      <c r="C1" s="3313"/>
      <c r="D1" s="3313"/>
      <c r="E1" s="3313"/>
      <c r="F1" s="3313"/>
      <c r="G1" s="3313"/>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2910" t="s">
        <v>2918</v>
      </c>
      <c r="D3" s="1994"/>
      <c r="E3" s="1225" t="s">
        <v>1666</v>
      </c>
      <c r="F3" s="1226" t="s">
        <v>1654</v>
      </c>
      <c r="G3" s="2914" t="s">
        <v>2917</v>
      </c>
      <c r="H3" s="1993"/>
      <c r="I3" s="1993"/>
      <c r="J3" s="1993"/>
      <c r="K3" s="1993"/>
      <c r="L3" s="1993"/>
      <c r="M3" s="1993"/>
      <c r="N3" s="1993"/>
      <c r="O3" s="1993"/>
      <c r="P3" s="1993"/>
      <c r="Q3" s="1993"/>
      <c r="R3" s="1993"/>
    </row>
    <row r="4" spans="1:18" ht="41.25">
      <c r="A4" s="1225"/>
      <c r="B4" s="1227" t="s">
        <v>1667</v>
      </c>
      <c r="C4" s="2911" t="s">
        <v>2919</v>
      </c>
      <c r="D4" s="1994"/>
      <c r="E4" s="1228"/>
      <c r="F4" s="1229" t="s">
        <v>1668</v>
      </c>
      <c r="G4" s="2912" t="s">
        <v>2914</v>
      </c>
      <c r="H4" s="1993"/>
      <c r="I4" s="1993"/>
      <c r="J4" s="1993"/>
      <c r="K4" s="1993"/>
      <c r="L4" s="1993"/>
      <c r="M4" s="1993"/>
      <c r="N4" s="1993"/>
      <c r="O4" s="1993"/>
      <c r="P4" s="1993"/>
      <c r="Q4" s="1993"/>
      <c r="R4" s="1993"/>
    </row>
    <row r="5" spans="1:18" ht="41.25">
      <c r="A5" s="1225"/>
      <c r="B5" s="1227" t="s">
        <v>1669</v>
      </c>
      <c r="C5" s="2911" t="s">
        <v>2920</v>
      </c>
      <c r="D5" s="1994"/>
      <c r="E5" s="1228"/>
      <c r="F5" s="1227" t="s">
        <v>2543</v>
      </c>
      <c r="G5" s="2912" t="s">
        <v>2915</v>
      </c>
      <c r="H5" s="1993"/>
      <c r="I5" s="1993"/>
      <c r="J5" s="1993"/>
      <c r="K5" s="1993"/>
      <c r="L5" s="1993"/>
      <c r="M5" s="1993"/>
      <c r="N5" s="1993"/>
      <c r="O5" s="1993"/>
      <c r="P5" s="1993"/>
      <c r="Q5" s="1993"/>
      <c r="R5" s="1993"/>
    </row>
    <row r="6" spans="1:18" ht="54">
      <c r="A6" s="1225"/>
      <c r="B6" s="1227" t="s">
        <v>1655</v>
      </c>
      <c r="C6" s="2912" t="s">
        <v>2914</v>
      </c>
      <c r="D6" s="1994"/>
      <c r="E6" s="1228"/>
      <c r="F6" s="1227" t="s">
        <v>2544</v>
      </c>
      <c r="G6" s="2912" t="s">
        <v>2912</v>
      </c>
      <c r="H6" s="1993"/>
      <c r="I6" s="1993"/>
      <c r="J6" s="1993"/>
      <c r="K6" s="1993"/>
      <c r="L6" s="1993"/>
      <c r="M6" s="1993"/>
      <c r="N6" s="1993"/>
      <c r="O6" s="1993"/>
      <c r="P6" s="1993"/>
      <c r="Q6" s="1993"/>
      <c r="R6" s="1993"/>
    </row>
    <row r="7" spans="1:18" ht="41.25" thickBot="1">
      <c r="A7" s="1225"/>
      <c r="B7" s="1227" t="s">
        <v>2543</v>
      </c>
      <c r="C7" s="2912" t="s">
        <v>2915</v>
      </c>
      <c r="D7" s="1995"/>
      <c r="E7" s="1230"/>
      <c r="F7" s="1231" t="s">
        <v>1670</v>
      </c>
      <c r="G7" s="2915" t="s">
        <v>2916</v>
      </c>
      <c r="H7" s="1993"/>
      <c r="I7" s="1993"/>
      <c r="J7" s="1993"/>
      <c r="K7" s="1993"/>
      <c r="L7" s="1993"/>
      <c r="M7" s="1993"/>
      <c r="N7" s="1993"/>
      <c r="O7" s="1993"/>
      <c r="P7" s="1993"/>
      <c r="Q7" s="1993"/>
      <c r="R7" s="1993"/>
    </row>
    <row r="8" spans="1:18" ht="27">
      <c r="A8" s="1225"/>
      <c r="B8" s="1227" t="s">
        <v>2544</v>
      </c>
      <c r="C8" s="2912" t="s">
        <v>2912</v>
      </c>
      <c r="D8" s="1995"/>
      <c r="E8" s="1995"/>
      <c r="F8" s="1540"/>
      <c r="G8" s="1540"/>
      <c r="H8" s="1993"/>
      <c r="I8" s="1993"/>
      <c r="J8" s="1993"/>
      <c r="K8" s="1993"/>
      <c r="L8" s="1993"/>
      <c r="M8" s="1993"/>
      <c r="N8" s="1993"/>
      <c r="O8" s="1993"/>
      <c r="P8" s="1993"/>
      <c r="Q8" s="1993"/>
      <c r="R8" s="1993"/>
    </row>
    <row r="9" spans="1:18" ht="40.5">
      <c r="A9" s="1225"/>
      <c r="B9" s="1227" t="s">
        <v>1656</v>
      </c>
      <c r="C9" s="2911" t="s">
        <v>2913</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2913"/>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635"/>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635"/>
      <c r="D19" s="1994"/>
      <c r="E19" s="2550"/>
      <c r="F19" s="1227" t="s">
        <v>2543</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2544</v>
      </c>
      <c r="G20" s="1005" t="str">
        <f>G6</f>
        <v>估价对象所在区域基础设施水平</v>
      </c>
    </row>
    <row r="21" spans="1:7" ht="27">
      <c r="A21" s="2553"/>
      <c r="B21" s="1227" t="s">
        <v>2543</v>
      </c>
      <c r="C21" s="1005" t="str">
        <f>C7</f>
        <v>估价对象所在区域公共配套设施齐备情况</v>
      </c>
      <c r="D21" s="1994"/>
      <c r="E21" s="2550"/>
      <c r="F21" s="1243" t="s">
        <v>1661</v>
      </c>
      <c r="G21" s="2916"/>
    </row>
    <row r="22" spans="1:7" ht="27">
      <c r="A22" s="2553"/>
      <c r="B22" s="1227" t="s">
        <v>2544</v>
      </c>
      <c r="C22" s="1005" t="str">
        <f>C8</f>
        <v>估价对象所在区域基础设施水平</v>
      </c>
      <c r="D22" s="1994"/>
      <c r="E22" s="2550"/>
      <c r="F22" s="1243" t="s">
        <v>1671</v>
      </c>
      <c r="G22" s="2635"/>
    </row>
    <row r="23" spans="1:7" ht="15" thickBot="1">
      <c r="A23" s="2553"/>
      <c r="B23" s="1243" t="s">
        <v>1661</v>
      </c>
      <c r="C23" s="2916"/>
      <c r="E23" s="2551"/>
      <c r="F23" s="1244" t="s">
        <v>1675</v>
      </c>
      <c r="G23" s="2917"/>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D20" sqref="D20"/>
    </sheetView>
  </sheetViews>
  <sheetFormatPr defaultColWidth="14.625" defaultRowHeight="13.5"/>
  <cols>
    <col min="1" max="1" width="24.375" style="3037" customWidth="1"/>
    <col min="2" max="16384" width="14.625" style="3037"/>
  </cols>
  <sheetData>
    <row r="1" spans="1:9" ht="16.5">
      <c r="A1" s="3038" t="s">
        <v>2839</v>
      </c>
      <c r="B1" s="3038">
        <f>SUM(B14:B23)</f>
        <v>17100</v>
      </c>
      <c r="C1" s="3036"/>
      <c r="D1" s="3036"/>
      <c r="E1" s="3036"/>
      <c r="F1" s="3036"/>
    </row>
    <row r="2" spans="1:9" ht="16.5">
      <c r="A2" s="3038" t="s">
        <v>2840</v>
      </c>
      <c r="B2" s="3038">
        <f>SUM(C14:C23)</f>
        <v>5500</v>
      </c>
      <c r="C2" s="3036"/>
      <c r="D2" s="3036"/>
      <c r="E2" s="3036"/>
      <c r="F2" s="3036"/>
    </row>
    <row r="3" spans="1:9" ht="16.5">
      <c r="A3" s="3038" t="s">
        <v>2841</v>
      </c>
      <c r="B3" s="3039">
        <f>项目基本情况!D3</f>
        <v>44012</v>
      </c>
      <c r="C3" s="3036"/>
      <c r="D3" s="3036"/>
      <c r="E3" s="3036"/>
      <c r="F3" s="3036"/>
    </row>
    <row r="4" spans="1:9" ht="33">
      <c r="A4" s="3038" t="s">
        <v>2842</v>
      </c>
      <c r="B4" s="3038" t="s">
        <v>2843</v>
      </c>
      <c r="C4" s="3038" t="s">
        <v>2844</v>
      </c>
      <c r="D4" s="3038" t="s">
        <v>2845</v>
      </c>
      <c r="E4" s="3036"/>
      <c r="F4" s="3036"/>
    </row>
    <row r="5" spans="1:9" ht="16.5">
      <c r="A5" s="3038" t="s">
        <v>2846</v>
      </c>
      <c r="B5" s="3038">
        <f ca="1">SUM(D14:D23)</f>
        <v>15530.22</v>
      </c>
      <c r="C5" s="3038">
        <f ca="1">ROUND(B5*10000/$B$1,0)</f>
        <v>9082</v>
      </c>
      <c r="D5" s="3038">
        <f ca="1">ROUND(B5*10000/$B$2,0)</f>
        <v>28237</v>
      </c>
      <c r="E5" s="3036"/>
      <c r="F5" s="3036"/>
    </row>
    <row r="6" spans="1:9" ht="16.5">
      <c r="A6" s="3038" t="s">
        <v>2847</v>
      </c>
      <c r="B6" s="3038">
        <f>SUM(G14:G23)</f>
        <v>0</v>
      </c>
      <c r="C6" s="3038">
        <f t="shared" ref="C6:C8" si="0">ROUND(B6*10000/$B$1,0)</f>
        <v>0</v>
      </c>
      <c r="D6" s="3038">
        <f t="shared" ref="D6:D8" si="1">ROUND(B6*10000/$B$2,0)</f>
        <v>0</v>
      </c>
      <c r="E6" s="3036"/>
      <c r="F6" s="3036"/>
    </row>
    <row r="7" spans="1:9" ht="16.5">
      <c r="A7" s="3038" t="s">
        <v>2848</v>
      </c>
      <c r="B7" s="3038">
        <f>SUM(H14:H23)</f>
        <v>0</v>
      </c>
      <c r="C7" s="3038">
        <f t="shared" si="0"/>
        <v>0</v>
      </c>
      <c r="D7" s="3038">
        <f t="shared" si="1"/>
        <v>0</v>
      </c>
      <c r="E7" s="3036"/>
      <c r="F7" s="3036"/>
    </row>
    <row r="8" spans="1:9" ht="16.5">
      <c r="A8" s="3038" t="s">
        <v>2849</v>
      </c>
      <c r="B8" s="3038">
        <f>SUM(I14:I23)</f>
        <v>0</v>
      </c>
      <c r="C8" s="3038">
        <f t="shared" si="0"/>
        <v>0</v>
      </c>
      <c r="D8" s="3038">
        <f t="shared" si="1"/>
        <v>0</v>
      </c>
      <c r="E8" s="3036"/>
      <c r="F8" s="3036"/>
    </row>
    <row r="9" spans="1:9" ht="16.5">
      <c r="A9" s="3038" t="s">
        <v>2850</v>
      </c>
      <c r="B9" s="2880"/>
      <c r="C9" s="3036"/>
      <c r="D9" s="3036"/>
      <c r="E9" s="3036"/>
      <c r="F9" s="3036"/>
    </row>
    <row r="10" spans="1:9" ht="16.5">
      <c r="A10" s="3038" t="s">
        <v>2851</v>
      </c>
      <c r="B10" s="2880"/>
      <c r="C10" s="3036"/>
      <c r="D10" s="3036"/>
      <c r="E10" s="3036"/>
      <c r="F10" s="3036"/>
    </row>
    <row r="11" spans="1:9" ht="16.5">
      <c r="A11" s="3038" t="s">
        <v>2868</v>
      </c>
      <c r="B11" s="2880"/>
      <c r="C11" s="3036"/>
      <c r="D11" s="3036"/>
      <c r="E11" s="3036"/>
      <c r="F11" s="3036"/>
    </row>
    <row r="12" spans="1:9" ht="16.5">
      <c r="A12" s="3036"/>
      <c r="B12" s="3036"/>
      <c r="C12" s="3036"/>
      <c r="D12" s="3036"/>
      <c r="E12" s="3036"/>
      <c r="F12" s="3036"/>
    </row>
    <row r="13" spans="1:9" ht="33">
      <c r="A13" s="3040" t="s">
        <v>2867</v>
      </c>
      <c r="B13" s="3041" t="s">
        <v>2839</v>
      </c>
      <c r="C13" s="3041" t="s">
        <v>2840</v>
      </c>
      <c r="D13" s="3041" t="s">
        <v>2852</v>
      </c>
      <c r="E13" s="3038" t="s">
        <v>2866</v>
      </c>
      <c r="F13" s="3038" t="s">
        <v>2845</v>
      </c>
      <c r="G13" s="3041" t="s">
        <v>2853</v>
      </c>
      <c r="H13" s="3041" t="s">
        <v>2854</v>
      </c>
      <c r="I13" s="3041" t="s">
        <v>2855</v>
      </c>
    </row>
    <row r="14" spans="1:9" ht="16.5">
      <c r="A14" s="3042" t="s">
        <v>2865</v>
      </c>
      <c r="B14" s="3043">
        <f>结果表!L38</f>
        <v>17100</v>
      </c>
      <c r="C14" s="3043">
        <f>结果表!K38</f>
        <v>5500</v>
      </c>
      <c r="D14" s="3043">
        <f ca="1">结果汇总表!D3</f>
        <v>15530.22</v>
      </c>
      <c r="E14" s="3041">
        <f ca="1">ROUND(D14*10000/B14,0)</f>
        <v>9082</v>
      </c>
      <c r="F14" s="3041">
        <f ca="1">ROUND(D14*10000/C14,0)</f>
        <v>28237</v>
      </c>
      <c r="G14" s="3043" t="str">
        <f>结果表!C44</f>
        <v>——</v>
      </c>
      <c r="H14" s="3043" t="str">
        <f>结果表!C45</f>
        <v>——</v>
      </c>
      <c r="I14" s="3043" t="str">
        <f>结果表!C46</f>
        <v>——</v>
      </c>
    </row>
    <row r="15" spans="1:9" ht="16.5">
      <c r="A15" s="3042" t="s">
        <v>2856</v>
      </c>
      <c r="B15" s="2882"/>
      <c r="C15" s="2882"/>
      <c r="D15" s="2882"/>
      <c r="E15" s="3041" t="e">
        <f t="shared" ref="E15:E23" si="2">ROUND(D15*10000/B15,0)</f>
        <v>#DIV/0!</v>
      </c>
      <c r="F15" s="3041" t="e">
        <f t="shared" ref="F15:F23" si="3">ROUND(D15*10000/C15,0)</f>
        <v>#DIV/0!</v>
      </c>
      <c r="G15" s="2881"/>
      <c r="H15" s="2881"/>
      <c r="I15" s="2882"/>
    </row>
    <row r="16" spans="1:9" ht="16.5">
      <c r="A16" s="3042" t="s">
        <v>2857</v>
      </c>
      <c r="B16" s="2882"/>
      <c r="C16" s="2882"/>
      <c r="D16" s="2882"/>
      <c r="E16" s="3041" t="e">
        <f t="shared" si="2"/>
        <v>#DIV/0!</v>
      </c>
      <c r="F16" s="3041" t="e">
        <f t="shared" si="3"/>
        <v>#DIV/0!</v>
      </c>
      <c r="G16" s="2881"/>
      <c r="H16" s="2881"/>
      <c r="I16" s="2882"/>
    </row>
    <row r="17" spans="1:9" ht="16.5">
      <c r="A17" s="3042" t="s">
        <v>2858</v>
      </c>
      <c r="B17" s="2882"/>
      <c r="C17" s="2882"/>
      <c r="D17" s="2882"/>
      <c r="E17" s="3041" t="e">
        <f t="shared" si="2"/>
        <v>#DIV/0!</v>
      </c>
      <c r="F17" s="3041" t="e">
        <f t="shared" si="3"/>
        <v>#DIV/0!</v>
      </c>
      <c r="G17" s="2881"/>
      <c r="H17" s="2881"/>
      <c r="I17" s="2882"/>
    </row>
    <row r="18" spans="1:9" ht="16.5">
      <c r="A18" s="3042" t="s">
        <v>2859</v>
      </c>
      <c r="B18" s="2882"/>
      <c r="C18" s="2882"/>
      <c r="D18" s="2882"/>
      <c r="E18" s="3041" t="e">
        <f t="shared" si="2"/>
        <v>#DIV/0!</v>
      </c>
      <c r="F18" s="3041" t="e">
        <f t="shared" si="3"/>
        <v>#DIV/0!</v>
      </c>
      <c r="G18" s="2882"/>
      <c r="H18" s="2882"/>
      <c r="I18" s="2882"/>
    </row>
    <row r="19" spans="1:9" ht="16.5">
      <c r="A19" s="3042" t="s">
        <v>2860</v>
      </c>
      <c r="B19" s="2882"/>
      <c r="C19" s="2882"/>
      <c r="D19" s="2882"/>
      <c r="E19" s="3041" t="e">
        <f t="shared" si="2"/>
        <v>#DIV/0!</v>
      </c>
      <c r="F19" s="3041" t="e">
        <f t="shared" si="3"/>
        <v>#DIV/0!</v>
      </c>
      <c r="G19" s="2882"/>
      <c r="H19" s="2882"/>
      <c r="I19" s="2882"/>
    </row>
    <row r="20" spans="1:9" ht="16.5">
      <c r="A20" s="3042" t="s">
        <v>2861</v>
      </c>
      <c r="B20" s="2882"/>
      <c r="C20" s="2882"/>
      <c r="D20" s="2882"/>
      <c r="E20" s="3041" t="e">
        <f t="shared" si="2"/>
        <v>#DIV/0!</v>
      </c>
      <c r="F20" s="3041" t="e">
        <f t="shared" si="3"/>
        <v>#DIV/0!</v>
      </c>
      <c r="G20" s="2882"/>
      <c r="H20" s="2882"/>
      <c r="I20" s="2882"/>
    </row>
    <row r="21" spans="1:9" ht="16.5">
      <c r="A21" s="3042" t="s">
        <v>2862</v>
      </c>
      <c r="B21" s="2882"/>
      <c r="C21" s="2882"/>
      <c r="D21" s="2882"/>
      <c r="E21" s="3041" t="e">
        <f t="shared" si="2"/>
        <v>#DIV/0!</v>
      </c>
      <c r="F21" s="3041" t="e">
        <f t="shared" si="3"/>
        <v>#DIV/0!</v>
      </c>
      <c r="G21" s="2882"/>
      <c r="H21" s="2882"/>
      <c r="I21" s="2882"/>
    </row>
    <row r="22" spans="1:9" ht="16.5">
      <c r="A22" s="3042" t="s">
        <v>2863</v>
      </c>
      <c r="B22" s="2882"/>
      <c r="C22" s="2882"/>
      <c r="D22" s="2882"/>
      <c r="E22" s="3041" t="e">
        <f t="shared" si="2"/>
        <v>#DIV/0!</v>
      </c>
      <c r="F22" s="3041" t="e">
        <f t="shared" si="3"/>
        <v>#DIV/0!</v>
      </c>
      <c r="G22" s="2882"/>
      <c r="H22" s="2882"/>
      <c r="I22" s="2882"/>
    </row>
    <row r="23" spans="1:9" ht="16.5">
      <c r="A23" s="3042" t="s">
        <v>2864</v>
      </c>
      <c r="B23" s="2882"/>
      <c r="C23" s="2882"/>
      <c r="D23" s="2882"/>
      <c r="E23" s="3038" t="e">
        <f t="shared" si="2"/>
        <v>#DIV/0!</v>
      </c>
      <c r="F23" s="3038" t="e">
        <f t="shared" si="3"/>
        <v>#DIV/0!</v>
      </c>
      <c r="G23" s="2882"/>
      <c r="H23" s="2882"/>
      <c r="I23" s="2882"/>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O8"/>
  <sheetViews>
    <sheetView tabSelected="1" workbookViewId="0">
      <selection activeCell="N3" sqref="N3"/>
    </sheetView>
  </sheetViews>
  <sheetFormatPr defaultRowHeight="13.5"/>
  <cols>
    <col min="1" max="1" width="12.5" style="3216" customWidth="1"/>
    <col min="2" max="2" width="10.125" style="3216" customWidth="1"/>
    <col min="3" max="3" width="7.375" style="3216" customWidth="1"/>
    <col min="4" max="4" width="7.5" style="3216" customWidth="1"/>
    <col min="5" max="5" width="7.125" style="3216" customWidth="1"/>
    <col min="6" max="6" width="14.25" style="3216" customWidth="1"/>
    <col min="7" max="7" width="7.25" style="3216" customWidth="1"/>
    <col min="8" max="8" width="15.5" style="3216" customWidth="1"/>
    <col min="9" max="16384" width="9" style="3216"/>
  </cols>
  <sheetData>
    <row r="1" spans="1:15">
      <c r="A1" s="3215" t="s">
        <v>3071</v>
      </c>
    </row>
    <row r="2" spans="1:15" ht="27">
      <c r="A2" s="3217" t="s">
        <v>2866</v>
      </c>
      <c r="B2" s="3217" t="s">
        <v>3062</v>
      </c>
      <c r="C2" s="3217" t="s">
        <v>3072</v>
      </c>
      <c r="D2" s="3217" t="s">
        <v>3073</v>
      </c>
      <c r="E2" s="3217" t="s">
        <v>3072</v>
      </c>
      <c r="F2" s="3217" t="s">
        <v>3074</v>
      </c>
    </row>
    <row r="3" spans="1:15">
      <c r="A3" s="3218" t="s">
        <v>3075</v>
      </c>
      <c r="B3" s="3219">
        <f ca="1">B7</f>
        <v>6397</v>
      </c>
      <c r="C3" s="3219">
        <v>0.4</v>
      </c>
      <c r="D3" s="3219">
        <f ca="1">D7</f>
        <v>14177</v>
      </c>
      <c r="E3" s="3219">
        <f>1-C3</f>
        <v>0.6</v>
      </c>
      <c r="F3" s="3220">
        <f ca="1">ROUND(B3*C3+D3*E3,0)</f>
        <v>11065</v>
      </c>
    </row>
    <row r="4" spans="1:15">
      <c r="A4" s="3221" t="s">
        <v>3076</v>
      </c>
      <c r="B4" s="3222">
        <f>B8</f>
        <v>6397</v>
      </c>
      <c r="C4" s="3222">
        <f>C3</f>
        <v>0.4</v>
      </c>
      <c r="D4" s="3222">
        <f>D8</f>
        <v>11558</v>
      </c>
      <c r="E4" s="3222">
        <f>E3</f>
        <v>0.6</v>
      </c>
      <c r="F4" s="3220">
        <f>ROUND(B4*C4+D4*E4,0)</f>
        <v>9494</v>
      </c>
    </row>
    <row r="5" spans="1:15">
      <c r="A5" s="3215" t="s">
        <v>3077</v>
      </c>
      <c r="K5" s="3224"/>
      <c r="L5" s="3225" t="s">
        <v>3082</v>
      </c>
      <c r="M5" s="3225" t="s">
        <v>3083</v>
      </c>
      <c r="N5" s="3225" t="s">
        <v>3084</v>
      </c>
      <c r="O5" s="3225" t="s">
        <v>3085</v>
      </c>
    </row>
    <row r="6" spans="1:15" ht="27">
      <c r="A6" s="3217" t="s">
        <v>3079</v>
      </c>
      <c r="B6" s="3217" t="s">
        <v>3062</v>
      </c>
      <c r="C6" s="3217" t="s">
        <v>3072</v>
      </c>
      <c r="D6" s="3217" t="s">
        <v>3073</v>
      </c>
      <c r="E6" s="3217" t="s">
        <v>3072</v>
      </c>
      <c r="F6" s="3217" t="s">
        <v>3078</v>
      </c>
      <c r="G6" s="3217" t="s">
        <v>3072</v>
      </c>
      <c r="H6" s="3217" t="s">
        <v>3074</v>
      </c>
      <c r="K6" s="3225" t="s">
        <v>3080</v>
      </c>
      <c r="L6" s="3224">
        <v>3800</v>
      </c>
      <c r="M6" s="3224">
        <v>1.5</v>
      </c>
      <c r="N6" s="3224">
        <v>10</v>
      </c>
      <c r="O6" s="3224">
        <v>2.56</v>
      </c>
    </row>
    <row r="7" spans="1:15">
      <c r="A7" s="3218" t="s">
        <v>3075</v>
      </c>
      <c r="B7" s="3219">
        <f ca="1">结果汇总表!G4</f>
        <v>6397</v>
      </c>
      <c r="C7" s="3219">
        <f>结果汇总表!H4</f>
        <v>0.3</v>
      </c>
      <c r="D7" s="3219">
        <f ca="1">结果汇总表!I4</f>
        <v>14177</v>
      </c>
      <c r="E7" s="3219">
        <f>结果汇总表!J4</f>
        <v>0.4</v>
      </c>
      <c r="F7" s="3219">
        <f ca="1">结果汇总表!K4</f>
        <v>4975</v>
      </c>
      <c r="G7" s="3219">
        <f>结果汇总表!L4</f>
        <v>0.29999999999999993</v>
      </c>
      <c r="H7" s="3220">
        <f ca="1">结果汇总表!M4</f>
        <v>9082</v>
      </c>
      <c r="K7" s="3225" t="s">
        <v>3081</v>
      </c>
      <c r="L7" s="3224">
        <v>4500</v>
      </c>
      <c r="M7" s="3224">
        <v>2</v>
      </c>
      <c r="N7" s="3224">
        <v>15</v>
      </c>
      <c r="O7" s="3224">
        <v>2.48</v>
      </c>
    </row>
    <row r="8" spans="1:15">
      <c r="A8" s="3221" t="s">
        <v>3076</v>
      </c>
      <c r="B8" s="3222">
        <f>[2]结果汇总表!$G$4</f>
        <v>6397</v>
      </c>
      <c r="C8" s="3222">
        <f>C7</f>
        <v>0.3</v>
      </c>
      <c r="D8" s="3222">
        <f>[2]结果汇总表!$I$4</f>
        <v>11558</v>
      </c>
      <c r="E8" s="3222">
        <f>E7</f>
        <v>0.4</v>
      </c>
      <c r="F8" s="3222">
        <f>[2]结果汇总表!$K$4</f>
        <v>2287</v>
      </c>
      <c r="G8" s="3222">
        <f>G7</f>
        <v>0.29999999999999993</v>
      </c>
      <c r="H8" s="3223">
        <f>[2]结果汇总表!$M$4</f>
        <v>7228</v>
      </c>
    </row>
  </sheetData>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18"/>
  <sheetViews>
    <sheetView workbookViewId="0">
      <selection activeCell="F11" sqref="F11"/>
    </sheetView>
  </sheetViews>
  <sheetFormatPr defaultRowHeight="13.5"/>
  <cols>
    <col min="1" max="1" width="20" customWidth="1"/>
    <col min="2" max="2" width="14.125" customWidth="1"/>
    <col min="3" max="3" width="11.625" customWidth="1"/>
    <col min="4" max="4" width="11.875" customWidth="1"/>
    <col min="5" max="5" width="4.25" customWidth="1"/>
    <col min="6" max="6" width="14.75" customWidth="1"/>
    <col min="7" max="7" width="11.25" customWidth="1"/>
    <col min="8" max="8" width="7" customWidth="1"/>
    <col min="9" max="9" width="10.375" customWidth="1"/>
    <col min="10" max="10" width="6.625" customWidth="1"/>
    <col min="12" max="12" width="6.75" customWidth="1"/>
    <col min="13" max="13" width="10.75" bestFit="1" customWidth="1"/>
    <col min="14" max="14" width="9.625" bestFit="1" customWidth="1"/>
  </cols>
  <sheetData>
    <row r="1" spans="1:14" ht="31.5" customHeight="1">
      <c r="A1" s="3314" t="s">
        <v>3070</v>
      </c>
      <c r="B1" s="3314"/>
      <c r="C1" s="3314"/>
      <c r="D1" s="3314"/>
    </row>
    <row r="2" spans="1:14" ht="28.5">
      <c r="A2" s="3203"/>
      <c r="B2" s="3203" t="s">
        <v>3049</v>
      </c>
      <c r="C2" s="3203" t="s">
        <v>3050</v>
      </c>
      <c r="D2" s="3203" t="s">
        <v>3051</v>
      </c>
    </row>
    <row r="3" spans="1:14" ht="29.25" customHeight="1">
      <c r="A3" s="3203" t="s">
        <v>3052</v>
      </c>
      <c r="B3" s="3203">
        <f ca="1">M4</f>
        <v>9082</v>
      </c>
      <c r="C3" s="3203">
        <f>'[1]数据-基础表'!I13</f>
        <v>17100</v>
      </c>
      <c r="D3" s="3203">
        <f ca="1">B3*C3/10000</f>
        <v>15530.22</v>
      </c>
      <c r="F3" s="3209" t="s">
        <v>3064</v>
      </c>
      <c r="G3" s="3210" t="s">
        <v>3062</v>
      </c>
      <c r="H3" s="3210" t="s">
        <v>3056</v>
      </c>
      <c r="I3" s="3212" t="s">
        <v>3057</v>
      </c>
      <c r="J3" s="3212" t="s">
        <v>3056</v>
      </c>
      <c r="K3" s="3211" t="s">
        <v>3003</v>
      </c>
      <c r="L3" s="3211" t="s">
        <v>3056</v>
      </c>
      <c r="M3" s="3208" t="s">
        <v>3058</v>
      </c>
      <c r="N3" s="3208" t="s">
        <v>3059</v>
      </c>
    </row>
    <row r="4" spans="1:14" ht="30" customHeight="1">
      <c r="A4" s="3203" t="s">
        <v>3053</v>
      </c>
      <c r="B4" s="3203" t="s">
        <v>952</v>
      </c>
      <c r="C4" s="3203">
        <f>C3</f>
        <v>17100</v>
      </c>
      <c r="D4" s="3204">
        <f ca="1">D3</f>
        <v>15530.22</v>
      </c>
      <c r="F4" s="3206" t="s">
        <v>3061</v>
      </c>
      <c r="G4" s="3207">
        <f ca="1">基准地价!C29</f>
        <v>6397</v>
      </c>
      <c r="H4" s="3207">
        <v>0.3</v>
      </c>
      <c r="I4" s="3207">
        <f ca="1">'剩余法-待开发'!B3</f>
        <v>14177</v>
      </c>
      <c r="J4" s="3207">
        <v>0.4</v>
      </c>
      <c r="K4" s="3207">
        <f ca="1">收益还原法!B3</f>
        <v>4975</v>
      </c>
      <c r="L4" s="3207">
        <f>1-H4-J4</f>
        <v>0.29999999999999993</v>
      </c>
      <c r="M4" s="3207">
        <f ca="1">ROUND(G4*H4+I4*J4+K4*L4,0)</f>
        <v>9082</v>
      </c>
      <c r="N4" s="3207">
        <f ca="1">ROUND(M4*0.25,0)</f>
        <v>2271</v>
      </c>
    </row>
    <row r="5" spans="1:14" ht="28.5">
      <c r="A5" s="3205"/>
      <c r="B5" s="3205"/>
      <c r="C5" s="3205"/>
      <c r="D5" s="3205"/>
      <c r="F5" s="3209" t="s">
        <v>3063</v>
      </c>
      <c r="G5" s="3210" t="s">
        <v>2947</v>
      </c>
      <c r="H5" s="3210" t="s">
        <v>3056</v>
      </c>
      <c r="I5" s="3212" t="s">
        <v>3057</v>
      </c>
      <c r="J5" s="3212" t="s">
        <v>3056</v>
      </c>
      <c r="K5" s="3211" t="s">
        <v>3003</v>
      </c>
      <c r="L5" s="3211" t="s">
        <v>3056</v>
      </c>
      <c r="M5" s="3208" t="s">
        <v>3060</v>
      </c>
      <c r="N5" s="3208" t="s">
        <v>3059</v>
      </c>
    </row>
    <row r="6" spans="1:14" ht="28.5">
      <c r="A6" s="3203"/>
      <c r="B6" s="3203" t="s">
        <v>3049</v>
      </c>
      <c r="C6" s="3203" t="s">
        <v>3050</v>
      </c>
      <c r="D6" s="3203" t="s">
        <v>3051</v>
      </c>
      <c r="F6" s="3206" t="str">
        <f>F4</f>
        <v>商务用地</v>
      </c>
      <c r="G6" s="3207">
        <f ca="1">ROUND(C3*G4/10000,2)</f>
        <v>10938.87</v>
      </c>
      <c r="H6" s="3207">
        <f>H4</f>
        <v>0.3</v>
      </c>
      <c r="I6" s="3207">
        <f ca="1">ROUND(I4*C3/10000,2)</f>
        <v>24242.67</v>
      </c>
      <c r="J6" s="3207">
        <f>J4</f>
        <v>0.4</v>
      </c>
      <c r="K6" s="3207">
        <f ca="1">ROUND(K4*C3/10000,2)</f>
        <v>8507.25</v>
      </c>
      <c r="L6" s="3207">
        <f>L4</f>
        <v>0.29999999999999993</v>
      </c>
      <c r="M6" s="3207">
        <f ca="1">ROUND(G6*H6+I6*J6+K6*L6,2)</f>
        <v>15530.9</v>
      </c>
      <c r="N6" s="3207">
        <f ca="1">ROUND(N4*C3/10000,2)</f>
        <v>3883.41</v>
      </c>
    </row>
    <row r="7" spans="1:14" ht="45.75" customHeight="1">
      <c r="A7" s="3203" t="s">
        <v>3054</v>
      </c>
      <c r="B7" s="3203">
        <f ca="1">ROUND(B3*0.25,0)</f>
        <v>2271</v>
      </c>
      <c r="C7" s="3203">
        <f>C3</f>
        <v>17100</v>
      </c>
      <c r="D7" s="3203">
        <f ca="1">B7*C7/10000</f>
        <v>3883.41</v>
      </c>
    </row>
    <row r="8" spans="1:14" ht="30.75" customHeight="1">
      <c r="A8" s="3203" t="s">
        <v>3055</v>
      </c>
      <c r="B8" s="3203" t="s">
        <v>952</v>
      </c>
      <c r="C8" s="3203">
        <f>C4</f>
        <v>17100</v>
      </c>
      <c r="D8" s="3204">
        <f ca="1">D7</f>
        <v>3883.41</v>
      </c>
    </row>
    <row r="10" spans="1:14" ht="16.5" customHeight="1"/>
    <row r="17" spans="1:3">
      <c r="A17" s="3214"/>
    </row>
    <row r="18" spans="1:3">
      <c r="B18" s="3214"/>
      <c r="C18" s="3214"/>
    </row>
  </sheetData>
  <mergeCells count="1">
    <mergeCell ref="A1:D1"/>
  </mergeCells>
  <phoneticPr fontId="228"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23" zoomScaleNormal="100" zoomScaleSheetLayoutView="100" zoomScalePageLayoutView="80" workbookViewId="0">
      <selection activeCell="A63" sqref="A63:XFD115"/>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1" t="s">
        <v>2053</v>
      </c>
      <c r="B1" s="1762"/>
      <c r="C1" s="1790" t="s">
        <v>2054</v>
      </c>
      <c r="D1" s="1791"/>
      <c r="E1" s="1790" t="s">
        <v>2055</v>
      </c>
      <c r="F1" s="1792"/>
      <c r="G1" s="311"/>
      <c r="H1" s="311"/>
      <c r="I1" s="311"/>
      <c r="J1" s="2014"/>
      <c r="K1" s="2014"/>
      <c r="L1" s="2014"/>
      <c r="M1" s="2014"/>
      <c r="N1" s="2014"/>
      <c r="O1" s="2014"/>
      <c r="P1" s="2014"/>
      <c r="Q1" s="2014"/>
      <c r="R1" s="2014"/>
      <c r="S1" s="2014"/>
      <c r="T1" s="2014"/>
      <c r="U1" s="2014"/>
      <c r="V1" s="2014"/>
    </row>
    <row r="2" spans="1:22" ht="21.75" customHeight="1" thickBot="1">
      <c r="A2" s="3351" t="str">
        <f>项目基本情况!K2</f>
        <v>北京市出让国有建设用地使用权</v>
      </c>
      <c r="B2" s="3352"/>
      <c r="C2" s="3353"/>
      <c r="D2" s="3353"/>
      <c r="E2" s="3353"/>
      <c r="F2" s="3353"/>
      <c r="G2" s="3352"/>
      <c r="H2" s="3352"/>
      <c r="I2" s="3354"/>
      <c r="J2" s="2015"/>
      <c r="K2" s="2014"/>
      <c r="L2" s="2014"/>
      <c r="M2" s="2014"/>
      <c r="N2" s="2014"/>
      <c r="O2" s="2014"/>
      <c r="P2" s="2014"/>
      <c r="Q2" s="2014"/>
      <c r="R2" s="2014"/>
      <c r="S2" s="2014"/>
      <c r="T2" s="2014"/>
      <c r="U2" s="2014"/>
      <c r="V2" s="2014"/>
    </row>
    <row r="3" spans="1:22" ht="14.25">
      <c r="A3" s="3344" t="s">
        <v>298</v>
      </c>
      <c r="B3" s="3345"/>
      <c r="C3" s="3345"/>
      <c r="D3" s="3345"/>
      <c r="E3" s="3345"/>
      <c r="F3" s="3345"/>
      <c r="G3" s="3345"/>
      <c r="H3" s="3345"/>
      <c r="I3" s="3345"/>
      <c r="J3" s="2015"/>
      <c r="K3" s="2014"/>
      <c r="L3" s="2014"/>
      <c r="M3" s="2014"/>
      <c r="N3" s="2014"/>
      <c r="O3" s="2014"/>
      <c r="P3" s="2014"/>
      <c r="Q3" s="2014"/>
      <c r="R3" s="2014"/>
      <c r="S3" s="2014"/>
      <c r="T3" s="2014"/>
      <c r="U3" s="2014"/>
      <c r="V3" s="2014"/>
    </row>
    <row r="4" spans="1:22" ht="14.25">
      <c r="A4" s="258" t="s">
        <v>299</v>
      </c>
      <c r="B4" s="259" t="s">
        <v>300</v>
      </c>
      <c r="C4" s="260"/>
      <c r="D4" s="260"/>
      <c r="E4" s="3316" t="s">
        <v>301</v>
      </c>
      <c r="F4" s="3317"/>
      <c r="G4" s="3317"/>
      <c r="H4" s="3317"/>
      <c r="I4" s="3346"/>
      <c r="J4" s="2015"/>
      <c r="K4" s="2014"/>
      <c r="L4" s="948" t="str">
        <f>IF(ISNUMBER(FIND("比较法",C4)),"比较法",IF(ISNUMBER(FIND("成本法",C4)),"成本法",IF(ISNUMBER(FIND("剩余法",C4)),"剩余法",IF(ISNUMBER(FIND("收益法",C4)),"收益法","基准地价系数修正法"))))</f>
        <v>基准地价系数修正法</v>
      </c>
      <c r="M4" s="948" t="str">
        <f>IF(ISNUMBER(FIND("比较法",D4)),"比较法",IF(ISNUMBER(FIND("成本法",D4)),"成本法",IF(ISNUMBER(FIND("剩余法",D4)),"剩余法",IF(ISNUMBER(FIND("收益法",D4)),"收益法","基准地价系数修正法"))))</f>
        <v>基准地价系数修正法</v>
      </c>
      <c r="N4" s="2014"/>
      <c r="O4" s="2014"/>
      <c r="P4" s="2014"/>
      <c r="Q4" s="2014"/>
      <c r="R4" s="2014"/>
      <c r="S4" s="2014"/>
      <c r="T4" s="2014"/>
      <c r="U4" s="2014"/>
      <c r="V4" s="2014"/>
    </row>
    <row r="5" spans="1:22" ht="14.25">
      <c r="A5" s="3315" t="s">
        <v>302</v>
      </c>
      <c r="B5" s="3341">
        <v>25</v>
      </c>
      <c r="C5" s="3339"/>
      <c r="D5" s="3343"/>
      <c r="E5" s="261" t="s">
        <v>303</v>
      </c>
      <c r="F5" s="262"/>
      <c r="G5" s="262"/>
      <c r="H5" s="262"/>
      <c r="I5" s="263"/>
      <c r="J5" s="2015"/>
      <c r="K5" s="2014"/>
      <c r="L5" s="2014"/>
      <c r="M5" s="2014"/>
      <c r="N5" s="2014"/>
      <c r="O5" s="2014"/>
      <c r="P5" s="2014"/>
      <c r="Q5" s="2014"/>
      <c r="R5" s="2014"/>
      <c r="S5" s="2014"/>
      <c r="T5" s="2014"/>
      <c r="U5" s="2014"/>
      <c r="V5" s="2014"/>
    </row>
    <row r="6" spans="1:22" ht="14.25">
      <c r="A6" s="3315"/>
      <c r="B6" s="3341"/>
      <c r="C6" s="3342"/>
      <c r="D6" s="3343"/>
      <c r="E6" s="261" t="s">
        <v>304</v>
      </c>
      <c r="F6" s="262"/>
      <c r="G6" s="262"/>
      <c r="H6" s="262"/>
      <c r="I6" s="263"/>
      <c r="J6" s="2015"/>
      <c r="K6" s="2014"/>
      <c r="L6" s="2014"/>
      <c r="M6" s="2014"/>
      <c r="N6" s="2014"/>
      <c r="O6" s="2014"/>
      <c r="P6" s="2014"/>
      <c r="Q6" s="2014"/>
      <c r="R6" s="2014"/>
      <c r="S6" s="2014"/>
      <c r="T6" s="2014"/>
      <c r="U6" s="2014"/>
      <c r="V6" s="2014"/>
    </row>
    <row r="7" spans="1:22" ht="14.25">
      <c r="A7" s="3315"/>
      <c r="B7" s="3341"/>
      <c r="C7" s="3340"/>
      <c r="D7" s="3343"/>
      <c r="E7" s="261" t="s">
        <v>305</v>
      </c>
      <c r="F7" s="262"/>
      <c r="G7" s="262"/>
      <c r="H7" s="262"/>
      <c r="I7" s="263"/>
      <c r="J7" s="2015"/>
      <c r="K7" s="2014"/>
      <c r="L7" s="2014"/>
      <c r="M7" s="2014"/>
      <c r="N7" s="2014"/>
      <c r="O7" s="2014"/>
      <c r="P7" s="2014"/>
      <c r="Q7" s="2014"/>
      <c r="R7" s="2014"/>
      <c r="S7" s="2014"/>
      <c r="T7" s="2014"/>
      <c r="U7" s="2014"/>
      <c r="V7" s="2014"/>
    </row>
    <row r="8" spans="1:22" ht="14.25">
      <c r="A8" s="3315" t="s">
        <v>306</v>
      </c>
      <c r="B8" s="3341">
        <v>15</v>
      </c>
      <c r="C8" s="3339"/>
      <c r="D8" s="3343"/>
      <c r="E8" s="261" t="s">
        <v>307</v>
      </c>
      <c r="F8" s="262"/>
      <c r="G8" s="262"/>
      <c r="H8" s="262"/>
      <c r="I8" s="263"/>
      <c r="J8" s="2015"/>
      <c r="K8" s="2014"/>
      <c r="L8" s="2014"/>
      <c r="M8" s="2014"/>
      <c r="N8" s="2014"/>
      <c r="O8" s="2014"/>
      <c r="P8" s="2014"/>
      <c r="Q8" s="2014"/>
      <c r="R8" s="2014"/>
      <c r="S8" s="2014"/>
      <c r="T8" s="2014"/>
      <c r="U8" s="2014"/>
      <c r="V8" s="2014"/>
    </row>
    <row r="9" spans="1:22" ht="14.25">
      <c r="A9" s="3315"/>
      <c r="B9" s="3341"/>
      <c r="C9" s="3340"/>
      <c r="D9" s="3343"/>
      <c r="E9" s="261" t="s">
        <v>308</v>
      </c>
      <c r="F9" s="262"/>
      <c r="G9" s="262"/>
      <c r="H9" s="262"/>
      <c r="I9" s="263"/>
      <c r="J9" s="2015"/>
      <c r="K9" s="2014"/>
      <c r="L9" s="2014"/>
      <c r="M9" s="2014"/>
      <c r="N9" s="2014"/>
      <c r="O9" s="2014"/>
      <c r="P9" s="2014"/>
      <c r="Q9" s="2014"/>
      <c r="R9" s="2014"/>
      <c r="S9" s="2014"/>
      <c r="T9" s="2014"/>
      <c r="U9" s="2014"/>
      <c r="V9" s="2014"/>
    </row>
    <row r="10" spans="1:22" ht="14.25">
      <c r="A10" s="3315" t="s">
        <v>309</v>
      </c>
      <c r="B10" s="3341">
        <v>15</v>
      </c>
      <c r="C10" s="3339"/>
      <c r="D10" s="3343"/>
      <c r="E10" s="261" t="s">
        <v>310</v>
      </c>
      <c r="F10" s="262"/>
      <c r="G10" s="262"/>
      <c r="H10" s="262"/>
      <c r="I10" s="263"/>
      <c r="J10" s="2015"/>
      <c r="K10" s="2014"/>
      <c r="L10" s="2014"/>
      <c r="M10" s="2014"/>
      <c r="N10" s="2014"/>
      <c r="O10" s="2014"/>
      <c r="P10" s="2014"/>
      <c r="Q10" s="2014"/>
      <c r="R10" s="2014"/>
      <c r="S10" s="2014"/>
      <c r="T10" s="2014"/>
      <c r="U10" s="2014"/>
      <c r="V10" s="2014"/>
    </row>
    <row r="11" spans="1:22" ht="14.25">
      <c r="A11" s="3315"/>
      <c r="B11" s="3341"/>
      <c r="C11" s="3340"/>
      <c r="D11" s="3343"/>
      <c r="E11" s="261" t="s">
        <v>311</v>
      </c>
      <c r="F11" s="262"/>
      <c r="G11" s="262"/>
      <c r="H11" s="262"/>
      <c r="I11" s="263"/>
      <c r="J11" s="2015"/>
      <c r="K11" s="2014"/>
      <c r="L11" s="2014"/>
      <c r="M11" s="2014"/>
      <c r="N11" s="2014"/>
      <c r="O11" s="2014"/>
      <c r="P11" s="2014"/>
      <c r="Q11" s="2014"/>
      <c r="R11" s="2014"/>
      <c r="S11" s="2014"/>
      <c r="T11" s="2014"/>
      <c r="U11" s="2014"/>
      <c r="V11" s="2014"/>
    </row>
    <row r="12" spans="1:22" ht="14.25">
      <c r="A12" s="3315" t="s">
        <v>312</v>
      </c>
      <c r="B12" s="3341">
        <v>15</v>
      </c>
      <c r="C12" s="3339"/>
      <c r="D12" s="3343"/>
      <c r="E12" s="261" t="s">
        <v>313</v>
      </c>
      <c r="F12" s="262"/>
      <c r="G12" s="262"/>
      <c r="H12" s="262"/>
      <c r="I12" s="263"/>
      <c r="J12" s="2015"/>
      <c r="K12" s="2014"/>
      <c r="L12" s="2014"/>
      <c r="M12" s="2014"/>
      <c r="N12" s="2014"/>
      <c r="O12" s="2014"/>
      <c r="P12" s="2014"/>
      <c r="Q12" s="2014"/>
      <c r="R12" s="2014"/>
      <c r="S12" s="2014"/>
      <c r="T12" s="2014"/>
      <c r="U12" s="2014"/>
      <c r="V12" s="2014"/>
    </row>
    <row r="13" spans="1:22" ht="14.25">
      <c r="A13" s="3315"/>
      <c r="B13" s="3341"/>
      <c r="C13" s="3340"/>
      <c r="D13" s="3343"/>
      <c r="E13" s="261" t="s">
        <v>314</v>
      </c>
      <c r="F13" s="262"/>
      <c r="G13" s="262"/>
      <c r="H13" s="262"/>
      <c r="I13" s="263"/>
      <c r="J13" s="2015"/>
      <c r="K13" s="2014"/>
      <c r="L13" s="2014"/>
      <c r="M13" s="2014"/>
      <c r="N13" s="2014"/>
      <c r="O13" s="2014"/>
      <c r="P13" s="2014"/>
      <c r="Q13" s="2014"/>
      <c r="R13" s="2014"/>
      <c r="S13" s="2014"/>
      <c r="T13" s="2014"/>
      <c r="U13" s="2014"/>
      <c r="V13" s="2014"/>
    </row>
    <row r="14" spans="1:22" ht="14.25">
      <c r="A14" s="3315" t="s">
        <v>315</v>
      </c>
      <c r="B14" s="3341">
        <v>30</v>
      </c>
      <c r="C14" s="3339"/>
      <c r="D14" s="3343"/>
      <c r="E14" s="261" t="s">
        <v>316</v>
      </c>
      <c r="F14" s="262"/>
      <c r="G14" s="262"/>
      <c r="H14" s="262"/>
      <c r="I14" s="263"/>
      <c r="J14" s="2015"/>
      <c r="K14" s="2014"/>
      <c r="L14" s="2014"/>
      <c r="M14" s="2014"/>
      <c r="N14" s="2014"/>
      <c r="O14" s="2014"/>
      <c r="P14" s="2014"/>
      <c r="Q14" s="2014"/>
      <c r="R14" s="2014"/>
      <c r="S14" s="2014"/>
      <c r="T14" s="2014"/>
      <c r="U14" s="2014"/>
      <c r="V14" s="2014"/>
    </row>
    <row r="15" spans="1:22" ht="14.25">
      <c r="A15" s="3315"/>
      <c r="B15" s="3341"/>
      <c r="C15" s="3342"/>
      <c r="D15" s="3343"/>
      <c r="E15" s="261" t="s">
        <v>317</v>
      </c>
      <c r="F15" s="262"/>
      <c r="G15" s="262"/>
      <c r="H15" s="262"/>
      <c r="I15" s="263"/>
      <c r="J15" s="2015"/>
      <c r="K15" s="2014"/>
      <c r="L15" s="2014"/>
      <c r="M15" s="2014"/>
      <c r="N15" s="2014"/>
      <c r="O15" s="2014"/>
      <c r="P15" s="2014"/>
      <c r="Q15" s="2014"/>
      <c r="R15" s="2014"/>
      <c r="S15" s="2014"/>
      <c r="T15" s="2014"/>
      <c r="U15" s="2014"/>
      <c r="V15" s="2014"/>
    </row>
    <row r="16" spans="1:22" ht="14.25">
      <c r="A16" s="3315"/>
      <c r="B16" s="3341"/>
      <c r="C16" s="3340"/>
      <c r="D16" s="3343"/>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0</v>
      </c>
      <c r="D17" s="265">
        <f>SUM(D5:D16)</f>
        <v>0</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t="e">
        <f>ROUND(C17/SUM(C17:D17),2)</f>
        <v>#DIV/0!</v>
      </c>
      <c r="D18" s="267" t="e">
        <f>1-C18</f>
        <v>#DIV/0!</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t="e">
        <f ca="1">SUMIF(INDIRECT("'"&amp;C4&amp;"'"&amp;"!A:A"),结果表!B19,INDIRECT("'"&amp;C4&amp;"'"&amp;"!B:B"))</f>
        <v>#REF!</v>
      </c>
      <c r="D19" s="271" t="e">
        <f ca="1">SUMIF(INDIRECT("'"&amp;D4&amp;"'"&amp;"!A:A"),结果表!B19,INDIRECT("'"&amp;D4&amp;"'"&amp;"!B:B"))</f>
        <v>#REF!</v>
      </c>
      <c r="E19" s="268" t="s">
        <v>323</v>
      </c>
      <c r="F19" s="269" t="s">
        <v>322</v>
      </c>
      <c r="G19" s="272" t="e">
        <f ca="1">ROUND(C19*$C$18+D19*$D$18,0)</f>
        <v>#REF!</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t="e">
        <f ca="1">SUMIF(INDIRECT("'"&amp;C4&amp;"'"&amp;"!A:A"),结果表!B20,INDIRECT("'"&amp;C4&amp;"'"&amp;"!B:B"))</f>
        <v>#REF!</v>
      </c>
      <c r="D20" s="277" t="e">
        <f ca="1">SUMIF(INDIRECT("'"&amp;D4&amp;"'"&amp;"!A:A"),结果表!B20,INDIRECT("'"&amp;D4&amp;"'"&amp;"!B:B"))</f>
        <v>#REF!</v>
      </c>
      <c r="E20" s="274"/>
      <c r="F20" s="275" t="s">
        <v>325</v>
      </c>
      <c r="G20" s="278" t="e">
        <f ca="1">ROUND(C20*$C$18+D20*$D$18,0)</f>
        <v>#REF!</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t="e">
        <f ca="1">SUMIF(INDIRECT("'"&amp;C4&amp;"'"&amp;"!A:A"),结果表!B21,INDIRECT("'"&amp;C4&amp;"'"&amp;"!B:B"))</f>
        <v>#REF!</v>
      </c>
      <c r="D21" s="151" t="e">
        <f ca="1">SUMIF(INDIRECT("'"&amp;D4&amp;"'"&amp;"!A:A"),结果表!B21,INDIRECT("'"&amp;D4&amp;"'"&amp;"!B:B"))</f>
        <v>#REF!</v>
      </c>
      <c r="E21" s="274"/>
      <c r="F21" s="280" t="s">
        <v>327</v>
      </c>
      <c r="G21" s="282" t="e">
        <f ca="1">ROUND(C21*$C$18+D21*$D$18,0)</f>
        <v>#REF!</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t="e">
        <f ca="1">IF(C19&lt;D19,D19/C19-1,C19/D19-1)</f>
        <v>#REF!</v>
      </c>
      <c r="E22" s="284"/>
      <c r="F22" s="285"/>
      <c r="G22" s="286" t="e">
        <f ca="1">ROUND(G19/('数据-汇总表'!D3/666.67),0)</f>
        <v>#REF!</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321" t="s">
        <v>330</v>
      </c>
      <c r="B24" s="269" t="s">
        <v>322</v>
      </c>
      <c r="C24" s="288">
        <f>IF(B30=0,0,D30)</f>
        <v>0</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322"/>
      <c r="B25" s="1317" t="s">
        <v>331</v>
      </c>
      <c r="C25" s="290">
        <f>IF(B30=0,0,C30)</f>
        <v>0</v>
      </c>
      <c r="D25" s="291"/>
      <c r="E25" s="311"/>
      <c r="F25" s="311"/>
      <c r="G25" s="311"/>
      <c r="H25" s="311"/>
      <c r="I25" s="311"/>
      <c r="J25" s="2014"/>
      <c r="K25" s="1251" t="e">
        <f ca="1">项目基本情况!B16&amp;"国有建设用地使用权价格："&amp;O38&amp;"万元"</f>
        <v>#REF!</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e">
        <f ca="1">"大写金额：人民币"&amp;NUMBERSTRING(INT(O38*10000),2)&amp;"元整"</f>
        <v>#REF!</v>
      </c>
      <c r="L26" s="1248"/>
      <c r="M26" s="1248"/>
      <c r="N26" s="1248"/>
      <c r="O26" s="1247"/>
      <c r="P26" s="2014"/>
      <c r="Q26" s="2014"/>
      <c r="R26" s="2014"/>
      <c r="S26" s="2014"/>
      <c r="T26" s="2014"/>
      <c r="U26" s="2014"/>
      <c r="V26" s="2014"/>
      <c r="W26" s="292"/>
      <c r="X26" s="292"/>
      <c r="Y26" s="292"/>
      <c r="Z26" s="292"/>
    </row>
    <row r="27" spans="1:26" ht="18">
      <c r="A27" s="293"/>
      <c r="B27" s="294"/>
      <c r="C27" s="294"/>
      <c r="D27" s="295"/>
      <c r="E27" s="311"/>
      <c r="F27" s="311"/>
      <c r="G27" s="311"/>
      <c r="H27" s="311"/>
      <c r="I27" s="311"/>
      <c r="J27" s="2014"/>
      <c r="K27" s="1254" t="e">
        <f ca="1">"单位面积地价："&amp;M38&amp;"元/平方米"</f>
        <v>#REF!</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e">
        <f ca="1">"楼面地价："&amp;N38&amp;"元/平方米"</f>
        <v>#REF!</v>
      </c>
      <c r="L28" s="1248"/>
      <c r="M28" s="1248"/>
      <c r="N28" s="1248"/>
      <c r="O28" s="1247"/>
      <c r="P28" s="2014"/>
      <c r="V28" s="2014"/>
    </row>
    <row r="29" spans="1:26" ht="18">
      <c r="A29" s="293"/>
      <c r="B29" s="294"/>
      <c r="C29" s="294"/>
      <c r="D29" s="295"/>
      <c r="E29" s="311"/>
      <c r="F29" s="311"/>
      <c r="G29" s="311"/>
      <c r="H29" s="311"/>
      <c r="I29" s="311"/>
      <c r="J29" s="2014"/>
      <c r="K29" s="1254" t="str">
        <f>IF(OR(项目基本情况!E8="抵押价格",项目基本情况!E8="已注销及未注销"),"抵押价格："&amp;O39&amp;"万元","——")</f>
        <v>——</v>
      </c>
      <c r="L29" s="1248"/>
      <c r="M29" s="1248"/>
      <c r="N29" s="1248"/>
      <c r="O29" s="1247"/>
      <c r="P29" s="2014"/>
      <c r="V29" s="2014"/>
    </row>
    <row r="30" spans="1:26" ht="18.75" thickBot="1">
      <c r="A30" s="2950" t="s">
        <v>336</v>
      </c>
      <c r="B30" s="309"/>
      <c r="C30" s="309"/>
      <c r="D30" s="310"/>
      <c r="E30" s="2951" t="s">
        <v>2964</v>
      </c>
      <c r="F30" s="311"/>
      <c r="G30" s="311"/>
      <c r="H30" s="311"/>
      <c r="I30" s="311"/>
      <c r="J30" s="2014"/>
      <c r="K30" s="1254" t="str">
        <f>IF(K29="——","——","大写金额：人民币"&amp;NUMBERSTRING(INT(O39*10000),2)&amp;"元整")</f>
        <v>——</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抵押担保权已注销时的抵押价格：——万元</v>
      </c>
      <c r="L31" s="2429"/>
      <c r="M31" s="2429"/>
      <c r="N31" s="2429"/>
      <c r="O31" s="2430"/>
      <c r="P31" s="2014"/>
      <c r="V31" s="2014"/>
    </row>
    <row r="32" spans="1:26" ht="18.75" thickBot="1">
      <c r="A32" s="268" t="s">
        <v>337</v>
      </c>
      <c r="B32" s="1378" t="s">
        <v>1688</v>
      </c>
      <c r="C32" s="1379" t="e">
        <f ca="1">G19-C24</f>
        <v>#REF!</v>
      </c>
      <c r="D32" s="1380" t="s">
        <v>1689</v>
      </c>
      <c r="E32" s="311"/>
      <c r="F32" s="311"/>
      <c r="G32" s="311"/>
      <c r="H32" s="311"/>
      <c r="I32" s="311"/>
      <c r="J32" s="2014"/>
      <c r="K32" s="2428" t="e">
        <f>IF(K31="——","——","大写金额：人民币"&amp;NUMBERSTRING(INT(O40*10000),2)&amp;"元整")</f>
        <v>#VALUE!</v>
      </c>
      <c r="L32" s="2431"/>
      <c r="M32" s="2431"/>
      <c r="N32" s="2431"/>
      <c r="O32" s="2432"/>
      <c r="P32" s="2014"/>
      <c r="V32" s="2014"/>
    </row>
    <row r="33" spans="1:26" ht="18.75" thickBot="1">
      <c r="A33" s="298" t="s">
        <v>340</v>
      </c>
      <c r="B33" s="1381" t="s">
        <v>1690</v>
      </c>
      <c r="C33" s="264" t="e">
        <f ca="1">ROUND(C32*10000/'数据-汇总表'!E3,0)</f>
        <v>#REF!</v>
      </c>
      <c r="D33" s="1382" t="s">
        <v>1691</v>
      </c>
      <c r="E33" s="3321" t="s">
        <v>338</v>
      </c>
      <c r="F33" s="296" t="s">
        <v>339</v>
      </c>
      <c r="G33" s="297"/>
      <c r="H33" s="980"/>
      <c r="I33" s="1255"/>
      <c r="J33" s="2014"/>
      <c r="K33" s="1254" t="str">
        <f>IF(项目基本情况!E9="——","——","抵押净值："&amp;C46&amp;"万元")</f>
        <v>抵押净值：——万元</v>
      </c>
      <c r="L33" s="1248"/>
      <c r="M33" s="1248"/>
      <c r="N33" s="1248"/>
      <c r="O33" s="1247"/>
      <c r="P33" s="2014"/>
      <c r="V33" s="2014"/>
    </row>
    <row r="34" spans="1:26" s="1250" customFormat="1" ht="18.75" thickBot="1">
      <c r="A34" s="300"/>
      <c r="B34" s="1383" t="s">
        <v>1692</v>
      </c>
      <c r="C34" s="264" t="e">
        <f ca="1">ROUND(C32*10000/'数据-汇总表'!D3,0)</f>
        <v>#REF!</v>
      </c>
      <c r="D34" s="1384" t="s">
        <v>1691</v>
      </c>
      <c r="E34" s="3362"/>
      <c r="F34" s="127" t="s">
        <v>341</v>
      </c>
      <c r="G34" s="299"/>
      <c r="H34" s="105"/>
      <c r="I34" s="311"/>
      <c r="J34" s="2014"/>
      <c r="K34" s="1257" t="e">
        <f>IF(K33="——","——","大写金额：人民币"&amp;NUMBERSTRING(INT(O41*10000),2)&amp;"元整")</f>
        <v>#VALUE!</v>
      </c>
      <c r="L34" s="1258"/>
      <c r="M34" s="1258"/>
      <c r="N34" s="1258"/>
      <c r="O34" s="1259"/>
      <c r="P34" s="2014"/>
      <c r="Q34" s="292"/>
      <c r="R34" s="292"/>
      <c r="S34" s="292"/>
      <c r="T34" s="292"/>
      <c r="U34" s="292"/>
      <c r="V34" s="2014"/>
      <c r="W34" s="292"/>
      <c r="X34" s="292"/>
      <c r="Y34" s="292"/>
      <c r="Z34" s="292"/>
    </row>
    <row r="35" spans="1:26" ht="15.75" thickBot="1">
      <c r="A35" s="284"/>
      <c r="B35" s="1385"/>
      <c r="C35" s="1386" t="e">
        <f ca="1">ROUND(C32/('数据-汇总表'!D3/666.67),0)</f>
        <v>#REF!</v>
      </c>
      <c r="D35" s="1387" t="s">
        <v>1693</v>
      </c>
      <c r="E35" s="3363"/>
      <c r="F35" s="301" t="s">
        <v>342</v>
      </c>
      <c r="G35" s="982"/>
      <c r="H35" s="981" t="s">
        <v>343</v>
      </c>
      <c r="I35" s="311"/>
      <c r="J35" s="2014"/>
      <c r="K35" s="3336" t="s">
        <v>350</v>
      </c>
      <c r="L35" s="3336" t="s">
        <v>351</v>
      </c>
      <c r="M35" s="1260" t="s">
        <v>352</v>
      </c>
      <c r="N35" s="3336" t="s">
        <v>353</v>
      </c>
      <c r="O35" s="3336" t="s">
        <v>354</v>
      </c>
      <c r="P35" s="2014"/>
      <c r="V35" s="2014"/>
    </row>
    <row r="36" spans="1:26" ht="16.5" customHeight="1">
      <c r="A36" s="303" t="s">
        <v>344</v>
      </c>
      <c r="B36" s="304" t="s">
        <v>333</v>
      </c>
      <c r="C36" s="305" t="s">
        <v>345</v>
      </c>
      <c r="D36" s="305" t="s">
        <v>346</v>
      </c>
      <c r="E36" s="306" t="s">
        <v>347</v>
      </c>
      <c r="F36" s="311"/>
      <c r="G36" s="311"/>
      <c r="H36" s="311"/>
      <c r="I36" s="311"/>
      <c r="J36" s="2016"/>
      <c r="K36" s="3337"/>
      <c r="L36" s="3337"/>
      <c r="M36" s="1262" t="s">
        <v>355</v>
      </c>
      <c r="N36" s="3337"/>
      <c r="O36" s="3337"/>
      <c r="P36" s="2014"/>
      <c r="V36" s="2014"/>
    </row>
    <row r="37" spans="1:26" ht="16.5" customHeight="1" thickBot="1">
      <c r="A37" s="1256" t="s">
        <v>348</v>
      </c>
      <c r="B37" s="307"/>
      <c r="C37" s="294"/>
      <c r="D37" s="294"/>
      <c r="E37" s="295"/>
      <c r="F37" s="311"/>
      <c r="G37" s="311"/>
      <c r="H37" s="311"/>
      <c r="I37" s="311"/>
      <c r="J37" s="2016"/>
      <c r="K37" s="3338"/>
      <c r="L37" s="3338"/>
      <c r="M37" s="1263"/>
      <c r="N37" s="3338"/>
      <c r="O37" s="3338"/>
      <c r="P37" s="2014"/>
      <c r="V37" s="2014"/>
    </row>
    <row r="38" spans="1:26" ht="16.5" customHeight="1" thickBot="1">
      <c r="A38" s="1256" t="s">
        <v>349</v>
      </c>
      <c r="B38" s="307"/>
      <c r="C38" s="294"/>
      <c r="D38" s="294"/>
      <c r="E38" s="295"/>
      <c r="F38" s="311"/>
      <c r="G38" s="311"/>
      <c r="H38" s="311"/>
      <c r="I38" s="311"/>
      <c r="J38" s="2016"/>
      <c r="K38" s="1264">
        <f>'数据-汇总表'!D3</f>
        <v>5500</v>
      </c>
      <c r="L38" s="1265">
        <f>'数据-汇总表'!E3</f>
        <v>17100</v>
      </c>
      <c r="M38" s="1265" t="e">
        <f ca="1">C34</f>
        <v>#REF!</v>
      </c>
      <c r="N38" s="1265" t="e">
        <f ca="1">C33</f>
        <v>#REF!</v>
      </c>
      <c r="O38" s="1266" t="e">
        <f ca="1">C32</f>
        <v>#REF!</v>
      </c>
      <c r="P38" s="2014"/>
      <c r="V38" s="2014"/>
    </row>
    <row r="39" spans="1:26" ht="16.5" customHeight="1" thickBot="1">
      <c r="A39" s="1261"/>
      <c r="B39" s="308"/>
      <c r="C39" s="309"/>
      <c r="D39" s="309"/>
      <c r="E39" s="310"/>
      <c r="F39" s="311"/>
      <c r="G39" s="311"/>
      <c r="H39" s="311"/>
      <c r="I39" s="311"/>
      <c r="J39" s="2016"/>
      <c r="K39" s="3381" t="str">
        <f>MID(A44,3,LEN(A44)-2)</f>
        <v/>
      </c>
      <c r="L39" s="3382"/>
      <c r="M39" s="3382"/>
      <c r="N39" s="3383"/>
      <c r="O39" s="1389" t="str">
        <f>C44</f>
        <v>——</v>
      </c>
      <c r="P39" s="2014"/>
      <c r="V39" s="2014"/>
    </row>
    <row r="40" spans="1:26" ht="19.5" thickBot="1">
      <c r="A40" s="104" t="s">
        <v>873</v>
      </c>
      <c r="B40" s="311"/>
      <c r="C40" s="311"/>
      <c r="D40" s="311"/>
      <c r="E40" s="311"/>
      <c r="F40" s="311"/>
      <c r="G40" s="311"/>
      <c r="H40" s="311"/>
      <c r="I40" s="311"/>
      <c r="J40" s="2016"/>
      <c r="K40" s="3381" t="str">
        <f t="shared" ref="K40:K41" si="0">MID(A45,3,LEN(A45)-2)</f>
        <v/>
      </c>
      <c r="L40" s="3382"/>
      <c r="M40" s="3382"/>
      <c r="N40" s="3383"/>
      <c r="O40" s="1389" t="str">
        <f>C45</f>
        <v>——</v>
      </c>
      <c r="P40" s="2014"/>
      <c r="V40" s="2014"/>
    </row>
    <row r="41" spans="1:26" ht="16.5" thickBot="1">
      <c r="A41" s="312" t="s">
        <v>356</v>
      </c>
      <c r="B41" s="313"/>
      <c r="C41" s="314" t="s">
        <v>357</v>
      </c>
      <c r="D41" s="315" t="s">
        <v>358</v>
      </c>
      <c r="E41" s="315" t="s">
        <v>359</v>
      </c>
      <c r="F41" s="316" t="s">
        <v>360</v>
      </c>
      <c r="G41" s="311"/>
      <c r="H41" s="311"/>
      <c r="I41" s="311"/>
      <c r="J41" s="2016"/>
      <c r="K41" s="3381" t="str">
        <f t="shared" si="0"/>
        <v/>
      </c>
      <c r="L41" s="3382"/>
      <c r="M41" s="3382"/>
      <c r="N41" s="3383"/>
      <c r="O41" s="1389" t="str">
        <f>C46</f>
        <v>——</v>
      </c>
      <c r="P41" s="2014"/>
      <c r="V41" s="2014"/>
    </row>
    <row r="42" spans="1:26" ht="29.25">
      <c r="A42" s="3323" t="s">
        <v>2065</v>
      </c>
      <c r="B42" s="3324"/>
      <c r="C42" s="264" t="e">
        <f ca="1">C32</f>
        <v>#REF!</v>
      </c>
      <c r="D42" s="317" t="e">
        <f ca="1">C33</f>
        <v>#REF!</v>
      </c>
      <c r="E42" s="317" t="e">
        <f ca="1">C34</f>
        <v>#REF!</v>
      </c>
      <c r="F42" s="318" t="e">
        <f ca="1">C35</f>
        <v>#REF!</v>
      </c>
      <c r="G42" s="311"/>
      <c r="H42" s="311"/>
      <c r="I42" s="319"/>
      <c r="J42" s="2016"/>
      <c r="K42" s="1267" t="s">
        <v>361</v>
      </c>
      <c r="L42" s="2033" t="s">
        <v>362</v>
      </c>
      <c r="M42" s="1268" t="s">
        <v>363</v>
      </c>
      <c r="N42" s="2034" t="s">
        <v>364</v>
      </c>
      <c r="O42" s="2035" t="s">
        <v>365</v>
      </c>
      <c r="P42" s="2014"/>
      <c r="V42" s="2014"/>
    </row>
    <row r="43" spans="1:26" ht="18">
      <c r="A43" s="3334" t="s">
        <v>2726</v>
      </c>
      <c r="B43" s="3335"/>
      <c r="C43" s="264">
        <f>IF(H33="正常操作",G33+G34+G35,G34+G35)</f>
        <v>0</v>
      </c>
      <c r="D43" s="317" t="s">
        <v>43</v>
      </c>
      <c r="E43" s="317" t="s">
        <v>44</v>
      </c>
      <c r="F43" s="318" t="s">
        <v>44</v>
      </c>
      <c r="G43" s="2706" t="s">
        <v>952</v>
      </c>
      <c r="H43" s="311"/>
      <c r="I43" s="319"/>
      <c r="J43" s="2016"/>
      <c r="K43" s="1269">
        <f>C4</f>
        <v>0</v>
      </c>
      <c r="L43" s="1270" t="e">
        <f ca="1">IF(L42="估价结果/万元",C19,C20)</f>
        <v>#REF!</v>
      </c>
      <c r="M43" s="1271" t="e">
        <f>C18</f>
        <v>#DIV/0!</v>
      </c>
      <c r="N43" s="1272" t="e">
        <f ca="1">IF(N42="测算结果/万元",G19,G20)</f>
        <v>#REF!</v>
      </c>
      <c r="O43" s="1273" t="e">
        <f ca="1">IF(O42="最终结果/万元",C32,C33)</f>
        <v>#REF!</v>
      </c>
      <c r="P43" s="2014"/>
      <c r="V43" s="2014"/>
    </row>
    <row r="44" spans="1:26" ht="18.75" thickBot="1">
      <c r="A44" s="3323" t="str">
        <f>IF(OR(项目基本情况!E8="抵押价格",项目基本情况!E8="已注销及未注销"),"3.抵押价格","——")</f>
        <v>——</v>
      </c>
      <c r="B44" s="3324"/>
      <c r="C44" s="264" t="str">
        <f>IF(A44="——","——",C42-C43)</f>
        <v>——</v>
      </c>
      <c r="D44" s="317" t="e">
        <f>ROUND(C44*10000/'数据-汇总表'!E3,0)</f>
        <v>#VALUE!</v>
      </c>
      <c r="E44" s="317" t="e">
        <f>ROUND(C44*10000/'数据-汇总表'!D3,0)</f>
        <v>#VALUE!</v>
      </c>
      <c r="F44" s="318" t="e">
        <f>ROUND(C44/('数据-汇总表'!D3/666.67),0)</f>
        <v>#VALUE!</v>
      </c>
      <c r="G44" s="311"/>
      <c r="H44" s="311"/>
      <c r="I44" s="319"/>
      <c r="J44" s="2016"/>
      <c r="K44" s="1274">
        <f>D4</f>
        <v>0</v>
      </c>
      <c r="L44" s="1275" t="e">
        <f ca="1">IF(L42="估价结果/万元",D19,D20)</f>
        <v>#REF!</v>
      </c>
      <c r="M44" s="1276" t="e">
        <f>D18</f>
        <v>#DIV/0!</v>
      </c>
      <c r="N44" s="1277"/>
      <c r="O44" s="1278"/>
      <c r="P44" s="2014"/>
      <c r="V44" s="2014"/>
    </row>
    <row r="45" spans="1:26" ht="15">
      <c r="A45" s="3329" t="str">
        <f>IF(项目基本情况!E8="已注销及未注销","4.抵押担保权已注销时的抵押价格",IF(项目基本情况!E8="已注销","3.抵押担保权已注销时的抵押价格","——"))</f>
        <v>——</v>
      </c>
      <c r="B45" s="3330"/>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325" t="str">
        <f>IF(项目基本情况!E9="抵押净值",IF(A45="——","4.抵押净值","5.抵押净值"),"——")</f>
        <v>——</v>
      </c>
      <c r="B46" s="3326"/>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hidden="1" customHeight="1" thickBot="1">
      <c r="A63" s="3370" t="s">
        <v>374</v>
      </c>
      <c r="B63" s="3371"/>
      <c r="C63" s="3372"/>
      <c r="D63" s="341" t="e">
        <f ca="1">ROUND(C42*F63,0)</f>
        <v>#REF!</v>
      </c>
      <c r="E63" s="302" t="s">
        <v>375</v>
      </c>
      <c r="F63" s="342">
        <v>0.6</v>
      </c>
      <c r="G63" s="343" t="s">
        <v>376</v>
      </c>
      <c r="H63" s="311"/>
      <c r="I63" s="311"/>
      <c r="J63" s="2014"/>
      <c r="K63" s="2014"/>
      <c r="L63" s="2014"/>
      <c r="M63" s="2014"/>
      <c r="N63" s="2014"/>
      <c r="O63" s="2014"/>
      <c r="P63" s="311"/>
      <c r="Q63" s="2014"/>
      <c r="R63" s="2014"/>
      <c r="S63" s="2014"/>
      <c r="T63" s="2014"/>
      <c r="U63" s="2014"/>
      <c r="V63" s="2014"/>
    </row>
    <row r="64" spans="1:22" ht="14.25" hidden="1" customHeight="1">
      <c r="A64" s="3331" t="s">
        <v>378</v>
      </c>
      <c r="B64" s="3332"/>
      <c r="C64" s="3332"/>
      <c r="D64" s="3332"/>
      <c r="E64" s="3332"/>
      <c r="F64" s="3332"/>
      <c r="G64" s="3333"/>
      <c r="H64" s="1284"/>
      <c r="I64" s="948"/>
      <c r="J64" s="1976"/>
      <c r="K64" s="1548" t="s">
        <v>377</v>
      </c>
      <c r="L64" s="11"/>
      <c r="M64" s="11"/>
      <c r="N64" s="11"/>
      <c r="O64" s="11"/>
      <c r="P64" s="311"/>
      <c r="Q64" s="2014"/>
      <c r="R64" s="2014"/>
      <c r="S64" s="2014"/>
      <c r="T64" s="2014"/>
      <c r="U64" s="2014"/>
      <c r="V64" s="2014"/>
    </row>
    <row r="65" spans="1:22" ht="12" hidden="1"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hidden="1">
      <c r="A66" s="3327" t="s">
        <v>386</v>
      </c>
      <c r="B66" s="3328"/>
      <c r="C66" s="3328"/>
      <c r="D66" s="261" t="e">
        <f ca="1">IF(H66="情况1",0,IF(H66="情况2",D70,IF(H66="情况3",D71,IF(H66="情况4",D72))))</f>
        <v>#REF!</v>
      </c>
      <c r="E66" s="993" t="str">
        <f>IF(H66="情况4","(销售额-原购置价)×税（费）率","销售额×税（费）率")</f>
        <v>销售额×税（费）率</v>
      </c>
      <c r="F66" s="350">
        <f>IF(H66="情况1","免征",'数据-取费表'!B41)</f>
        <v>5.6500000000000002E-2</v>
      </c>
      <c r="G66" s="351" t="s">
        <v>387</v>
      </c>
      <c r="H66" s="191" t="s">
        <v>388</v>
      </c>
      <c r="I66" s="1284"/>
      <c r="J66" s="2020"/>
      <c r="K66" s="1287">
        <v>1</v>
      </c>
      <c r="L66" s="3385" t="s">
        <v>385</v>
      </c>
      <c r="M66" s="3386"/>
      <c r="N66" s="2423"/>
      <c r="O66" s="2424"/>
      <c r="P66" s="2425"/>
      <c r="Q66" s="2014"/>
      <c r="R66" s="2014"/>
      <c r="S66" s="2014"/>
      <c r="T66" s="2014"/>
      <c r="U66" s="2014"/>
      <c r="V66" s="2014"/>
    </row>
    <row r="67" spans="1:22" ht="25.5" hidden="1" customHeight="1">
      <c r="A67" s="352" t="s">
        <v>390</v>
      </c>
      <c r="B67" s="3318" t="s">
        <v>391</v>
      </c>
      <c r="C67" s="3318"/>
      <c r="D67" s="353">
        <v>0</v>
      </c>
      <c r="E67" s="41" t="s">
        <v>392</v>
      </c>
      <c r="F67" s="62" t="s">
        <v>21</v>
      </c>
      <c r="G67" s="3373"/>
      <c r="H67" s="311"/>
      <c r="I67" s="1288"/>
      <c r="J67" s="2021"/>
      <c r="K67" s="1962">
        <v>2</v>
      </c>
      <c r="L67" s="3384" t="s">
        <v>389</v>
      </c>
      <c r="M67" s="3384"/>
      <c r="N67" s="1321">
        <f>'数据-取费表'!B2</f>
        <v>44012</v>
      </c>
      <c r="O67" s="1321"/>
      <c r="P67" s="1321"/>
      <c r="Q67" s="2014"/>
      <c r="R67" s="2014"/>
      <c r="S67" s="2014"/>
      <c r="T67" s="2014"/>
      <c r="U67" s="2014"/>
      <c r="V67" s="2014"/>
    </row>
    <row r="68" spans="1:22" ht="25.5" hidden="1" customHeight="1">
      <c r="A68" s="354"/>
      <c r="B68" s="3318" t="s">
        <v>394</v>
      </c>
      <c r="C68" s="3318"/>
      <c r="D68" s="355"/>
      <c r="E68" s="77"/>
      <c r="F68" s="356"/>
      <c r="G68" s="3374"/>
      <c r="H68" s="311"/>
      <c r="I68" s="1288"/>
      <c r="J68" s="2021"/>
      <c r="K68" s="1962">
        <v>3</v>
      </c>
      <c r="L68" s="3384" t="s">
        <v>393</v>
      </c>
      <c r="M68" s="3384"/>
      <c r="N68" s="1289" t="e">
        <f ca="1">C42</f>
        <v>#REF!</v>
      </c>
      <c r="O68" s="1289"/>
      <c r="P68" s="1289"/>
      <c r="Q68" s="2014"/>
      <c r="R68" s="2014"/>
      <c r="S68" s="2014"/>
      <c r="T68" s="2014"/>
      <c r="U68" s="2014"/>
      <c r="V68" s="2014"/>
    </row>
    <row r="69" spans="1:22" ht="12" hidden="1" customHeight="1">
      <c r="A69" s="357"/>
      <c r="B69" s="3318" t="s">
        <v>395</v>
      </c>
      <c r="C69" s="3318"/>
      <c r="D69" s="358"/>
      <c r="E69" s="73"/>
      <c r="F69" s="356"/>
      <c r="G69" s="3375"/>
      <c r="H69" s="311"/>
      <c r="I69" s="1288"/>
      <c r="J69" s="2021"/>
      <c r="K69" s="1290">
        <v>4</v>
      </c>
      <c r="L69" s="3389" t="s">
        <v>2878</v>
      </c>
      <c r="M69" s="3390"/>
      <c r="N69" s="1291" t="str">
        <f>C44</f>
        <v>——</v>
      </c>
      <c r="O69" s="1291"/>
      <c r="P69" s="1291"/>
      <c r="Q69" s="2014"/>
      <c r="R69" s="2014"/>
      <c r="S69" s="2014"/>
      <c r="T69" s="2014"/>
      <c r="U69" s="2014"/>
      <c r="V69" s="2014"/>
    </row>
    <row r="70" spans="1:22" ht="24" hidden="1" customHeight="1">
      <c r="A70" s="359" t="s">
        <v>396</v>
      </c>
      <c r="B70" s="3318" t="s">
        <v>397</v>
      </c>
      <c r="C70" s="3318"/>
      <c r="D70" s="358" t="e">
        <f ca="1">ROUND(D63*'数据-取费表'!B41/(1+'数据-取费表'!C42),0)</f>
        <v>#REF!</v>
      </c>
      <c r="E70" s="17" t="s">
        <v>398</v>
      </c>
      <c r="F70" s="360">
        <f>'数据-取费表'!B41</f>
        <v>5.6500000000000002E-2</v>
      </c>
      <c r="G70" s="361"/>
      <c r="H70" s="311"/>
      <c r="I70" s="1288"/>
      <c r="J70" s="2021"/>
      <c r="K70" s="2891"/>
      <c r="L70" s="2892"/>
      <c r="M70" s="2892"/>
      <c r="N70" s="2893" t="s">
        <v>2883</v>
      </c>
      <c r="O70" s="2892"/>
      <c r="P70" s="2894"/>
      <c r="Q70" s="2014"/>
      <c r="R70" s="2014"/>
      <c r="S70" s="2014"/>
      <c r="T70" s="2014"/>
      <c r="U70" s="2014"/>
      <c r="V70" s="2014"/>
    </row>
    <row r="71" spans="1:22" ht="12" hidden="1" customHeight="1">
      <c r="A71" s="359" t="s">
        <v>404</v>
      </c>
      <c r="B71" s="3319" t="s">
        <v>405</v>
      </c>
      <c r="C71" s="3320"/>
      <c r="D71" s="358" t="e">
        <f ca="1">ROUND(D63*'数据-取费表'!B41/(1+'数据-取费表'!C42),0)</f>
        <v>#REF!</v>
      </c>
      <c r="E71" s="17" t="s">
        <v>398</v>
      </c>
      <c r="F71" s="360">
        <f>'数据-取费表'!B41</f>
        <v>5.6500000000000002E-2</v>
      </c>
      <c r="G71" s="361"/>
      <c r="H71" s="311"/>
      <c r="I71" s="1288"/>
      <c r="J71" s="2021"/>
      <c r="K71" s="2890" t="s">
        <v>399</v>
      </c>
      <c r="L71" s="3391" t="s">
        <v>400</v>
      </c>
      <c r="M71" s="3391"/>
      <c r="N71" s="2890" t="s">
        <v>401</v>
      </c>
      <c r="O71" s="2890" t="s">
        <v>402</v>
      </c>
      <c r="P71" s="2890" t="s">
        <v>403</v>
      </c>
      <c r="Q71" s="2014"/>
      <c r="R71" s="2014"/>
      <c r="S71" s="2014"/>
      <c r="T71" s="2014"/>
      <c r="U71" s="2014"/>
      <c r="V71" s="2014"/>
    </row>
    <row r="72" spans="1:22" ht="12" hidden="1" customHeight="1">
      <c r="A72" s="359" t="s">
        <v>407</v>
      </c>
      <c r="B72" s="3319" t="s">
        <v>408</v>
      </c>
      <c r="C72" s="3320"/>
      <c r="D72" s="358" t="e">
        <f ca="1">C86</f>
        <v>#REF!</v>
      </c>
      <c r="E72" s="73" t="s">
        <v>409</v>
      </c>
      <c r="F72" s="360">
        <f>'数据-取费表'!B41</f>
        <v>5.6500000000000002E-2</v>
      </c>
      <c r="G72" s="361"/>
      <c r="H72" s="1294"/>
      <c r="I72" s="1288"/>
      <c r="J72" s="2021"/>
      <c r="K72" s="1962">
        <v>1</v>
      </c>
      <c r="L72" s="3366" t="s">
        <v>406</v>
      </c>
      <c r="M72" s="3366"/>
      <c r="N72" s="1292" t="e">
        <f ca="1">D66</f>
        <v>#REF!</v>
      </c>
      <c r="O72" s="1845" t="str">
        <f>E66</f>
        <v>销售额×税（费）率</v>
      </c>
      <c r="P72" s="1293">
        <f>F66</f>
        <v>5.6500000000000002E-2</v>
      </c>
      <c r="Q72" s="2014"/>
      <c r="R72" s="2014"/>
      <c r="S72" s="2014"/>
      <c r="T72" s="2014"/>
      <c r="U72" s="2014"/>
      <c r="V72" s="2014"/>
    </row>
    <row r="73" spans="1:22" ht="24" hidden="1" customHeight="1">
      <c r="A73" s="3360" t="s">
        <v>411</v>
      </c>
      <c r="B73" s="3328"/>
      <c r="C73" s="3328"/>
      <c r="D73" s="362">
        <f>IF(H73="个人住宅",0,ROUND(D63*I73,0))</f>
        <v>0</v>
      </c>
      <c r="E73" s="17" t="s">
        <v>412</v>
      </c>
      <c r="F73" s="360" t="str">
        <f>IF(H73="正常",I73,"免征")</f>
        <v>免征</v>
      </c>
      <c r="G73" s="361"/>
      <c r="H73" s="191" t="s">
        <v>2452</v>
      </c>
      <c r="I73" s="360">
        <f>'数据-取费表'!B49</f>
        <v>5.0000000000000001E-4</v>
      </c>
      <c r="J73" s="2021"/>
      <c r="K73" s="1962">
        <v>2</v>
      </c>
      <c r="L73" s="3366" t="s">
        <v>410</v>
      </c>
      <c r="M73" s="3366"/>
      <c r="N73" s="1292">
        <f t="shared" ref="N73:P74" si="1">D73</f>
        <v>0</v>
      </c>
      <c r="O73" s="1845" t="str">
        <f t="shared" si="1"/>
        <v>销售额×税（费）率</v>
      </c>
      <c r="P73" s="1293" t="str">
        <f t="shared" si="1"/>
        <v>免征</v>
      </c>
      <c r="Q73" s="2014"/>
      <c r="R73" s="2014"/>
      <c r="S73" s="2014"/>
      <c r="T73" s="2014"/>
      <c r="U73" s="2014"/>
      <c r="V73" s="2014"/>
    </row>
    <row r="74" spans="1:22" ht="24.75" hidden="1">
      <c r="A74" s="3360" t="s">
        <v>415</v>
      </c>
      <c r="B74" s="3328"/>
      <c r="C74" s="3328"/>
      <c r="D74" s="362" t="e">
        <f ca="1">IF(H74="个人住宅",D75,D76)</f>
        <v>#REF!</v>
      </c>
      <c r="E74" s="17" t="s">
        <v>416</v>
      </c>
      <c r="F74" s="360" t="str">
        <f>IF(H74="正常",F76,"免征")</f>
        <v>——</v>
      </c>
      <c r="G74" s="983" t="s">
        <v>417</v>
      </c>
      <c r="H74" s="363" t="s">
        <v>413</v>
      </c>
      <c r="I74" s="42"/>
      <c r="J74" s="2021"/>
      <c r="K74" s="1962">
        <v>3</v>
      </c>
      <c r="L74" s="3366" t="s">
        <v>414</v>
      </c>
      <c r="M74" s="3366"/>
      <c r="N74" s="1292" t="e">
        <f t="shared" ca="1" si="1"/>
        <v>#REF!</v>
      </c>
      <c r="O74" s="1845" t="str">
        <f t="shared" si="1"/>
        <v>增值额×税（费）率</v>
      </c>
      <c r="P74" s="1295" t="str">
        <f t="shared" si="1"/>
        <v>——</v>
      </c>
      <c r="Q74" s="2014"/>
      <c r="R74" s="2014"/>
      <c r="S74" s="2014"/>
      <c r="T74" s="2014"/>
      <c r="U74" s="2014"/>
      <c r="V74" s="2014"/>
    </row>
    <row r="75" spans="1:22" ht="24" hidden="1">
      <c r="A75" s="359" t="s">
        <v>418</v>
      </c>
      <c r="B75" s="3316" t="s">
        <v>419</v>
      </c>
      <c r="C75" s="3346"/>
      <c r="D75" s="364">
        <v>0</v>
      </c>
      <c r="E75" s="41" t="s">
        <v>420</v>
      </c>
      <c r="F75" s="365"/>
      <c r="G75" s="361"/>
      <c r="H75" s="42"/>
      <c r="I75" s="42"/>
      <c r="J75" s="2021"/>
      <c r="K75" s="2883">
        <f>IF(H77="非个人房产","",4)</f>
        <v>4</v>
      </c>
      <c r="L75" s="3366" t="str">
        <f>IF(H77="非个人房产","——","个人所得税")</f>
        <v>个人所得税</v>
      </c>
      <c r="M75" s="3366"/>
      <c r="N75" s="1296" t="e">
        <f ca="1">D77</f>
        <v>#REF!</v>
      </c>
      <c r="O75" s="1858" t="str">
        <f>E77</f>
        <v>销售额×税（费）率</v>
      </c>
      <c r="P75" s="1297">
        <f>F77</f>
        <v>0.01</v>
      </c>
      <c r="Q75" s="2014"/>
      <c r="R75" s="2014"/>
      <c r="S75" s="2014"/>
      <c r="T75" s="2014"/>
      <c r="U75" s="2014"/>
      <c r="V75" s="2014"/>
    </row>
    <row r="76" spans="1:22" ht="24.75" hidden="1">
      <c r="A76" s="359" t="s">
        <v>396</v>
      </c>
      <c r="B76" s="3316" t="s">
        <v>422</v>
      </c>
      <c r="C76" s="3317"/>
      <c r="D76" s="362" t="e">
        <f ca="1">IF(H76="转让取得",C99,C115)</f>
        <v>#REF!</v>
      </c>
      <c r="E76" s="17" t="s">
        <v>423</v>
      </c>
      <c r="F76" s="53" t="s">
        <v>21</v>
      </c>
      <c r="G76" s="361"/>
      <c r="H76" s="363" t="s">
        <v>424</v>
      </c>
      <c r="I76" s="42"/>
      <c r="J76" s="2021"/>
      <c r="K76" s="2883" t="str">
        <f>IF(项目基本情况!K6="上海银行",IF(K75="",4,K75+1),"")</f>
        <v/>
      </c>
      <c r="L76" s="3377" t="str">
        <f>IF(项目基本情况!K6="上海银行","其他处置费用","")</f>
        <v/>
      </c>
      <c r="M76" s="3378"/>
      <c r="N76" s="1292" t="str">
        <f>IF(项目基本情况!K6="上海银行",N89,"")</f>
        <v/>
      </c>
      <c r="O76" s="3379" t="str">
        <f>IF(项目基本情况!K6="上海银行","包含处置中涉及的律师、诉讼、拍卖、评估等费用","")</f>
        <v/>
      </c>
      <c r="P76" s="3380"/>
      <c r="Q76" s="2014"/>
      <c r="R76" s="2014"/>
      <c r="S76" s="2014"/>
      <c r="T76" s="2014"/>
      <c r="U76" s="2014"/>
      <c r="V76" s="2014"/>
    </row>
    <row r="77" spans="1:22" ht="26.25" hidden="1" thickBot="1">
      <c r="A77" s="3368" t="s">
        <v>426</v>
      </c>
      <c r="B77" s="3369"/>
      <c r="C77" s="3369"/>
      <c r="D77" s="366" t="e">
        <f ca="1">IF(H77="非个人房产","——",IF(H77="个人住宅",0,ROUND(D63*I77,0)))</f>
        <v>#REF!</v>
      </c>
      <c r="E77" s="367" t="str">
        <f>IF(H77="非个人房产","——","销售额×税（费）率")</f>
        <v>销售额×税（费）率</v>
      </c>
      <c r="F77" s="368">
        <f>IF(H77="非个人房产","——",IF(H77="个人住宅","免征",I77))</f>
        <v>0.01</v>
      </c>
      <c r="G77" s="984" t="s">
        <v>417</v>
      </c>
      <c r="H77" s="363" t="s">
        <v>2879</v>
      </c>
      <c r="I77" s="369">
        <v>0.01</v>
      </c>
      <c r="J77" s="2021"/>
      <c r="K77" s="3367">
        <f>IF(AND(K75="",K76=""),4,IF(项目基本情况!K6="上海银行",K76+1,K75+1))</f>
        <v>5</v>
      </c>
      <c r="L77" s="3366" t="s">
        <v>2880</v>
      </c>
      <c r="M77" s="2889" t="s">
        <v>421</v>
      </c>
      <c r="N77" s="1298"/>
      <c r="O77" s="1299">
        <f ca="1">SUMIF(N72:N76,"&lt;9e307")</f>
        <v>0</v>
      </c>
      <c r="P77" s="1300"/>
      <c r="Q77" s="2887" t="e">
        <f ca="1">O77/N69</f>
        <v>#VALUE!</v>
      </c>
      <c r="R77" s="2014"/>
      <c r="S77" s="2014"/>
      <c r="T77" s="2014"/>
      <c r="U77" s="2014"/>
      <c r="V77" s="2014"/>
    </row>
    <row r="78" spans="1:22" ht="12" hidden="1" customHeight="1">
      <c r="A78" s="1301"/>
      <c r="B78" s="311"/>
      <c r="C78" s="311"/>
      <c r="D78" s="311"/>
      <c r="E78" s="42"/>
      <c r="F78" s="42"/>
      <c r="G78" s="42"/>
      <c r="H78" s="1003"/>
      <c r="I78" s="311"/>
      <c r="J78" s="2021"/>
      <c r="K78" s="3367"/>
      <c r="L78" s="3366"/>
      <c r="M78" s="2889" t="s">
        <v>425</v>
      </c>
      <c r="N78" s="1298"/>
      <c r="O78" s="1299" t="str">
        <f ca="1">NUMBERSTRING(INT(O77*10000),2)&amp;"元整"</f>
        <v>零元整</v>
      </c>
      <c r="P78" s="1300"/>
      <c r="Q78" s="2014"/>
      <c r="R78" s="2014"/>
      <c r="S78" s="2014"/>
      <c r="T78" s="2014"/>
      <c r="U78" s="2014"/>
      <c r="V78" s="2014"/>
    </row>
    <row r="79" spans="1:22" ht="13.5" hidden="1" thickBot="1">
      <c r="A79" s="3361" t="s">
        <v>427</v>
      </c>
      <c r="B79" s="3361"/>
      <c r="C79" s="3361"/>
      <c r="D79" s="3361"/>
      <c r="E79" s="3361"/>
      <c r="F79" s="42"/>
      <c r="G79" s="42"/>
      <c r="H79" s="1003"/>
      <c r="I79" s="311"/>
      <c r="J79" s="2021"/>
      <c r="K79" s="3387">
        <f>K77+1</f>
        <v>6</v>
      </c>
      <c r="L79" s="3366" t="s">
        <v>2881</v>
      </c>
      <c r="M79" s="2889" t="s">
        <v>421</v>
      </c>
      <c r="N79" s="1298"/>
      <c r="O79" s="1299" t="e">
        <f ca="1">N69-O77</f>
        <v>#VALUE!</v>
      </c>
      <c r="P79" s="1300"/>
      <c r="Q79" s="2014"/>
      <c r="R79" s="2014"/>
      <c r="S79" s="2014"/>
      <c r="T79" s="2014"/>
      <c r="U79" s="2014"/>
      <c r="V79" s="2014"/>
    </row>
    <row r="80" spans="1:22" ht="12.75" hidden="1">
      <c r="A80" s="3356" t="s">
        <v>428</v>
      </c>
      <c r="B80" s="3357"/>
      <c r="C80" s="994"/>
      <c r="D80" s="994" t="s">
        <v>429</v>
      </c>
      <c r="E80" s="370" t="s">
        <v>430</v>
      </c>
      <c r="F80" s="42"/>
      <c r="G80" s="42"/>
      <c r="H80" s="1003"/>
      <c r="I80" s="311"/>
      <c r="J80" s="2014"/>
      <c r="K80" s="3388"/>
      <c r="L80" s="3366"/>
      <c r="M80" s="2889" t="s">
        <v>425</v>
      </c>
      <c r="N80" s="1298"/>
      <c r="O80" s="1299" t="e">
        <f ca="1">NUMBERSTRING(INT(O79*10000),2)&amp;"元整"</f>
        <v>#VALUE!</v>
      </c>
      <c r="P80" s="1300"/>
      <c r="Q80" s="2014"/>
      <c r="R80" s="2014"/>
      <c r="S80" s="2014"/>
      <c r="T80" s="2014"/>
      <c r="U80" s="2014"/>
      <c r="V80" s="2014"/>
    </row>
    <row r="81" spans="1:26" ht="13.5" hidden="1" thickBot="1">
      <c r="A81" s="381" t="s">
        <v>1823</v>
      </c>
      <c r="B81" s="371" t="s">
        <v>431</v>
      </c>
      <c r="C81" s="372" t="e">
        <f ca="1">ROUND((C82+C83)/(1+'数据-取费表'!C42),0)</f>
        <v>#REF!</v>
      </c>
      <c r="D81" s="373"/>
      <c r="E81" s="374"/>
      <c r="F81" s="42"/>
      <c r="G81" s="42"/>
      <c r="H81" s="1003"/>
      <c r="I81" s="311"/>
      <c r="J81" s="2014"/>
      <c r="K81" s="2883">
        <f>K79+1</f>
        <v>7</v>
      </c>
      <c r="L81" s="3364" t="s">
        <v>2882</v>
      </c>
      <c r="M81" s="3365"/>
      <c r="N81" s="1302"/>
      <c r="O81" s="1303" t="e">
        <f ca="1">ROUND(O79*10000/'数据-汇总表'!E3,0)</f>
        <v>#VALUE!</v>
      </c>
      <c r="P81" s="1304"/>
      <c r="Q81" s="2014"/>
      <c r="R81" s="2014"/>
      <c r="S81" s="2014"/>
      <c r="T81" s="2014"/>
      <c r="U81" s="2014"/>
      <c r="V81" s="2014"/>
    </row>
    <row r="82" spans="1:26" ht="13.5" hidden="1" thickTop="1">
      <c r="A82" s="375" t="s">
        <v>1824</v>
      </c>
      <c r="B82" s="376" t="s">
        <v>432</v>
      </c>
      <c r="C82" s="377" t="e">
        <f ca="1">D63</f>
        <v>#REF!</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hidden="1">
      <c r="A83" s="375" t="s">
        <v>1825</v>
      </c>
      <c r="B83" s="376" t="s">
        <v>433</v>
      </c>
      <c r="C83" s="380">
        <v>0</v>
      </c>
      <c r="D83" s="378"/>
      <c r="E83" s="379"/>
      <c r="F83" s="42"/>
      <c r="G83" s="42"/>
      <c r="H83" s="1003"/>
      <c r="I83" s="311"/>
      <c r="J83" s="2014"/>
      <c r="K83" s="3376" t="s">
        <v>2869</v>
      </c>
      <c r="L83" s="2895" t="s">
        <v>2870</v>
      </c>
      <c r="M83" s="2885" t="e">
        <f>IF(N69&gt;10000,N69*0.5%,IF(AND(N69&gt;1000,N69&lt;=10000),N69*1%,IF(AND(N69&gt;100,N69&lt;=1000),N69*3%,IF(AND(N69&gt;10,N69&lt;=100),N69*5%,N69*8%))))</f>
        <v>#VALUE!</v>
      </c>
      <c r="N83" s="53" t="e">
        <f>ROUND(M83,1)</f>
        <v>#VALUE!</v>
      </c>
      <c r="O83" s="2888"/>
      <c r="P83" s="2014"/>
      <c r="Q83" s="2014"/>
      <c r="R83" s="2014"/>
      <c r="S83" s="2014"/>
      <c r="T83" s="2014"/>
      <c r="U83" s="2014"/>
      <c r="V83" s="2014"/>
    </row>
    <row r="84" spans="1:26" ht="12.75" hidden="1">
      <c r="A84" s="381" t="s">
        <v>1826</v>
      </c>
      <c r="B84" s="382" t="s">
        <v>434</v>
      </c>
      <c r="C84" s="383">
        <v>2000</v>
      </c>
      <c r="D84" s="384" t="s">
        <v>19</v>
      </c>
      <c r="E84" s="2930" t="s">
        <v>2937</v>
      </c>
      <c r="F84" s="42"/>
      <c r="G84" s="42"/>
      <c r="H84" s="1003"/>
      <c r="I84" s="311"/>
      <c r="J84" s="2014"/>
      <c r="K84" s="3376"/>
      <c r="L84" s="2895" t="s">
        <v>2871</v>
      </c>
      <c r="M84" s="2885"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2014" t="s">
        <v>2872</v>
      </c>
      <c r="P84" s="2014"/>
      <c r="Q84" s="2014"/>
      <c r="R84" s="2014"/>
      <c r="S84" s="2014"/>
      <c r="T84" s="2014"/>
      <c r="U84" s="2014"/>
      <c r="V84" s="2014"/>
    </row>
    <row r="85" spans="1:26" ht="12.75" hidden="1">
      <c r="A85" s="381" t="s">
        <v>1827</v>
      </c>
      <c r="B85" s="382" t="s">
        <v>435</v>
      </c>
      <c r="C85" s="385" t="e">
        <f ca="1">C81-C84</f>
        <v>#REF!</v>
      </c>
      <c r="D85" s="378" t="s">
        <v>19</v>
      </c>
      <c r="E85" s="379"/>
      <c r="F85" s="42"/>
      <c r="G85" s="42"/>
      <c r="H85" s="1003"/>
      <c r="I85" s="311"/>
      <c r="J85" s="2014"/>
      <c r="K85" s="3376"/>
      <c r="L85" s="2895" t="s">
        <v>2873</v>
      </c>
      <c r="M85" s="2885" t="e">
        <f>IF(N69&gt;1000,N69*0.1%,IF(AND(N69&gt;500,N69&lt;=1000),N69*0.5%,IF(AND(N69&gt;50,N69&lt;=500),N69*1%,IF(AND(N69&gt;1,N69&lt;=50),N69*1.5%))))</f>
        <v>#VALUE!</v>
      </c>
      <c r="N85" s="53" t="e">
        <f t="shared" si="2"/>
        <v>#VALUE!</v>
      </c>
      <c r="O85" s="2014" t="s">
        <v>2872</v>
      </c>
      <c r="P85" s="2014"/>
      <c r="Q85" s="2014"/>
      <c r="R85" s="2014"/>
      <c r="S85" s="2014"/>
      <c r="T85" s="2014"/>
      <c r="U85" s="2014"/>
      <c r="V85" s="2014"/>
    </row>
    <row r="86" spans="1:26" ht="13.5" hidden="1" thickBot="1">
      <c r="A86" s="386" t="s">
        <v>1828</v>
      </c>
      <c r="B86" s="387" t="s">
        <v>436</v>
      </c>
      <c r="C86" s="388" t="e">
        <f ca="1">IF(C85&lt;=0,0,ROUND(C85*D86,0))</f>
        <v>#REF!</v>
      </c>
      <c r="D86" s="389">
        <f>'数据-取费表'!B41</f>
        <v>5.6500000000000002E-2</v>
      </c>
      <c r="E86" s="390"/>
      <c r="F86" s="42"/>
      <c r="G86" s="42"/>
      <c r="H86" s="1003"/>
      <c r="I86" s="311"/>
      <c r="J86" s="2014"/>
      <c r="K86" s="3376"/>
      <c r="L86" s="2895" t="s">
        <v>2874</v>
      </c>
      <c r="M86" s="2885" t="e">
        <f>N69*0.5%</f>
        <v>#VALUE!</v>
      </c>
      <c r="N86" s="53" t="e">
        <f>IF(M86&gt;0.5,0.5,ROUND(M86,0))</f>
        <v>#VALUE!</v>
      </c>
      <c r="O86" s="2014" t="s">
        <v>2875</v>
      </c>
      <c r="P86" s="2014"/>
      <c r="Q86" s="2014"/>
      <c r="R86" s="2014"/>
      <c r="S86" s="2014"/>
      <c r="T86" s="2014"/>
      <c r="U86" s="2014"/>
      <c r="V86" s="2014"/>
    </row>
    <row r="87" spans="1:26" s="1250" customFormat="1" ht="14.25" hidden="1" customHeight="1">
      <c r="A87" s="1305"/>
      <c r="B87" s="1306"/>
      <c r="C87" s="1307"/>
      <c r="D87" s="1308"/>
      <c r="E87" s="1309"/>
      <c r="F87" s="42"/>
      <c r="G87" s="42"/>
      <c r="H87" s="1003"/>
      <c r="I87" s="311"/>
      <c r="J87" s="2014"/>
      <c r="K87" s="3376"/>
      <c r="L87" s="2895" t="s">
        <v>2876</v>
      </c>
      <c r="M87" s="2885"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888"/>
      <c r="P87" s="311"/>
      <c r="Q87" s="2014"/>
      <c r="R87" s="2014"/>
      <c r="S87" s="2014"/>
      <c r="T87" s="2014"/>
      <c r="U87" s="2014"/>
      <c r="V87" s="2014"/>
      <c r="W87" s="292"/>
      <c r="X87" s="292"/>
      <c r="Y87" s="292"/>
      <c r="Z87" s="292"/>
    </row>
    <row r="88" spans="1:26" s="1310" customFormat="1" ht="15" hidden="1" thickBot="1">
      <c r="A88" s="3358" t="s">
        <v>437</v>
      </c>
      <c r="B88" s="3359"/>
      <c r="C88" s="3359"/>
      <c r="D88" s="3359"/>
      <c r="E88" s="3359"/>
      <c r="F88" s="3359"/>
      <c r="G88" s="3359"/>
      <c r="H88" s="3359"/>
      <c r="I88" s="1311"/>
      <c r="J88" s="2022"/>
      <c r="K88" s="3376"/>
      <c r="L88" s="2895" t="s">
        <v>2877</v>
      </c>
      <c r="M88" s="2885" t="e">
        <f>IF(N69&gt;10000,N69*0.5%,IF(AND(N69&gt;5000,N69&lt;=10000),N69*1%,IF(AND(N69&gt;1000,N69&lt;=5000),N69*2%,IF(AND(N69&gt;200,N69&lt;=1000),N69*3%,N69*5%))))</f>
        <v>#VALUE!</v>
      </c>
      <c r="N88" s="53" t="e">
        <f>ROUND(M88,1)</f>
        <v>#VALUE!</v>
      </c>
      <c r="O88" s="2888"/>
      <c r="P88" s="11"/>
      <c r="Q88" s="2019"/>
      <c r="R88" s="2019"/>
      <c r="S88" s="2019"/>
      <c r="T88" s="2019"/>
      <c r="U88" s="2019"/>
      <c r="V88" s="2019"/>
      <c r="W88" s="2023"/>
      <c r="X88" s="2023"/>
      <c r="Y88" s="2023"/>
      <c r="Z88" s="2023"/>
    </row>
    <row r="89" spans="1:26" s="1310" customFormat="1" ht="14.25" hidden="1">
      <c r="A89" s="3356" t="s">
        <v>428</v>
      </c>
      <c r="B89" s="3357"/>
      <c r="C89" s="994"/>
      <c r="D89" s="994" t="s">
        <v>429</v>
      </c>
      <c r="E89" s="391" t="s">
        <v>438</v>
      </c>
      <c r="F89" s="392"/>
      <c r="G89" s="392"/>
      <c r="H89" s="393"/>
      <c r="I89" s="1312"/>
      <c r="J89" s="2024"/>
      <c r="K89" s="3376"/>
      <c r="L89" s="2895" t="s">
        <v>27</v>
      </c>
      <c r="M89" s="2886"/>
      <c r="N89" s="53" t="e">
        <f>ROUND(SUM(N83:N88),0)</f>
        <v>#VALUE!</v>
      </c>
      <c r="O89" s="2896" t="e">
        <f>N89/N69</f>
        <v>#VALUE!</v>
      </c>
      <c r="P89" s="2019"/>
      <c r="Q89" s="2019"/>
      <c r="R89" s="2019"/>
      <c r="S89" s="2019"/>
      <c r="T89" s="2019"/>
      <c r="U89" s="2019"/>
      <c r="V89" s="2019"/>
      <c r="W89" s="2023"/>
      <c r="X89" s="2023"/>
      <c r="Y89" s="2023"/>
      <c r="Z89" s="2023"/>
    </row>
    <row r="90" spans="1:26" s="1310" customFormat="1" ht="14.25" hidden="1">
      <c r="A90" s="381" t="s">
        <v>1823</v>
      </c>
      <c r="B90" s="382" t="s">
        <v>439</v>
      </c>
      <c r="C90" s="385" t="e">
        <f ca="1">ROUND(D63/(1+'数据-取费表'!C42),0)</f>
        <v>#REF!</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hidden="1">
      <c r="A91" s="381" t="s">
        <v>1829</v>
      </c>
      <c r="B91" s="348" t="s">
        <v>440</v>
      </c>
      <c r="C91" s="385" t="e">
        <f ca="1">C92+C96</f>
        <v>#REF!</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hidden="1">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hidden="1">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hidden="1" customHeight="1">
      <c r="A94" s="395" t="s">
        <v>1832</v>
      </c>
      <c r="B94" s="400" t="s">
        <v>446</v>
      </c>
      <c r="C94" s="378">
        <f>IF(F93="购房发票",ROUND(C93*H93*5%,0),0)</f>
        <v>500</v>
      </c>
      <c r="D94" s="401">
        <v>0.05</v>
      </c>
      <c r="E94" s="3319" t="s">
        <v>447</v>
      </c>
      <c r="F94" s="3318"/>
      <c r="G94" s="3318"/>
      <c r="H94" s="3355"/>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hidden="1"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2426</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hidden="1" customHeight="1">
      <c r="A96" s="395" t="s">
        <v>1834</v>
      </c>
      <c r="B96" s="376" t="s">
        <v>450</v>
      </c>
      <c r="C96" s="405" t="e">
        <f ca="1">ROUND(D63*D96/(1+'数据-取费表'!C42),0)</f>
        <v>#REF!</v>
      </c>
      <c r="D96" s="406">
        <f>'数据-取费表'!B43</f>
        <v>6.5000000000000006E-3</v>
      </c>
      <c r="E96" s="3347" t="s">
        <v>2425</v>
      </c>
      <c r="F96" s="3348"/>
      <c r="G96" s="3348"/>
      <c r="H96" s="3349"/>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hidden="1">
      <c r="A97" s="1603" t="s">
        <v>1835</v>
      </c>
      <c r="B97" s="382" t="s">
        <v>451</v>
      </c>
      <c r="C97" s="385" t="e">
        <f ca="1">C90-C91</f>
        <v>#REF!</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hidden="1">
      <c r="A98" s="1603" t="s">
        <v>1836</v>
      </c>
      <c r="B98" s="382" t="s">
        <v>452</v>
      </c>
      <c r="C98" s="407" t="e">
        <f ca="1">IF(C97&lt;=0,0,C97/C91)</f>
        <v>#REF!</v>
      </c>
      <c r="D98" s="378" t="s">
        <v>19</v>
      </c>
      <c r="E98" s="26" t="e">
        <f ca="1">IF(C98&gt;=200%,"增值额超过扣除项目金额200%",IF(C98&gt;=100%,"增值额超过扣除项目金额100%，未超过200%",IF(C98&gt;=50%,"增值额超过扣除项目金额50%，未超过100%",IF(C98&lt;50%,"增值额未超过扣除项目金额50%"))))</f>
        <v>#REF!</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hidden="1" thickBot="1">
      <c r="A99" s="1604" t="s">
        <v>1837</v>
      </c>
      <c r="B99" s="387" t="s">
        <v>453</v>
      </c>
      <c r="C99" s="408" t="e">
        <f ca="1">ROUND(IF(C97&lt;=0,0,IF(C98&gt;=200%,C97*60%-C91*35%,IF(C98&gt;=100%,C97*50%-C91*15%,IF(C98&gt;=50%,C97*40%-C91*5%,IF(C98&lt;50%,C97*30%,0))))),0)</f>
        <v>#REF!</v>
      </c>
      <c r="D99" s="409" t="s">
        <v>19</v>
      </c>
      <c r="E99" s="410"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hidden="1"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hidden="1" thickBot="1">
      <c r="A101" s="3358" t="s">
        <v>454</v>
      </c>
      <c r="B101" s="3359"/>
      <c r="C101" s="3359"/>
      <c r="D101" s="3359"/>
      <c r="E101" s="3359"/>
      <c r="F101" s="3359"/>
      <c r="G101" s="3359"/>
      <c r="H101" s="3359"/>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hidden="1">
      <c r="A102" s="3356" t="s">
        <v>428</v>
      </c>
      <c r="B102" s="3357"/>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hidden="1">
      <c r="A103" s="381" t="s">
        <v>1823</v>
      </c>
      <c r="B103" s="382" t="s">
        <v>439</v>
      </c>
      <c r="C103" s="385" t="e">
        <f ca="1">ROUND(D63/(1+'数据-取费表'!C42),0)</f>
        <v>#REF!</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hidden="1">
      <c r="A104" s="381" t="s">
        <v>1829</v>
      </c>
      <c r="B104" s="348" t="s">
        <v>440</v>
      </c>
      <c r="C104" s="385" t="e">
        <f ca="1">IF(H106="仅含出让金",C105+C108+C109+C110+C111+C112,C105+C109+C110+C111+C112)</f>
        <v>#REF!</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hidden="1">
      <c r="A105" s="395" t="s">
        <v>1830</v>
      </c>
      <c r="B105" s="376" t="s">
        <v>455</v>
      </c>
      <c r="C105" s="405">
        <f>C106+C107</f>
        <v>572</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hidden="1">
      <c r="A106" s="395" t="s">
        <v>1831</v>
      </c>
      <c r="B106" s="376" t="s">
        <v>456</v>
      </c>
      <c r="C106" s="416">
        <v>555</v>
      </c>
      <c r="D106" s="406"/>
      <c r="E106" s="417" t="s">
        <v>457</v>
      </c>
      <c r="F106" s="986"/>
      <c r="G106" s="418" t="s">
        <v>458</v>
      </c>
      <c r="H106" s="419" t="s">
        <v>2436</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hidden="1">
      <c r="A107" s="395" t="s">
        <v>1832</v>
      </c>
      <c r="B107" s="376" t="s">
        <v>448</v>
      </c>
      <c r="C107" s="405">
        <f>ROUND(C106*D107,0)</f>
        <v>17</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hidden="1">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hidden="1" customHeight="1">
      <c r="A109" s="1605" t="s">
        <v>1838</v>
      </c>
      <c r="B109" s="376" t="s">
        <v>461</v>
      </c>
      <c r="C109" s="405">
        <f>IF(H109="——",IF(F1="现房",'剩余法-现房'!C18,'剩余法-待开发'!C18),I109)</f>
        <v>55</v>
      </c>
      <c r="D109" s="406"/>
      <c r="E109" s="3350" t="s">
        <v>462</v>
      </c>
      <c r="F109" s="3348"/>
      <c r="G109" s="3348"/>
      <c r="H109" s="1927" t="s">
        <v>2277</v>
      </c>
      <c r="I109" s="1928">
        <v>55</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hidden="1" customHeight="1">
      <c r="A110" s="1605" t="s">
        <v>1839</v>
      </c>
      <c r="B110" s="376" t="s">
        <v>463</v>
      </c>
      <c r="C110" s="405">
        <f>ROUND((C105+C108+C109)*D110,0)</f>
        <v>63</v>
      </c>
      <c r="D110" s="406">
        <v>0.1</v>
      </c>
      <c r="E110" s="3350" t="s">
        <v>464</v>
      </c>
      <c r="F110" s="3348"/>
      <c r="G110" s="3348"/>
      <c r="H110" s="3349"/>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hidden="1" customHeight="1">
      <c r="A111" s="1605" t="s">
        <v>1840</v>
      </c>
      <c r="B111" s="376" t="s">
        <v>450</v>
      </c>
      <c r="C111" s="405" t="e">
        <f ca="1">ROUND(D63*D111/(1+'数据-取费表'!C42),0)</f>
        <v>#REF!</v>
      </c>
      <c r="D111" s="406">
        <f>'数据-取费表'!B43</f>
        <v>6.5000000000000006E-3</v>
      </c>
      <c r="E111" s="3347" t="s">
        <v>2425</v>
      </c>
      <c r="F111" s="3348"/>
      <c r="G111" s="3348"/>
      <c r="H111" s="3349"/>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hidden="1" customHeight="1">
      <c r="A112" s="1605" t="s">
        <v>1841</v>
      </c>
      <c r="B112" s="376" t="s">
        <v>465</v>
      </c>
      <c r="C112" s="405">
        <f>ROUND(C108*D112,0)</f>
        <v>0</v>
      </c>
      <c r="D112" s="406">
        <v>0.2</v>
      </c>
      <c r="E112" s="3350" t="s">
        <v>2450</v>
      </c>
      <c r="F112" s="3348"/>
      <c r="G112" s="3348"/>
      <c r="H112" s="3349"/>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hidden="1">
      <c r="A113" s="1603" t="s">
        <v>1835</v>
      </c>
      <c r="B113" s="382" t="s">
        <v>451</v>
      </c>
      <c r="C113" s="385" t="e">
        <f ca="1">ROUND(C103-C104,0)</f>
        <v>#REF!</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hidden="1">
      <c r="A114" s="1603" t="s">
        <v>1836</v>
      </c>
      <c r="B114" s="382" t="s">
        <v>452</v>
      </c>
      <c r="C114" s="407" t="e">
        <f ca="1">IF(C113&lt;=0,0,C113/C104)</f>
        <v>#REF!</v>
      </c>
      <c r="D114" s="378" t="s">
        <v>19</v>
      </c>
      <c r="E114" s="26" t="e">
        <f ca="1">IF(C114&gt;=200%,"增值额超过扣除项目金额200%",IF(C114&gt;=100%,"增值额超过扣除项目金额100%，未超过200%",IF(C114&gt;=50%,"增值额超过扣除项目金额50%，未超过100%",IF(C114&lt;50%,"增值额未超过扣除项目金额50%"))))</f>
        <v>#REF!</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hidden="1" thickBot="1">
      <c r="A115" s="1604" t="s">
        <v>1837</v>
      </c>
      <c r="B115" s="387" t="s">
        <v>453</v>
      </c>
      <c r="C115" s="408" t="e">
        <f ca="1">ROUND(IF(C113&lt;=0,0,IF(C114&gt;=200%,C113*60%-C104*35%,IF(C114&gt;=100%,C113*50%-C104*15%,IF(C114&gt;=50%,C113*40%-C104*5%,IF(C114&lt;50%,C113*30%,0))))),0)</f>
        <v>#REF!</v>
      </c>
      <c r="D115" s="409" t="s">
        <v>19</v>
      </c>
      <c r="E115" s="410"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59" priority="21" stopIfTrue="1" operator="equal">
      <formula>25</formula>
    </cfRule>
  </conditionalFormatting>
  <conditionalFormatting sqref="C8:C9">
    <cfRule type="cellIs" dxfId="158" priority="19" stopIfTrue="1" operator="equal">
      <formula>15</formula>
    </cfRule>
  </conditionalFormatting>
  <conditionalFormatting sqref="C14:C16">
    <cfRule type="cellIs" dxfId="157" priority="13" stopIfTrue="1" operator="equal">
      <formula>30</formula>
    </cfRule>
  </conditionalFormatting>
  <conditionalFormatting sqref="D5:D7">
    <cfRule type="cellIs" dxfId="156" priority="10" stopIfTrue="1" operator="equal">
      <formula>25</formula>
    </cfRule>
  </conditionalFormatting>
  <conditionalFormatting sqref="D8:D9">
    <cfRule type="cellIs" dxfId="155" priority="9" stopIfTrue="1" operator="equal">
      <formula>15</formula>
    </cfRule>
  </conditionalFormatting>
  <conditionalFormatting sqref="C10:D13">
    <cfRule type="cellIs" dxfId="154" priority="8" stopIfTrue="1" operator="equal">
      <formula>15</formula>
    </cfRule>
  </conditionalFormatting>
  <conditionalFormatting sqref="D14:D16">
    <cfRule type="cellIs" dxfId="153" priority="6" stopIfTrue="1" operator="equal">
      <formula>30</formula>
    </cfRule>
  </conditionalFormatting>
  <conditionalFormatting sqref="C108">
    <cfRule type="expression" dxfId="152" priority="3" stopIfTrue="1">
      <formula>$H$106&lt;&gt;"仅含出让金"</formula>
    </cfRule>
  </conditionalFormatting>
  <conditionalFormatting sqref="C109">
    <cfRule type="expression" dxfId="151" priority="2" stopIfTrue="1">
      <formula>$H$109="由企业提供"</formula>
    </cfRule>
  </conditionalFormatting>
  <conditionalFormatting sqref="I33">
    <cfRule type="expression" dxfId="150"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B16" sqref="A16:XFD16"/>
    </sheetView>
  </sheetViews>
  <sheetFormatPr defaultColWidth="12" defaultRowHeight="12"/>
  <cols>
    <col min="1" max="1" width="9.75" style="1401" customWidth="1"/>
    <col min="2" max="2" width="20.875" style="1516" customWidth="1"/>
    <col min="3" max="4" width="12" style="1402"/>
    <col min="5" max="5" width="14.625" style="1402" customWidth="1"/>
    <col min="6" max="8" width="12" style="1402"/>
    <col min="9" max="9" width="12.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2423</v>
      </c>
      <c r="D1" s="1509">
        <f>SUM(D29:D30,D33:D39)</f>
        <v>17100</v>
      </c>
      <c r="E1" s="1403" t="s">
        <v>2424</v>
      </c>
      <c r="F1" s="2417">
        <f>'数据-汇总表'!D3</f>
        <v>5500</v>
      </c>
      <c r="G1" s="1398"/>
      <c r="H1" s="1398"/>
      <c r="I1" s="1398"/>
      <c r="J1" s="1398"/>
      <c r="K1" s="1398"/>
      <c r="L1" s="1868" t="s">
        <v>2236</v>
      </c>
      <c r="M1" s="1869">
        <f>SUMPRODUCT((区片价!B5:B9=I2)*(区片价!C3:F3=E2)*(区片价!C5:F9))</f>
        <v>0</v>
      </c>
      <c r="N1" s="1870">
        <f>SUMPRODUCT((因素修正幅度!B5:B9=I2)*(因素修正幅度!C3:F3=E2)*(因素修正幅度!C5:F9))</f>
        <v>0</v>
      </c>
      <c r="O1" s="1398"/>
      <c r="P1" s="1398"/>
      <c r="Q1" s="2175"/>
      <c r="R1" s="2776" t="s">
        <v>2757</v>
      </c>
      <c r="S1" s="2776" t="s">
        <v>2758</v>
      </c>
      <c r="T1" s="2776" t="s">
        <v>2779</v>
      </c>
      <c r="U1" s="2776" t="s">
        <v>2780</v>
      </c>
      <c r="V1" s="2776" t="s">
        <v>2781</v>
      </c>
      <c r="W1" s="2175"/>
      <c r="X1" s="2175"/>
      <c r="Y1" s="2175"/>
      <c r="Z1" s="2175"/>
      <c r="AA1" s="2175"/>
      <c r="AB1" s="2175"/>
      <c r="AC1" s="2176"/>
    </row>
    <row r="2" spans="1:39" ht="15.75">
      <c r="A2" s="1403" t="s">
        <v>920</v>
      </c>
      <c r="B2" s="1038">
        <f ca="1">C26</f>
        <v>10939</v>
      </c>
      <c r="C2" s="1404" t="s">
        <v>921</v>
      </c>
      <c r="D2" s="1405" t="s">
        <v>922</v>
      </c>
      <c r="E2" s="1406" t="s">
        <v>1677</v>
      </c>
      <c r="F2" s="1405" t="s">
        <v>924</v>
      </c>
      <c r="G2" s="1638" t="str">
        <f>IF(E2="商业",项目基本情况!B43,IF(E2="办公",项目基本情况!C43,IF(E2="住宅",项目基本情况!D43,项目基本情况!E43)))</f>
        <v>八级</v>
      </c>
      <c r="H2" s="1405" t="s">
        <v>926</v>
      </c>
      <c r="I2" s="1639" t="str">
        <f>IF(E2="商业",项目基本情况!B44,IF(E2="办公",项目基本情况!C44,IF(E2="住宅",项目基本情况!D44,项目基本情况!E44)))</f>
        <v>Ⅷ-通1</v>
      </c>
      <c r="J2" s="1407"/>
      <c r="K2" s="1407"/>
      <c r="L2" s="1871" t="s">
        <v>2237</v>
      </c>
      <c r="M2" s="1872">
        <f>SUMPRODUCT((区片价!B10:B28=I2)*(区片价!C3:F3=E2)*(区片价!C10:F28))</f>
        <v>0</v>
      </c>
      <c r="N2" s="1873">
        <f>SUMPRODUCT((因素修正幅度!B10:B28=I2)*(因素修正幅度!C3:F3=E2)*(因素修正幅度!C10:F28))</f>
        <v>0</v>
      </c>
      <c r="O2" s="1407"/>
      <c r="P2" s="1398"/>
      <c r="Q2" s="2175"/>
      <c r="R2" s="2777">
        <v>1</v>
      </c>
      <c r="S2" s="2777">
        <f>ROUND(IF(G3&gt;1,IF(R2&lt;7,SUMPRODUCT((B93:B98=R2)*(C92:N92=G2)*(C93:N98)),SUMIF(C92:N92,G2,C100:N100)),IF(R2&lt;7,SUMPRODUCT((B102:B107=R2)*(C92:N92=G2)*(C102:N107)),SUMIF(C92:N92,G2,C109:N109))),4)</f>
        <v>1.9419999999999999</v>
      </c>
      <c r="T2" s="2777">
        <f ca="1">ROUND($C$5*$C$18*$C$19*$C$20*S2*$C$24,0)</f>
        <v>14465</v>
      </c>
      <c r="U2" s="2766"/>
      <c r="V2" s="2777">
        <f ca="1">ROUND(T2*U2/10000,0)</f>
        <v>0</v>
      </c>
      <c r="W2" s="2175"/>
      <c r="X2" s="2175"/>
      <c r="Y2" s="2175"/>
      <c r="Z2" s="2175"/>
      <c r="AA2" s="2175"/>
      <c r="AB2" s="2175"/>
      <c r="AC2" s="2176"/>
    </row>
    <row r="3" spans="1:39" ht="24">
      <c r="A3" s="1408" t="s">
        <v>1687</v>
      </c>
      <c r="B3" s="1038">
        <f ca="1">ROUND(B2*10000/D1,0)</f>
        <v>6397</v>
      </c>
      <c r="C3" s="1404" t="s">
        <v>927</v>
      </c>
      <c r="D3" s="1405" t="s">
        <v>928</v>
      </c>
      <c r="E3" s="1409" t="s">
        <v>3012</v>
      </c>
      <c r="F3" s="1410" t="s">
        <v>3023</v>
      </c>
      <c r="G3" s="1039">
        <f>IF(F3="宗地容积率",'数据-汇总表'!I4,IF(F3="估价对象容积率",'数据-汇总表'!I6,'数据-汇总表'!I7))</f>
        <v>3.11</v>
      </c>
      <c r="H3" s="1411" t="s">
        <v>929</v>
      </c>
      <c r="I3" s="1040">
        <v>8</v>
      </c>
      <c r="J3" s="1407" t="s">
        <v>930</v>
      </c>
      <c r="K3" s="1407"/>
      <c r="L3" s="1871" t="s">
        <v>2238</v>
      </c>
      <c r="M3" s="1872">
        <f>SUMPRODUCT((区片价!B29:B48=I2)*(区片价!C3:F3=E2)*(区片价!C29:F48))</f>
        <v>0</v>
      </c>
      <c r="N3" s="1873">
        <f>SUMPRODUCT((因素修正幅度!B29:B48=I2)*(因素修正幅度!C3:F3=E2)*(因素修正幅度!C29:F48))</f>
        <v>0</v>
      </c>
      <c r="O3" s="1407"/>
      <c r="P3" s="1398"/>
      <c r="Q3" s="2175"/>
      <c r="R3" s="2777">
        <v>2</v>
      </c>
      <c r="S3" s="2777">
        <f>ROUND(IF(G3&gt;1,IF(R3&lt;7,SUMPRODUCT((B93:B98=R3)*(C92:N92=G2)*(C93:N98)),SUMIF(C92:N92,G2,C100:N100)),IF(R3&lt;7,SUMPRODUCT((B102:B107=R3)*(C92:N92=G2)*(C102:N107)),SUMIF(C92:N92,G2,C109:N109))),4)</f>
        <v>1.2799</v>
      </c>
      <c r="T3" s="2777">
        <f t="shared" ref="T3:T16" ca="1" si="0">ROUND($C$5*$C$18*$C$19*$C$20*S3*$C$24,0)</f>
        <v>9533</v>
      </c>
      <c r="U3" s="2766"/>
      <c r="V3" s="2777">
        <f t="shared" ref="V3:V16" ca="1" si="1">ROUND(T3*U3/10000,0)</f>
        <v>0</v>
      </c>
      <c r="W3" s="2175"/>
      <c r="X3" s="2175"/>
      <c r="Y3" s="2175"/>
      <c r="Z3" s="2175"/>
      <c r="AA3" s="2175"/>
      <c r="AB3" s="2175"/>
      <c r="AC3" s="2176"/>
    </row>
    <row r="4" spans="1:39" ht="28.5">
      <c r="A4" s="1877" t="s">
        <v>2278</v>
      </c>
      <c r="B4" s="2418">
        <f ca="1">ROUND(B2*10000/F1,0)</f>
        <v>19889</v>
      </c>
      <c r="C4" s="1880" t="s">
        <v>2252</v>
      </c>
      <c r="D4" s="1880">
        <f ca="1">ROUND(B2/(F1/666.67),0)</f>
        <v>1326</v>
      </c>
      <c r="E4" s="1880" t="s">
        <v>2253</v>
      </c>
      <c r="F4" s="1878"/>
      <c r="G4" s="1878"/>
      <c r="H4" s="1878"/>
      <c r="I4" s="1878"/>
      <c r="J4" s="1879"/>
      <c r="K4" s="3002"/>
      <c r="L4" s="1871" t="s">
        <v>2239</v>
      </c>
      <c r="M4" s="1872">
        <f>SUMPRODUCT((区片价!B49:B75=I2)*(区片价!C3:F3=E2)*(区片价!C49:F75))</f>
        <v>0</v>
      </c>
      <c r="N4" s="1873">
        <f>SUMPRODUCT((因素修正幅度!B49:B75=I2)*(因素修正幅度!C3:F3=E2)*(因素修正幅度!C49:F75))</f>
        <v>0</v>
      </c>
      <c r="O4" s="3002"/>
      <c r="P4" s="1398"/>
      <c r="Q4" s="2175"/>
      <c r="R4" s="2777">
        <v>3</v>
      </c>
      <c r="S4" s="2777">
        <f>ROUND(IF(G3&gt;1,IF(R4&lt;7,SUMPRODUCT((B93:B98=R4)*(C92:N92=G2)*(C93:N98)),SUMIF(C92:N92,G2,C100:N100)),IF(R4&lt;7,SUMPRODUCT((B102:B107=R4)*(C92:N92=G2)*(C102:N107)),SUMIF(C92:N92,G2,C109:N109))),4)</f>
        <v>1.0072000000000001</v>
      </c>
      <c r="T4" s="2777">
        <f t="shared" ca="1" si="0"/>
        <v>7502</v>
      </c>
      <c r="U4" s="2766"/>
      <c r="V4" s="2777">
        <f t="shared" ca="1" si="1"/>
        <v>0</v>
      </c>
      <c r="W4" s="2175"/>
      <c r="X4" s="2175"/>
      <c r="Y4" s="2175"/>
      <c r="Z4" s="2175"/>
      <c r="AA4" s="2175"/>
      <c r="AB4" s="2175"/>
      <c r="AC4" s="2176"/>
    </row>
    <row r="5" spans="1:39" s="1418" customFormat="1" ht="15.75" thickBot="1">
      <c r="A5" s="1624" t="s">
        <v>1823</v>
      </c>
      <c r="B5" s="1412" t="s">
        <v>931</v>
      </c>
      <c r="C5" s="1041">
        <f>ROUND(IF(E2="商业",C6*C7+C16,(IF(E2="住宅",C6*C12+C16,C6+C16))),0)</f>
        <v>5250</v>
      </c>
      <c r="D5" s="2943">
        <f>ROUND(C6+C16,0)</f>
        <v>5250</v>
      </c>
      <c r="E5" s="2943"/>
      <c r="F5" s="1413"/>
      <c r="G5" s="1414"/>
      <c r="H5" s="1414"/>
      <c r="I5" s="1414"/>
      <c r="J5" s="1415"/>
      <c r="K5" s="3003"/>
      <c r="L5" s="1871" t="s">
        <v>2240</v>
      </c>
      <c r="M5" s="1872">
        <f>SUMPRODUCT((区片价!B76:B109=I2)*(区片价!C3:F3=E2)*(区片价!C76:F109))</f>
        <v>0</v>
      </c>
      <c r="N5" s="1873">
        <f>SUMPRODUCT((因素修正幅度!B76:B109=I2)*(因素修正幅度!C3:F3=E2)*(因素修正幅度!C76:F109))</f>
        <v>0</v>
      </c>
      <c r="O5" s="3003"/>
      <c r="P5" s="1581"/>
      <c r="Q5" s="2175"/>
      <c r="R5" s="2777">
        <v>4</v>
      </c>
      <c r="S5" s="2777">
        <f>ROUND(IF(G3&gt;1,IF(R5&lt;7,SUMPRODUCT((B93:B98=R5)*(C92:N92=G2)*(C93:N98)),SUMIF(C92:N92,G2,C100:N100)),IF(R5&lt;7,SUMPRODUCT((B102:B107=R5)*(C92:N92=G2)*(C102:N107)),SUMIF(C92:N92,G2,C109:N109))),4)</f>
        <v>0.75249999999999995</v>
      </c>
      <c r="T5" s="2777">
        <f t="shared" ca="1" si="0"/>
        <v>5605</v>
      </c>
      <c r="U5" s="2766"/>
      <c r="V5" s="2777">
        <f t="shared" ca="1" si="1"/>
        <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5250</v>
      </c>
      <c r="D6" s="1420" t="s">
        <v>1695</v>
      </c>
      <c r="E6" s="1421"/>
      <c r="F6" s="1421"/>
      <c r="G6" s="1422"/>
      <c r="H6" s="1422"/>
      <c r="I6" s="1422"/>
      <c r="J6" s="1423"/>
      <c r="K6" s="1453"/>
      <c r="L6" s="1871" t="s">
        <v>2241</v>
      </c>
      <c r="M6" s="1872">
        <f>SUMPRODUCT((区片价!B110:B157=I2)*(区片价!C3:F3=E2)*(区片价!C110:F157))</f>
        <v>0</v>
      </c>
      <c r="N6" s="1873">
        <f>SUMPRODUCT((因素修正幅度!B110:B157=I2)*(因素修正幅度!C3:F3=E2)*(因素修正幅度!C110:F157))</f>
        <v>0</v>
      </c>
      <c r="O6" s="1453"/>
      <c r="P6" s="1582"/>
      <c r="Q6" s="2175"/>
      <c r="R6" s="2777">
        <v>5</v>
      </c>
      <c r="S6" s="2777">
        <f>ROUND(IF(G3&gt;1,IF(R6&lt;7,SUMPRODUCT((B93:B98=R6)*(C92:N92=G2)*(C93:N98)),SUMIF(C92:N92,G2,C100:N100)),IF(R6&lt;7,SUMPRODUCT((B102:B107=R6)*(C92:N92=G2)*(C102:N107)),SUMIF(C92:N92,G2,C109:N109))),4)</f>
        <v>0.56589999999999996</v>
      </c>
      <c r="T6" s="2777">
        <f t="shared" ca="1" si="0"/>
        <v>4215</v>
      </c>
      <c r="U6" s="2766"/>
      <c r="V6" s="2777">
        <f t="shared" ca="1" si="1"/>
        <v>0</v>
      </c>
      <c r="W6" s="2175"/>
      <c r="X6" s="2175"/>
      <c r="Y6" s="2175"/>
      <c r="Z6" s="2175"/>
      <c r="AA6" s="2175"/>
      <c r="AB6" s="2175"/>
      <c r="AC6" s="2177"/>
      <c r="AD6" s="1416"/>
      <c r="AE6" s="1416"/>
      <c r="AF6" s="1416"/>
      <c r="AG6" s="1416"/>
      <c r="AH6" s="1416"/>
      <c r="AI6" s="1416"/>
      <c r="AJ6" s="1417"/>
    </row>
    <row r="7" spans="1:39" ht="24">
      <c r="A7" s="3403" t="str">
        <f>IF(E2="商业",IF(C8="不临58条商业街","",2),"")</f>
        <v/>
      </c>
      <c r="B7" s="1424" t="s">
        <v>932</v>
      </c>
      <c r="C7" s="1043">
        <f>IF(C8="不临58条商业街",1,ROUND(1+(1.6*E8+1.2*E9+0.8*E10+0.4*E11)*C9,4))</f>
        <v>1</v>
      </c>
      <c r="D7" s="1425" t="s">
        <v>933</v>
      </c>
      <c r="E7" s="1044">
        <v>6</v>
      </c>
      <c r="F7" s="1426"/>
      <c r="G7" s="1427"/>
      <c r="H7" s="1427"/>
      <c r="I7" s="1427"/>
      <c r="J7" s="1428"/>
      <c r="K7" s="1453"/>
      <c r="L7" s="1871" t="s">
        <v>2242</v>
      </c>
      <c r="M7" s="1872">
        <f>SUMPRODUCT((区片价!B158:B205=I2)*(区片价!C3:F3=E2)*(区片价!C158:F205))</f>
        <v>0</v>
      </c>
      <c r="N7" s="1873">
        <f>SUMPRODUCT((因素修正幅度!B158:B205=I2)*(因素修正幅度!C3:F3=E2)*(因素修正幅度!C158:F205))</f>
        <v>0</v>
      </c>
      <c r="O7" s="1453"/>
      <c r="P7" s="1582"/>
      <c r="Q7" s="2175"/>
      <c r="R7" s="2777">
        <v>6</v>
      </c>
      <c r="S7" s="2777">
        <f>ROUND(IF(G3&gt;1,IF(R7&lt;7,SUMPRODUCT((B93:B98=R7)*(C92:N92=G2)*(C93:N98)),SUMIF(C92:N92,G2,C100:N100)),IF(R7&lt;7,SUMPRODUCT((B102:B107=R7)*(C92:N92=G2)*(C102:N107)),SUMIF(C92:N92,G2,C109:N109))),4)</f>
        <v>0.45250000000000001</v>
      </c>
      <c r="T7" s="2777">
        <f t="shared" ca="1" si="0"/>
        <v>3370</v>
      </c>
      <c r="U7" s="2766"/>
      <c r="V7" s="2777">
        <f t="shared" ca="1" si="1"/>
        <v>0</v>
      </c>
      <c r="W7" s="2775" t="s">
        <v>2760</v>
      </c>
      <c r="X7" s="2767" t="str">
        <f>G2</f>
        <v>八级</v>
      </c>
      <c r="Y7" s="2767" t="s">
        <v>2761</v>
      </c>
      <c r="Z7" s="2768">
        <f>G3</f>
        <v>3.11</v>
      </c>
      <c r="AA7" s="2178"/>
      <c r="AB7" s="2178"/>
      <c r="AC7" s="2179"/>
      <c r="AD7" s="2769"/>
      <c r="AE7" s="2769"/>
      <c r="AF7" s="2769"/>
      <c r="AG7" s="2769"/>
      <c r="AH7" s="2769"/>
      <c r="AI7" s="2769"/>
      <c r="AJ7" s="2770"/>
    </row>
    <row r="8" spans="1:39" ht="15">
      <c r="A8" s="3404"/>
      <c r="B8" s="1411" t="s">
        <v>934</v>
      </c>
      <c r="C8" s="1517"/>
      <c r="D8" s="1045" t="s">
        <v>935</v>
      </c>
      <c r="E8" s="1046">
        <f>ROUND(C11/E7,4)</f>
        <v>0</v>
      </c>
      <c r="F8" s="1429" t="s">
        <v>936</v>
      </c>
      <c r="G8" s="1430"/>
      <c r="H8" s="1430"/>
      <c r="I8" s="1430"/>
      <c r="J8" s="1431"/>
      <c r="K8" s="1453"/>
      <c r="L8" s="1871" t="s">
        <v>2243</v>
      </c>
      <c r="M8" s="1872">
        <f>SUMPRODUCT((区片价!B206:B244=I2)*(区片价!C3:F3=E2)*(区片价!C206:F244))</f>
        <v>5250</v>
      </c>
      <c r="N8" s="1873">
        <f>SUMPRODUCT((因素修正幅度!B206:B244=I2)*(因素修正幅度!C3:F3=E2)*(因素修正幅度!C206:F244))</f>
        <v>0.15</v>
      </c>
      <c r="O8" s="1453"/>
      <c r="P8" s="1398"/>
      <c r="Q8" s="2175"/>
      <c r="R8" s="2777">
        <v>7</v>
      </c>
      <c r="S8" s="2766"/>
      <c r="T8" s="2777">
        <f t="shared" ca="1" si="0"/>
        <v>0</v>
      </c>
      <c r="U8" s="2766"/>
      <c r="V8" s="2777">
        <f t="shared" ca="1" si="1"/>
        <v>0</v>
      </c>
      <c r="W8" s="3393" t="s">
        <v>2778</v>
      </c>
      <c r="X8" s="3394"/>
      <c r="Y8" s="1835" t="s">
        <v>2762</v>
      </c>
      <c r="Z8" s="1835" t="s">
        <v>2763</v>
      </c>
      <c r="AA8" s="1835" t="s">
        <v>2764</v>
      </c>
      <c r="AB8" s="1835" t="s">
        <v>2765</v>
      </c>
      <c r="AC8" s="1835" t="s">
        <v>2766</v>
      </c>
      <c r="AD8" s="1835" t="s">
        <v>2767</v>
      </c>
      <c r="AE8" s="1835" t="s">
        <v>2768</v>
      </c>
      <c r="AF8" s="1835" t="s">
        <v>2769</v>
      </c>
      <c r="AG8" s="1835" t="s">
        <v>2770</v>
      </c>
      <c r="AH8" s="1835" t="s">
        <v>2771</v>
      </c>
      <c r="AI8" s="1835" t="s">
        <v>2772</v>
      </c>
      <c r="AJ8" s="1835" t="s">
        <v>2773</v>
      </c>
    </row>
    <row r="9" spans="1:39" ht="15">
      <c r="A9" s="3404"/>
      <c r="B9" s="1411" t="s">
        <v>937</v>
      </c>
      <c r="C9" s="1047">
        <f>SUMIF(修正!C59:C119,C8,修正!E59:E119)</f>
        <v>0</v>
      </c>
      <c r="D9" s="1048" t="s">
        <v>938</v>
      </c>
      <c r="E9" s="1048">
        <f>ROUND(C11/E7,4)</f>
        <v>0</v>
      </c>
      <c r="F9" s="1429" t="s">
        <v>939</v>
      </c>
      <c r="G9" s="1430"/>
      <c r="H9" s="1430"/>
      <c r="I9" s="1430"/>
      <c r="J9" s="1431"/>
      <c r="K9" s="1453"/>
      <c r="L9" s="1871" t="s">
        <v>2244</v>
      </c>
      <c r="M9" s="1872">
        <f>SUMPRODUCT((区片价!B245:B289=I2)*(区片价!C3:F3=E2)*(区片价!C245:F289))</f>
        <v>0</v>
      </c>
      <c r="N9" s="1873">
        <f>SUMPRODUCT((因素修正幅度!B245:B289=I2)*(因素修正幅度!C3:F3=E2)*(因素修正幅度!C245:F289))</f>
        <v>0</v>
      </c>
      <c r="O9" s="1453"/>
      <c r="P9" s="1398"/>
      <c r="Q9" s="2175"/>
      <c r="R9" s="2777">
        <v>8</v>
      </c>
      <c r="S9" s="2766"/>
      <c r="T9" s="2777">
        <f t="shared" ca="1" si="0"/>
        <v>0</v>
      </c>
      <c r="U9" s="2766"/>
      <c r="V9" s="2777">
        <f t="shared" ca="1" si="1"/>
        <v>0</v>
      </c>
      <c r="W9" s="3392" t="s">
        <v>2774</v>
      </c>
      <c r="X9" s="2771" t="s">
        <v>2775</v>
      </c>
      <c r="Y9" s="2928"/>
      <c r="Z9" s="2772">
        <f t="shared" ref="Z9:AJ9" si="2">$Y$9</f>
        <v>0</v>
      </c>
      <c r="AA9" s="2772">
        <f t="shared" si="2"/>
        <v>0</v>
      </c>
      <c r="AB9" s="2772">
        <f t="shared" si="2"/>
        <v>0</v>
      </c>
      <c r="AC9" s="2772">
        <f t="shared" si="2"/>
        <v>0</v>
      </c>
      <c r="AD9" s="2772">
        <f t="shared" si="2"/>
        <v>0</v>
      </c>
      <c r="AE9" s="2772">
        <f t="shared" si="2"/>
        <v>0</v>
      </c>
      <c r="AF9" s="2772">
        <f t="shared" si="2"/>
        <v>0</v>
      </c>
      <c r="AG9" s="2772">
        <f t="shared" si="2"/>
        <v>0</v>
      </c>
      <c r="AH9" s="2772">
        <f t="shared" si="2"/>
        <v>0</v>
      </c>
      <c r="AI9" s="2772">
        <f t="shared" si="2"/>
        <v>0</v>
      </c>
      <c r="AJ9" s="2772">
        <f t="shared" si="2"/>
        <v>0</v>
      </c>
    </row>
    <row r="10" spans="1:39" ht="15">
      <c r="A10" s="3404"/>
      <c r="B10" s="1411" t="s">
        <v>940</v>
      </c>
      <c r="C10" s="1048">
        <f>SUMIF(修正!C59:C119,C8,修正!F59:F119)</f>
        <v>0</v>
      </c>
      <c r="D10" s="1048" t="s">
        <v>941</v>
      </c>
      <c r="E10" s="1048">
        <f>ROUND(C11/E7,4)</f>
        <v>0</v>
      </c>
      <c r="F10" s="1429" t="s">
        <v>942</v>
      </c>
      <c r="G10" s="1430"/>
      <c r="H10" s="1430"/>
      <c r="I10" s="1430"/>
      <c r="J10" s="1431"/>
      <c r="K10" s="1453"/>
      <c r="L10" s="1871" t="s">
        <v>2245</v>
      </c>
      <c r="M10" s="1872">
        <f>SUMPRODUCT((区片价!B290:B316=I2)*(区片价!C3:F3=E2)*(区片价!C290:F316))</f>
        <v>0</v>
      </c>
      <c r="N10" s="1873">
        <f>SUMPRODUCT((因素修正幅度!B290:B316=I2)*(因素修正幅度!C3:F3=E2)*(因素修正幅度!C290:F316))</f>
        <v>0</v>
      </c>
      <c r="O10" s="1453"/>
      <c r="P10" s="1398"/>
      <c r="Q10" s="2175"/>
      <c r="R10" s="2777">
        <v>9</v>
      </c>
      <c r="S10" s="2766"/>
      <c r="T10" s="2777">
        <f t="shared" ca="1" si="0"/>
        <v>0</v>
      </c>
      <c r="U10" s="2766"/>
      <c r="V10" s="2777">
        <f t="shared" ca="1" si="1"/>
        <v>0</v>
      </c>
      <c r="W10" s="3392"/>
      <c r="X10" s="2771">
        <v>7</v>
      </c>
      <c r="Y10" s="2773">
        <f>(-0.163*(Y9^2)-0.59*Y9+7617)*(10^(-4))</f>
        <v>0.76170000000000004</v>
      </c>
      <c r="Z10" s="2773">
        <f>(-0.163*(Z9^2)-0.59*Z9+7617)*(10^(-4))</f>
        <v>0.76170000000000004</v>
      </c>
      <c r="AA10" s="2773">
        <f>(-0.161*(AA9^2)-7.509*AA9+6533)*(10^(-4))</f>
        <v>0.65329999999999999</v>
      </c>
      <c r="AB10" s="2773">
        <f>(-0.161*(AB9^2)-7.509*AB9+6533)*(10^(-4))</f>
        <v>0.65329999999999999</v>
      </c>
      <c r="AC10" s="2773">
        <f>(-0.161*(AC9^2)-7.509*AC9+6533)*(10^(-4))</f>
        <v>0.65329999999999999</v>
      </c>
      <c r="AD10" s="2773">
        <f>(-0.161*(AD9^2)-7.509*AD9+6533)*(10^(-4))</f>
        <v>0.65329999999999999</v>
      </c>
      <c r="AE10" s="2773">
        <f>(-0.161*(AE9^2)-7.509*AE9+6533)*(10^(-4))</f>
        <v>0.65329999999999999</v>
      </c>
      <c r="AF10" s="2773">
        <f>(-0.214*(AF9^2)-21.991*AF9+4665)*(10^(-4))</f>
        <v>0.46650000000000003</v>
      </c>
      <c r="AG10" s="2773">
        <f>(-0.214*(AG9^2)-21.991*AG9+4665)*(10^(-4))</f>
        <v>0.46650000000000003</v>
      </c>
      <c r="AH10" s="2773">
        <f>(-0.214*(AH9^2)-21.991*AH9+4665)*(10^(-4))</f>
        <v>0.46650000000000003</v>
      </c>
      <c r="AI10" s="2773">
        <f>(-0.214*(AI9^2)-21.991*AI9+4665)*(10^(-4))</f>
        <v>0.46650000000000003</v>
      </c>
      <c r="AJ10" s="2773">
        <f>(-0.214*(AJ9^2)-21.991*AJ9+4665)*(10^(-4))</f>
        <v>0.46650000000000003</v>
      </c>
    </row>
    <row r="11" spans="1:39" ht="15.75" customHeight="1" thickBot="1">
      <c r="A11" s="3404"/>
      <c r="B11" s="1432" t="s">
        <v>943</v>
      </c>
      <c r="C11" s="1049">
        <f>C10/4</f>
        <v>0</v>
      </c>
      <c r="D11" s="1049" t="s">
        <v>944</v>
      </c>
      <c r="E11" s="1049">
        <f>ROUND(C11/E7,4)</f>
        <v>0</v>
      </c>
      <c r="F11" s="1433" t="s">
        <v>945</v>
      </c>
      <c r="G11" s="1434"/>
      <c r="H11" s="1434"/>
      <c r="I11" s="1434"/>
      <c r="J11" s="1435"/>
      <c r="K11" s="1453"/>
      <c r="L11" s="1871" t="s">
        <v>2246</v>
      </c>
      <c r="M11" s="1872">
        <f>SUMPRODUCT((区片价!B317:B337=I2)*(区片价!C3:F3=E2)*(区片价!C317:F337))</f>
        <v>0</v>
      </c>
      <c r="N11" s="1873">
        <f>SUMPRODUCT((因素修正幅度!B317:B337=I2)*(因素修正幅度!C3:F3=E2)*(因素修正幅度!C317:F337))</f>
        <v>0</v>
      </c>
      <c r="O11" s="1453"/>
      <c r="P11" s="1398"/>
      <c r="Q11" s="2175"/>
      <c r="R11" s="2777">
        <v>10</v>
      </c>
      <c r="S11" s="2766"/>
      <c r="T11" s="2777">
        <f t="shared" ca="1" si="0"/>
        <v>0</v>
      </c>
      <c r="U11" s="2766"/>
      <c r="V11" s="2777">
        <f t="shared" ca="1" si="1"/>
        <v>0</v>
      </c>
      <c r="W11" s="3392" t="s">
        <v>2776</v>
      </c>
      <c r="X11" s="1048" t="s">
        <v>2761</v>
      </c>
      <c r="Y11" s="1639">
        <f>$G$3</f>
        <v>3.11</v>
      </c>
      <c r="Z11" s="1639">
        <f t="shared" ref="Z11:AJ11" si="3">$G$3</f>
        <v>3.11</v>
      </c>
      <c r="AA11" s="1639">
        <f t="shared" si="3"/>
        <v>3.11</v>
      </c>
      <c r="AB11" s="1639">
        <f t="shared" si="3"/>
        <v>3.11</v>
      </c>
      <c r="AC11" s="1639">
        <f t="shared" si="3"/>
        <v>3.11</v>
      </c>
      <c r="AD11" s="1639">
        <f t="shared" si="3"/>
        <v>3.11</v>
      </c>
      <c r="AE11" s="1639">
        <f t="shared" si="3"/>
        <v>3.11</v>
      </c>
      <c r="AF11" s="1639">
        <f t="shared" si="3"/>
        <v>3.11</v>
      </c>
      <c r="AG11" s="1639">
        <f t="shared" si="3"/>
        <v>3.11</v>
      </c>
      <c r="AH11" s="1639">
        <f t="shared" si="3"/>
        <v>3.11</v>
      </c>
      <c r="AI11" s="1639">
        <f t="shared" si="3"/>
        <v>3.11</v>
      </c>
      <c r="AJ11" s="1639">
        <f t="shared" si="3"/>
        <v>3.11</v>
      </c>
    </row>
    <row r="12" spans="1:39" ht="24.75" customHeight="1" thickBot="1">
      <c r="A12" s="3403" t="s">
        <v>1871</v>
      </c>
      <c r="B12" s="1436" t="s">
        <v>946</v>
      </c>
      <c r="C12" s="1043">
        <f>ROUND(C15*D15*E15*F15*G15*H15*I15*J15,4)</f>
        <v>1</v>
      </c>
      <c r="D12" s="1437" t="s">
        <v>947</v>
      </c>
      <c r="E12" s="1438"/>
      <c r="F12" s="1438"/>
      <c r="G12" s="1439"/>
      <c r="H12" s="1439"/>
      <c r="I12" s="1439"/>
      <c r="J12" s="1440"/>
      <c r="K12" s="1453"/>
      <c r="L12" s="1874" t="s">
        <v>2247</v>
      </c>
      <c r="M12" s="1875">
        <f>SUMPRODUCT((区片价!B338:B344=I2)*(区片价!C3:F3=E2)*(区片价!C338:F344))</f>
        <v>0</v>
      </c>
      <c r="N12" s="1876">
        <f>SUMPRODUCT((因素修正幅度!B338:B344=I2)*(因素修正幅度!C3:F3=E2)*(因素修正幅度!C338:F344))</f>
        <v>0</v>
      </c>
      <c r="O12" s="1453"/>
      <c r="P12" s="1398"/>
      <c r="Q12" s="2175"/>
      <c r="R12" s="2777">
        <v>11</v>
      </c>
      <c r="S12" s="2766"/>
      <c r="T12" s="2777">
        <f t="shared" ca="1" si="0"/>
        <v>0</v>
      </c>
      <c r="U12" s="2766"/>
      <c r="V12" s="2777">
        <f t="shared" ca="1" si="1"/>
        <v>0</v>
      </c>
      <c r="W12" s="3392"/>
      <c r="X12" s="2774" t="s">
        <v>2777</v>
      </c>
      <c r="Y12" s="2772">
        <f t="shared" ref="Y12:AJ12" si="4">Y9</f>
        <v>0</v>
      </c>
      <c r="Z12" s="2772">
        <f t="shared" si="4"/>
        <v>0</v>
      </c>
      <c r="AA12" s="2772">
        <f t="shared" si="4"/>
        <v>0</v>
      </c>
      <c r="AB12" s="2772">
        <f t="shared" si="4"/>
        <v>0</v>
      </c>
      <c r="AC12" s="2772">
        <f t="shared" si="4"/>
        <v>0</v>
      </c>
      <c r="AD12" s="2772">
        <f t="shared" si="4"/>
        <v>0</v>
      </c>
      <c r="AE12" s="2772">
        <f t="shared" si="4"/>
        <v>0</v>
      </c>
      <c r="AF12" s="2772">
        <f t="shared" si="4"/>
        <v>0</v>
      </c>
      <c r="AG12" s="2772">
        <f t="shared" si="4"/>
        <v>0</v>
      </c>
      <c r="AH12" s="2772">
        <f t="shared" si="4"/>
        <v>0</v>
      </c>
      <c r="AI12" s="2772">
        <f t="shared" si="4"/>
        <v>0</v>
      </c>
      <c r="AJ12" s="2772">
        <f t="shared" si="4"/>
        <v>0</v>
      </c>
    </row>
    <row r="13" spans="1:39" ht="24">
      <c r="A13" s="3405"/>
      <c r="B13" s="1441" t="s">
        <v>1696</v>
      </c>
      <c r="C13" s="1442" t="s">
        <v>1697</v>
      </c>
      <c r="D13" s="1085" t="s">
        <v>1698</v>
      </c>
      <c r="E13" s="1085" t="s">
        <v>1699</v>
      </c>
      <c r="F13" s="1443" t="s">
        <v>948</v>
      </c>
      <c r="G13" s="1444" t="s">
        <v>1642</v>
      </c>
      <c r="H13" s="1445" t="s">
        <v>1642</v>
      </c>
      <c r="I13" s="1446" t="s">
        <v>1642</v>
      </c>
      <c r="J13" s="1447" t="s">
        <v>1642</v>
      </c>
      <c r="K13" s="3018"/>
      <c r="L13" s="3018"/>
      <c r="M13" s="3018"/>
      <c r="N13" s="3018"/>
      <c r="O13" s="3018"/>
      <c r="P13" s="1398"/>
      <c r="Q13" s="2175"/>
      <c r="R13" s="2777">
        <v>12</v>
      </c>
      <c r="S13" s="2766"/>
      <c r="T13" s="2777">
        <f t="shared" ca="1" si="0"/>
        <v>0</v>
      </c>
      <c r="U13" s="2766"/>
      <c r="V13" s="2777">
        <f t="shared" ca="1" si="1"/>
        <v>0</v>
      </c>
      <c r="W13" s="3392"/>
      <c r="X13" s="2774"/>
      <c r="Y13" s="2773">
        <f>(-0.163*(Y12^2)-0.59*Y12+7617)*(10^(-4))/Y11</f>
        <v>0.24491961414791</v>
      </c>
      <c r="Z13" s="2773">
        <f t="shared" ref="Z13:AJ13" si="5">(-0.163*(Z12^2)-0.59*Z12+7617)*(10^(-4))/Z11</f>
        <v>0.24491961414791</v>
      </c>
      <c r="AA13" s="2773">
        <f t="shared" si="5"/>
        <v>0.24491961414791</v>
      </c>
      <c r="AB13" s="2773">
        <f t="shared" si="5"/>
        <v>0.24491961414791</v>
      </c>
      <c r="AC13" s="2773">
        <f t="shared" si="5"/>
        <v>0.24491961414791</v>
      </c>
      <c r="AD13" s="2773">
        <f t="shared" si="5"/>
        <v>0.24491961414791</v>
      </c>
      <c r="AE13" s="2773">
        <f t="shared" si="5"/>
        <v>0.24491961414791</v>
      </c>
      <c r="AF13" s="2773">
        <f t="shared" si="5"/>
        <v>0.24491961414791</v>
      </c>
      <c r="AG13" s="2773">
        <f t="shared" si="5"/>
        <v>0.24491961414791</v>
      </c>
      <c r="AH13" s="2773">
        <f t="shared" si="5"/>
        <v>0.24491961414791</v>
      </c>
      <c r="AI13" s="2773">
        <f t="shared" si="5"/>
        <v>0.24491961414791</v>
      </c>
      <c r="AJ13" s="2773">
        <f t="shared" si="5"/>
        <v>0.24491961414791</v>
      </c>
    </row>
    <row r="14" spans="1:39" ht="12.75" customHeight="1">
      <c r="A14" s="3405"/>
      <c r="B14" s="1448"/>
      <c r="C14" s="1449"/>
      <c r="D14" s="1450"/>
      <c r="E14" s="1450"/>
      <c r="F14" s="1451"/>
      <c r="G14" s="1452" t="s">
        <v>949</v>
      </c>
      <c r="H14" s="1453"/>
      <c r="I14" s="1454"/>
      <c r="J14" s="1455"/>
      <c r="K14" s="3004"/>
      <c r="L14" s="3004"/>
      <c r="M14" s="3004"/>
      <c r="N14" s="3004"/>
      <c r="O14" s="3004"/>
      <c r="P14" s="1398"/>
      <c r="Q14" s="2175"/>
      <c r="R14" s="2777">
        <v>13</v>
      </c>
      <c r="S14" s="2766"/>
      <c r="T14" s="2777">
        <f t="shared" ca="1" si="0"/>
        <v>0</v>
      </c>
      <c r="U14" s="2766"/>
      <c r="V14" s="2777">
        <f t="shared" ca="1" si="1"/>
        <v>0</v>
      </c>
      <c r="W14" s="2175"/>
      <c r="X14" s="2175"/>
      <c r="Y14" s="2175"/>
      <c r="Z14" s="2175"/>
      <c r="AA14" s="2175"/>
      <c r="AB14" s="2175"/>
      <c r="AC14" s="2176"/>
    </row>
    <row r="15" spans="1:39" ht="13.5" customHeight="1" thickBot="1">
      <c r="A15" s="3406"/>
      <c r="B15" s="3023" t="s">
        <v>1700</v>
      </c>
      <c r="C15" s="1049">
        <f>IF(C14="有",1.1,1)</f>
        <v>1</v>
      </c>
      <c r="D15" s="1049">
        <f>IF(D14="有",1.1,1)</f>
        <v>1</v>
      </c>
      <c r="E15" s="1049">
        <f>IF(E14="有",1.1,1)</f>
        <v>1</v>
      </c>
      <c r="F15" s="1049">
        <f>IF(F14="500米范围内",1.2,IF(F14="500-1000米",1.1,1))</f>
        <v>1</v>
      </c>
      <c r="G15" s="3015">
        <v>1</v>
      </c>
      <c r="H15" s="3015">
        <v>1</v>
      </c>
      <c r="I15" s="3015">
        <v>1</v>
      </c>
      <c r="J15" s="3016">
        <v>1</v>
      </c>
      <c r="K15" s="3019"/>
      <c r="L15" s="3019"/>
      <c r="M15" s="3019"/>
      <c r="N15" s="3019"/>
      <c r="O15" s="3019"/>
      <c r="P15" s="1398"/>
      <c r="Q15" s="2175"/>
      <c r="R15" s="2777">
        <v>14</v>
      </c>
      <c r="S15" s="2766"/>
      <c r="T15" s="2777">
        <f t="shared" ca="1" si="0"/>
        <v>0</v>
      </c>
      <c r="U15" s="2766"/>
      <c r="V15" s="2777">
        <f t="shared" ca="1" si="1"/>
        <v>0</v>
      </c>
      <c r="W15" s="2175"/>
      <c r="X15" s="2175"/>
      <c r="Y15" s="2175"/>
      <c r="Z15" s="2175"/>
      <c r="AA15" s="2175"/>
      <c r="AB15" s="2175"/>
      <c r="AC15" s="2176"/>
    </row>
    <row r="16" spans="1:39" ht="24.6" customHeight="1">
      <c r="A16" s="3403" t="s">
        <v>1838</v>
      </c>
      <c r="B16" s="1424" t="s">
        <v>950</v>
      </c>
      <c r="C16" s="1052">
        <f>ROUND(IF(F17="与级别开发程度一致",0,(G17-E17)/C17),0)</f>
        <v>0</v>
      </c>
      <c r="D16" s="3400" t="s">
        <v>954</v>
      </c>
      <c r="E16" s="3401"/>
      <c r="F16" s="3400" t="s">
        <v>951</v>
      </c>
      <c r="G16" s="3401"/>
      <c r="H16" s="1456" t="s">
        <v>3013</v>
      </c>
      <c r="I16" s="1456" t="s">
        <v>3014</v>
      </c>
      <c r="J16" s="1456" t="s">
        <v>3015</v>
      </c>
      <c r="K16" s="1456" t="s">
        <v>3016</v>
      </c>
      <c r="L16" s="1456" t="s">
        <v>3017</v>
      </c>
      <c r="M16" s="1456" t="s">
        <v>3018</v>
      </c>
      <c r="N16" s="1456"/>
      <c r="O16" s="3028"/>
      <c r="P16" s="1398"/>
      <c r="Q16" s="2178"/>
      <c r="R16" s="2777">
        <v>15</v>
      </c>
      <c r="S16" s="2766"/>
      <c r="T16" s="2777">
        <f t="shared" ca="1" si="0"/>
        <v>0</v>
      </c>
      <c r="U16" s="2766"/>
      <c r="V16" s="2777">
        <f t="shared" ca="1" si="1"/>
        <v>0</v>
      </c>
      <c r="W16" s="2178"/>
      <c r="X16" s="2178"/>
      <c r="Y16" s="2178"/>
      <c r="Z16" s="2178"/>
      <c r="AA16" s="2178"/>
      <c r="AB16" s="2178"/>
      <c r="AC16" s="2179"/>
    </row>
    <row r="17" spans="1:40" ht="24.75" thickBot="1">
      <c r="A17" s="3407"/>
      <c r="B17" s="3029" t="s">
        <v>953</v>
      </c>
      <c r="C17" s="3030">
        <f>SUMPRODUCT((修正!A2:A5=E2)*(修正!B1:M1=G2)*(修正!B2:M5))</f>
        <v>2</v>
      </c>
      <c r="D17" s="3031" t="str">
        <f>IF(OR(G2="八级",G2="九级",G2="十级",G2="十一级",G2="十二级"),"五通一平","七通一平")</f>
        <v>五通一平</v>
      </c>
      <c r="E17" s="3021">
        <f>SUMPRODUCT((修正!B1:M1=G2)*(修正!B15:M15))</f>
        <v>155</v>
      </c>
      <c r="F17" s="3022" t="s">
        <v>3019</v>
      </c>
      <c r="G17" s="3021">
        <f>SUM(H17:O17)</f>
        <v>155</v>
      </c>
      <c r="H17" s="1051">
        <f>SUMPRODUCT((七通一平=H16)*(修正!B1:M1=G2)*(修正!B6:M14))</f>
        <v>50</v>
      </c>
      <c r="I17" s="1051">
        <f>SUMPRODUCT((七通一平=I16)*(修正!B1:M1=G2)*(修正!B6:M14))</f>
        <v>40</v>
      </c>
      <c r="J17" s="1051">
        <f>SUMPRODUCT((七通一平=J16)*(修正!B1:M1=G2)*(修正!B6:M14))</f>
        <v>10</v>
      </c>
      <c r="K17" s="1051">
        <f>SUMPRODUCT((七通一平=K16)*(修正!B1:M1=G2)*(修正!B6:M14))</f>
        <v>20</v>
      </c>
      <c r="L17" s="1051">
        <f>SUMPRODUCT((七通一平=L16)*(修正!B1:M1=G2)*(修正!B6:M14))</f>
        <v>25</v>
      </c>
      <c r="M17" s="1051">
        <f>SUMPRODUCT((七通一平=M16)*(修正!B1:M1=G2)*(修正!B6:M14))</f>
        <v>10</v>
      </c>
      <c r="N17" s="1051">
        <f>SUMPRODUCT((七通一平=N16)*(修正!B1:M1=G2)*(修正!B6:M14))</f>
        <v>0</v>
      </c>
      <c r="O17" s="3032">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620" t="s">
        <v>1829</v>
      </c>
      <c r="B18" s="3024" t="s">
        <v>955</v>
      </c>
      <c r="C18" s="3025">
        <f>SUMIF(修正!C18:C39,E3,修正!E18:E39)</f>
        <v>1</v>
      </c>
      <c r="D18" s="3026"/>
      <c r="E18" s="3027"/>
      <c r="F18" s="3009"/>
      <c r="G18" s="3003"/>
      <c r="H18" s="3003"/>
      <c r="I18" s="3003"/>
      <c r="J18" s="3017"/>
      <c r="K18" s="3003"/>
      <c r="L18" s="3003"/>
      <c r="M18" s="3003"/>
      <c r="N18" s="3003"/>
      <c r="O18" s="3003"/>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地价!Z7</f>
        <v>1.3895999999999999</v>
      </c>
      <c r="D19" s="1463" t="s">
        <v>957</v>
      </c>
      <c r="E19" s="1054">
        <v>41640</v>
      </c>
      <c r="F19" s="1463" t="s">
        <v>958</v>
      </c>
      <c r="G19" s="1055">
        <f>'数据-取费表'!B2</f>
        <v>44012</v>
      </c>
      <c r="H19" s="1464" t="s">
        <v>2987</v>
      </c>
      <c r="I19" s="2626" t="str">
        <f>IF(H19="季度增幅（自定义）",SUMIF(N21:N24,E2,O21:O24),"")</f>
        <v/>
      </c>
      <c r="J19" s="1460"/>
      <c r="K19" s="3003"/>
      <c r="L19" s="2876" t="s">
        <v>2836</v>
      </c>
      <c r="M19" s="2877">
        <f>ROUND(SUMIF(地价!B2:F2,E2,地价!B31:F31),0)</f>
        <v>258</v>
      </c>
      <c r="N19" s="2628" t="s">
        <v>1676</v>
      </c>
      <c r="O19" s="2627">
        <f>ROUNDDOWN(DATEDIF(E19,G19,"M")/3,0)</f>
        <v>25</v>
      </c>
      <c r="P19" s="1583"/>
      <c r="Q19" s="2765"/>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620" t="s">
        <v>1836</v>
      </c>
      <c r="B20" s="2621" t="s">
        <v>971</v>
      </c>
      <c r="C20" s="2622">
        <f ca="1">ROUND(POWER(1+G20,J20-I20)*(POWER(1+G20,I20)-1)/(POWER(1+G20,J20)-1),4)</f>
        <v>1</v>
      </c>
      <c r="D20" s="2623" t="s">
        <v>972</v>
      </c>
      <c r="E20" s="2925">
        <f ca="1">存贷款利率!I4/100</f>
        <v>4.3499999999999997E-2</v>
      </c>
      <c r="F20" s="2623" t="s">
        <v>973</v>
      </c>
      <c r="G20" s="2624">
        <f ca="1">SUMIF(M26:P26,E2,M28:P28)</f>
        <v>5.1999999999999998E-2</v>
      </c>
      <c r="H20" s="2623" t="s">
        <v>974</v>
      </c>
      <c r="I20" s="2619">
        <f>SUMIF('数据-取费表'!C6:C15,E2,'数据-取费表'!F6:F15)/COUNTIF('数据-取费表'!C6:C15,E2)</f>
        <v>50</v>
      </c>
      <c r="J20" s="2625">
        <f>IF(E2="住宅",70,IF(E2="商业",40,50))</f>
        <v>50</v>
      </c>
      <c r="K20" s="3005"/>
      <c r="L20" s="2878" t="s">
        <v>2837</v>
      </c>
      <c r="M20" s="3012">
        <f>ROUND(SUMPRODUCT((地价!A4:A31=YEAR(G19)&amp;"-"&amp;ROUNDUP(MONTH(G19)/3,0))*(地价!B2:F2=E2)*(地价!B4:F31)),0)</f>
        <v>347</v>
      </c>
      <c r="N20" s="2631" t="s">
        <v>2641</v>
      </c>
      <c r="O20" s="2629" t="s">
        <v>2640</v>
      </c>
      <c r="P20" s="2630" t="s">
        <v>2646</v>
      </c>
      <c r="Q20" s="2765"/>
      <c r="R20" s="2181"/>
      <c r="S20" s="2181"/>
      <c r="T20" s="2181"/>
      <c r="U20" s="2181"/>
      <c r="V20" s="2181"/>
      <c r="W20" s="2181"/>
      <c r="X20" s="2181"/>
      <c r="Y20" s="1461"/>
      <c r="Z20" s="1461"/>
      <c r="AA20" s="1461"/>
      <c r="AB20" s="1461"/>
      <c r="AC20" s="1461"/>
      <c r="AD20" s="1461"/>
    </row>
    <row r="21" spans="1:40" s="1418" customFormat="1" ht="14.25">
      <c r="A21" s="1628" t="s">
        <v>1837</v>
      </c>
      <c r="B21" s="1469" t="s">
        <v>3020</v>
      </c>
      <c r="C21" s="1154">
        <f>IF(B21="容积率修正",IF(G3&lt;=10,D22,J22),C23)</f>
        <v>0.85880000000000001</v>
      </c>
      <c r="D21" s="1470"/>
      <c r="E21" s="1470"/>
      <c r="F21" s="1470"/>
      <c r="G21" s="1470"/>
      <c r="H21" s="1470"/>
      <c r="I21" s="1470"/>
      <c r="J21" s="1471"/>
      <c r="K21" s="3003"/>
      <c r="L21" s="1470"/>
      <c r="M21" s="1470"/>
      <c r="N21" s="1467" t="s">
        <v>975</v>
      </c>
      <c r="O21" s="1530"/>
      <c r="P21" s="2618">
        <f>SUMPRODUCT((地价!A3:A31=YEAR(G19)&amp;"-"&amp;ROUNDUP(MONTH(G19)/3,0))*(地价!AD2:AH2=N21)*(地价!AD3:AH31))</f>
        <v>1.2500000000000001E-2</v>
      </c>
      <c r="Q21" s="2765"/>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f>IF(E22=G22,F22,IF(G3&lt;=10,ROUND(F22+(H22-F22)*(G3-E22)/(G22-E22),4),"——"))</f>
        <v>0.85880000000000001</v>
      </c>
      <c r="E22" s="1039">
        <f>ROUNDDOWN(G3,1)</f>
        <v>3.1</v>
      </c>
      <c r="F22" s="1056">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0.85970000000000002</v>
      </c>
      <c r="G22" s="1039">
        <f>ROUNDUP(G3,1)</f>
        <v>3.2</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0.85019999999999996</v>
      </c>
      <c r="I22" s="1056" t="s">
        <v>977</v>
      </c>
      <c r="J22" s="1056" t="str">
        <f>IF(G3&gt;10,D113,"——")</f>
        <v>——</v>
      </c>
      <c r="K22" s="3006"/>
      <c r="L22" s="1470"/>
      <c r="M22" s="1470"/>
      <c r="N22" s="1467" t="s">
        <v>978</v>
      </c>
      <c r="O22" s="1530"/>
      <c r="P22" s="2618">
        <f>SUMPRODUCT((地价!A3:A31=YEAR(G19)&amp;"-"&amp;ROUNDUP(MONTH(G19)/3,0))*(地价!AD2:AH2=N22)*(地价!AD3:AH31))</f>
        <v>1.2500000000000001E-2</v>
      </c>
      <c r="Q22" s="2765"/>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0.44750000000000001</v>
      </c>
      <c r="D23" s="1518"/>
      <c r="E23" s="1518"/>
      <c r="F23" s="1519"/>
      <c r="G23" s="1520"/>
      <c r="H23" s="1521"/>
      <c r="I23" s="1522"/>
      <c r="J23" s="1522"/>
      <c r="K23" s="3007"/>
      <c r="L23" s="1398"/>
      <c r="M23" s="1398"/>
      <c r="N23" s="1467" t="s">
        <v>923</v>
      </c>
      <c r="O23" s="1530"/>
      <c r="P23" s="2618">
        <f>SUMPRODUCT((地价!A3:A31=YEAR(G19)&amp;"-"&amp;ROUNDUP(MONTH(G19)/3,0))*(地价!AD2:AH2=N23)*(地价!AD3:AH31))</f>
        <v>2.0400000000000001E-2</v>
      </c>
      <c r="Q23" s="2765"/>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1.0209999999999999</v>
      </c>
      <c r="D24" s="1523"/>
      <c r="E24" s="1524"/>
      <c r="F24" s="1524"/>
      <c r="G24" s="1524"/>
      <c r="H24" s="1524"/>
      <c r="I24" s="1524"/>
      <c r="J24" s="1524"/>
      <c r="K24" s="3007"/>
      <c r="L24" s="1470"/>
      <c r="M24" s="1470"/>
      <c r="N24" s="1467" t="s">
        <v>981</v>
      </c>
      <c r="O24" s="3011"/>
      <c r="P24" s="2618">
        <f>SUMPRODUCT((地价!A3:A31=YEAR(G19)&amp;"-"&amp;ROUNDUP(MONTH(G19)/3,0))*(地价!AD2:AH2=N24)*(地价!AD3:AH31))</f>
        <v>1.32E-2</v>
      </c>
      <c r="Q24" s="2765"/>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013" t="s">
        <v>2644</v>
      </c>
      <c r="O25" s="3014"/>
      <c r="P25" s="2412">
        <f>SUMPRODUCT((地价!A3:A31=YEAR(G19)&amp;"-"&amp;ROUNDUP(MONTH(G19)/3,0))*(地价!AD2:AH2=N25)*(地价!AD3:AH31))</f>
        <v>1.8599999999999998E-2</v>
      </c>
      <c r="Q25" s="2765"/>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f ca="1">E29+SUM(E33:E39)</f>
        <v>10939</v>
      </c>
      <c r="D26" s="1478"/>
      <c r="E26" s="1453"/>
      <c r="F26" s="1479"/>
      <c r="G26" s="1453"/>
      <c r="H26" s="1453"/>
      <c r="I26" s="1453"/>
      <c r="J26" s="1480"/>
      <c r="K26" s="1453"/>
      <c r="L26" s="1584" t="s">
        <v>898</v>
      </c>
      <c r="M26" s="1425" t="s">
        <v>983</v>
      </c>
      <c r="N26" s="1425" t="s">
        <v>984</v>
      </c>
      <c r="O26" s="1425" t="s">
        <v>902</v>
      </c>
      <c r="P26" s="1465" t="s">
        <v>985</v>
      </c>
      <c r="Q26" s="2765"/>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f ca="1">E30+SUM(I33:I39)</f>
        <v>0</v>
      </c>
      <c r="D27" s="1482"/>
      <c r="E27" s="1483"/>
      <c r="F27" s="1484"/>
      <c r="G27" s="1483"/>
      <c r="H27" s="1483"/>
      <c r="I27" s="1483"/>
      <c r="J27" s="1485"/>
      <c r="K27" s="1453"/>
      <c r="L27" s="1457" t="s">
        <v>987</v>
      </c>
      <c r="M27" s="1047">
        <v>0.25</v>
      </c>
      <c r="N27" s="1047">
        <v>0.2</v>
      </c>
      <c r="O27" s="1047">
        <v>0.15</v>
      </c>
      <c r="P27" s="1527">
        <v>0.1</v>
      </c>
      <c r="Q27" s="2181"/>
      <c r="R27" s="2765"/>
      <c r="S27" s="2765"/>
      <c r="T27" s="2765"/>
      <c r="U27" s="2765"/>
      <c r="V27" s="2765"/>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765"/>
      <c r="S28" s="2765"/>
      <c r="T28" s="2765"/>
      <c r="U28" s="2765"/>
      <c r="V28" s="2765"/>
      <c r="W28" s="2181"/>
      <c r="X28" s="2181"/>
      <c r="Y28" s="2181"/>
      <c r="Z28" s="2181"/>
      <c r="AA28" s="2181"/>
      <c r="AB28" s="2181"/>
      <c r="AC28" s="2181"/>
      <c r="AD28" s="1461"/>
      <c r="AE28" s="1461"/>
      <c r="AF28" s="1461"/>
      <c r="AG28" s="1461"/>
    </row>
    <row r="29" spans="1:40" ht="14.25">
      <c r="A29" s="1490"/>
      <c r="B29" s="1491" t="s">
        <v>993</v>
      </c>
      <c r="C29" s="1059">
        <f ca="1">ROUND(C5*C18*C19*C20*C21*C24,0)</f>
        <v>6397</v>
      </c>
      <c r="D29" s="1492">
        <f>'数据-汇总表'!F19</f>
        <v>17100</v>
      </c>
      <c r="E29" s="1835">
        <f ca="1">ROUND(C29*D29/10000,0)</f>
        <v>10939</v>
      </c>
      <c r="F29" s="1493" t="s">
        <v>1701</v>
      </c>
      <c r="G29" s="1494"/>
      <c r="H29" s="1494"/>
      <c r="I29" s="1494"/>
      <c r="J29" s="1495"/>
      <c r="K29" s="3008"/>
      <c r="L29" s="3008"/>
      <c r="M29" s="3008"/>
      <c r="N29" s="3008"/>
      <c r="O29" s="3008"/>
      <c r="P29" s="1398"/>
      <c r="Q29" s="2181"/>
      <c r="R29" s="2181"/>
      <c r="S29" s="2181"/>
      <c r="T29" s="2181"/>
      <c r="U29" s="2181"/>
      <c r="V29" s="2181"/>
      <c r="W29" s="2765"/>
      <c r="X29" s="2765"/>
      <c r="Y29" s="2765"/>
      <c r="Z29" s="2765"/>
      <c r="AA29" s="2765"/>
      <c r="AB29" s="2181"/>
      <c r="AC29" s="2181"/>
      <c r="AD29" s="2181"/>
      <c r="AE29" s="2181"/>
      <c r="AF29" s="2181"/>
      <c r="AG29" s="2181"/>
      <c r="AH29" s="2181"/>
      <c r="AJ29" s="1400"/>
      <c r="AK29" s="1400"/>
      <c r="AL29" s="1400"/>
      <c r="AM29" s="1399"/>
      <c r="AN29" s="1399"/>
    </row>
    <row r="30" spans="1:40" ht="24.75" thickBot="1">
      <c r="A30" s="1496"/>
      <c r="B30" s="1497" t="s">
        <v>994</v>
      </c>
      <c r="C30" s="1051">
        <f ca="1">ROUND(IF(E2="工业",C29*M39,C29*M38),0)</f>
        <v>1599</v>
      </c>
      <c r="D30" s="1498"/>
      <c r="E30" s="1835">
        <f ca="1">ROUND(C30*D30/10000,0)</f>
        <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009"/>
      <c r="L32" s="3009"/>
      <c r="M32" s="3009"/>
      <c r="N32" s="3009"/>
      <c r="O32" s="3009"/>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10" t="s">
        <v>2957</v>
      </c>
      <c r="B33" s="1512" t="s">
        <v>999</v>
      </c>
      <c r="C33" s="1059">
        <f ca="1">ROUND(D5*C19*C20*C24*F33,0)</f>
        <v>4469</v>
      </c>
      <c r="D33" s="1525"/>
      <c r="E33" s="1048">
        <f ca="1">ROUND(C33*D33/10000,0)</f>
        <v>0</v>
      </c>
      <c r="F33" s="1048">
        <f>SUMIF(修正!A45:A56,G2,修正!B45:B56)</f>
        <v>0.6</v>
      </c>
      <c r="G33" s="1048">
        <f t="shared" ref="G33" ca="1" si="6">ROUND(IF(E2="工业",C33*$M$39,C33*$M$38),0)</f>
        <v>1117</v>
      </c>
      <c r="H33" s="1048">
        <f>D33</f>
        <v>0</v>
      </c>
      <c r="I33" s="1048">
        <f ca="1">ROUND(G33*H33/10000,0)</f>
        <v>0</v>
      </c>
      <c r="J33" s="1513"/>
      <c r="K33" s="3010"/>
      <c r="L33" s="3010"/>
      <c r="M33" s="3010"/>
      <c r="N33" s="3010"/>
      <c r="O33" s="3010"/>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11"/>
      <c r="B34" s="1442" t="s">
        <v>1000</v>
      </c>
      <c r="C34" s="1059">
        <f ca="1">ROUND(D5*C19*C20*C24*F34,0)</f>
        <v>2235</v>
      </c>
      <c r="D34" s="1525"/>
      <c r="E34" s="1048">
        <f t="shared" ref="E34:E39" ca="1" si="7">ROUND(C34*D34/10000,0)</f>
        <v>0</v>
      </c>
      <c r="F34" s="1048">
        <f>SUMIF(修正!A45:A56,G2,修正!C45:C56)</f>
        <v>0.3</v>
      </c>
      <c r="G34" s="1048">
        <f ca="1">ROUND(IF(E2="工业",C34*$M$39,C34*$M$38),0)</f>
        <v>559</v>
      </c>
      <c r="H34" s="1048">
        <f t="shared" ref="H34:H39" si="8">D34</f>
        <v>0</v>
      </c>
      <c r="I34" s="1048">
        <f t="shared" ref="I34:I39" ca="1" si="9">ROUND(G34*H34/10000,0)</f>
        <v>0</v>
      </c>
      <c r="J34" s="1513"/>
      <c r="K34" s="3010"/>
      <c r="L34" s="3010"/>
      <c r="M34" s="3010"/>
      <c r="N34" s="3010"/>
      <c r="O34" s="3010"/>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11"/>
      <c r="B35" s="1442" t="s">
        <v>1001</v>
      </c>
      <c r="C35" s="1059">
        <f ca="1">ROUND(D5*C19*C20*C24*F35,0)</f>
        <v>1490</v>
      </c>
      <c r="D35" s="1525"/>
      <c r="E35" s="1048">
        <f t="shared" ca="1" si="7"/>
        <v>0</v>
      </c>
      <c r="F35" s="1048">
        <f>SUMIF(修正!A45:A56,G2,修正!D45:D56)</f>
        <v>0.2</v>
      </c>
      <c r="G35" s="1048">
        <f ca="1">ROUND(IF(E2="工业",C35*$M$39,C35*$M$38),0)</f>
        <v>373</v>
      </c>
      <c r="H35" s="1048">
        <f t="shared" si="8"/>
        <v>0</v>
      </c>
      <c r="I35" s="1048">
        <f t="shared" ca="1" si="9"/>
        <v>0</v>
      </c>
      <c r="J35" s="1513"/>
      <c r="K35" s="3010"/>
      <c r="L35" s="3010"/>
      <c r="M35" s="3010"/>
      <c r="N35" s="3010"/>
      <c r="O35" s="3010"/>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12"/>
      <c r="B36" s="1442" t="s">
        <v>1002</v>
      </c>
      <c r="C36" s="1059">
        <f ca="1">ROUND(D5*C19*C20*C24*F36,0)</f>
        <v>1490</v>
      </c>
      <c r="D36" s="1525"/>
      <c r="E36" s="1048">
        <f t="shared" ca="1" si="7"/>
        <v>0</v>
      </c>
      <c r="F36" s="1048">
        <f>SUMIF(修正!A45:A56,G2,修正!E45:E56)</f>
        <v>0.2</v>
      </c>
      <c r="G36" s="1048">
        <f ca="1">ROUND(IF(E2="工业",C36*$M$39,C36*$M$38),0)</f>
        <v>373</v>
      </c>
      <c r="H36" s="1048">
        <f t="shared" si="8"/>
        <v>0</v>
      </c>
      <c r="I36" s="1048">
        <f t="shared" ca="1" si="9"/>
        <v>0</v>
      </c>
      <c r="J36" s="1513"/>
      <c r="K36" s="3010"/>
      <c r="L36" s="3010"/>
      <c r="M36" s="3010"/>
      <c r="N36" s="3010"/>
      <c r="O36" s="3010"/>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f ca="1">ROUND(D5*C19*C20*C24*F37,0)</f>
        <v>1490</v>
      </c>
      <c r="D37" s="1525"/>
      <c r="E37" s="1048">
        <f t="shared" ca="1" si="7"/>
        <v>0</v>
      </c>
      <c r="F37" s="1059">
        <f>SUMIF(修正!A45:A56,G2,修正!F45:F56)</f>
        <v>0.2</v>
      </c>
      <c r="G37" s="1048">
        <f ca="1">ROUND(IF(E2="工业",C37*$M$39,C37*$M$38),0)</f>
        <v>373</v>
      </c>
      <c r="H37" s="1048">
        <f t="shared" si="8"/>
        <v>0</v>
      </c>
      <c r="I37" s="1048">
        <f t="shared" ca="1" si="9"/>
        <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f ca="1">ROUND(D5*C19*C41*C24*F38,0)</f>
        <v>0</v>
      </c>
      <c r="D38" s="1525"/>
      <c r="E38" s="1048">
        <f t="shared" ca="1" si="7"/>
        <v>0</v>
      </c>
      <c r="F38" s="1059">
        <f>SUMIF(修正!A45:A56,G2,修正!G45:G56)</f>
        <v>0.2</v>
      </c>
      <c r="G38" s="1048">
        <f ca="1">ROUND(IF(E2="工业",C38*$M$39,C38*$M$38),0)</f>
        <v>0</v>
      </c>
      <c r="H38" s="1048">
        <f t="shared" si="8"/>
        <v>0</v>
      </c>
      <c r="I38" s="1048">
        <f t="shared" ca="1" si="9"/>
        <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f ca="1">ROUND(D5*C19*C41*C24*F39,0)</f>
        <v>0</v>
      </c>
      <c r="D39" s="1526"/>
      <c r="E39" s="1051">
        <f t="shared" ca="1" si="7"/>
        <v>0</v>
      </c>
      <c r="F39" s="1061">
        <f>SUMIF(修正!A45:A56,G2,修正!H45:H56)</f>
        <v>0.15</v>
      </c>
      <c r="G39" s="1051">
        <f ca="1">ROUND(IF(E2="工业",C39*$M$39,C39*$M$38),0)</f>
        <v>0</v>
      </c>
      <c r="H39" s="1051">
        <f t="shared" si="8"/>
        <v>0</v>
      </c>
      <c r="I39" s="1051">
        <f t="shared" ca="1" si="9"/>
        <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001" t="s">
        <v>2981</v>
      </c>
      <c r="C41" s="839">
        <f ca="1">ROUND(POWER(1+E41,H41-G41)*(POWER(1+E41,G41)-1)/(POWER(1+E41,H41)-1),4)</f>
        <v>0</v>
      </c>
      <c r="D41" s="378" t="s">
        <v>2979</v>
      </c>
      <c r="E41" s="3000">
        <f ca="1">G20</f>
        <v>5.1999999999999998E-2</v>
      </c>
      <c r="F41" s="378" t="s">
        <v>2980</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2248</v>
      </c>
      <c r="G46" s="2396" t="s">
        <v>1014</v>
      </c>
      <c r="H46" s="2379" t="s">
        <v>2415</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2927" t="s">
        <v>2934</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2926" t="s">
        <v>2933</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1.0209999999999999</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2249</v>
      </c>
      <c r="G57" s="2396" t="s">
        <v>1014</v>
      </c>
      <c r="H57" s="2379" t="s">
        <v>2415</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t="s">
        <v>3021</v>
      </c>
      <c r="D58" s="2382">
        <f t="shared" ref="D58:D66" si="15">SUMIF($J$57:$N$57,C58,J58:N58)</f>
        <v>0</v>
      </c>
      <c r="E58" s="2401">
        <f>ROUND(SUM(D58:D66),4)</f>
        <v>2.1000000000000001E-2</v>
      </c>
      <c r="F58" s="2402">
        <f>IF(E2="办公",SUMIF(L1:L12,G2,N1:N12),"——")</f>
        <v>0.15</v>
      </c>
      <c r="G58" s="2380">
        <f>H58</f>
        <v>1.7999999999999999E-2</v>
      </c>
      <c r="H58" s="2426">
        <f>IFERROR(ROUNDDOWN($F$58*I58/2,4),"——")</f>
        <v>1.7999999999999999E-2</v>
      </c>
      <c r="I58" s="2400">
        <v>0.24</v>
      </c>
      <c r="J58" s="2403">
        <f t="shared" ref="J58:J66" si="16">K58+$G58</f>
        <v>3.5999999999999997E-2</v>
      </c>
      <c r="K58" s="2403">
        <f t="shared" ref="K58:K66" si="17">$L58+$G58</f>
        <v>1.7999999999999999E-2</v>
      </c>
      <c r="L58" s="2403">
        <v>0</v>
      </c>
      <c r="M58" s="2403">
        <f t="shared" ref="M58:N66" si="18">L58-$G58</f>
        <v>-1.7999999999999999E-2</v>
      </c>
      <c r="N58" s="2403">
        <f t="shared" si="18"/>
        <v>-3.5999999999999997E-2</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t="s">
        <v>3021</v>
      </c>
      <c r="D59" s="2382">
        <f t="shared" si="15"/>
        <v>0</v>
      </c>
      <c r="E59" s="2404"/>
      <c r="F59" s="2402"/>
      <c r="G59" s="2380">
        <f t="shared" ref="G59:G66" si="19">H59</f>
        <v>2.2499999999999999E-2</v>
      </c>
      <c r="H59" s="2381">
        <f t="shared" ref="H59:H66" si="20">IFERROR($F$58*I59/2,"——")</f>
        <v>2.2499999999999999E-2</v>
      </c>
      <c r="I59" s="2400">
        <v>0.3</v>
      </c>
      <c r="J59" s="2403">
        <f t="shared" si="16"/>
        <v>4.4999999999999998E-2</v>
      </c>
      <c r="K59" s="2403">
        <f t="shared" si="17"/>
        <v>2.2499999999999999E-2</v>
      </c>
      <c r="L59" s="2403">
        <v>0</v>
      </c>
      <c r="M59" s="2403">
        <f t="shared" si="18"/>
        <v>-2.2499999999999999E-2</v>
      </c>
      <c r="N59" s="2403">
        <f t="shared" si="18"/>
        <v>-4.4999999999999998E-2</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t="s">
        <v>3022</v>
      </c>
      <c r="D60" s="2382">
        <f t="shared" si="15"/>
        <v>6.0000000000000001E-3</v>
      </c>
      <c r="E60" s="2404"/>
      <c r="F60" s="2402"/>
      <c r="G60" s="2380">
        <f t="shared" si="19"/>
        <v>6.0000000000000001E-3</v>
      </c>
      <c r="H60" s="2381">
        <f t="shared" si="20"/>
        <v>6.0000000000000001E-3</v>
      </c>
      <c r="I60" s="2400">
        <v>0.08</v>
      </c>
      <c r="J60" s="2403">
        <f t="shared" si="16"/>
        <v>1.2E-2</v>
      </c>
      <c r="K60" s="2403">
        <f t="shared" si="17"/>
        <v>6.0000000000000001E-3</v>
      </c>
      <c r="L60" s="2403">
        <v>0</v>
      </c>
      <c r="M60" s="2403">
        <f t="shared" si="18"/>
        <v>-6.0000000000000001E-3</v>
      </c>
      <c r="N60" s="2403">
        <f t="shared" si="18"/>
        <v>-1.2E-2</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2927" t="s">
        <v>2935</v>
      </c>
      <c r="C61" s="1050" t="s">
        <v>3022</v>
      </c>
      <c r="D61" s="2382">
        <f t="shared" si="15"/>
        <v>3.0000000000000001E-3</v>
      </c>
      <c r="E61" s="2404"/>
      <c r="F61" s="2402"/>
      <c r="G61" s="2380">
        <f t="shared" si="19"/>
        <v>3.0000000000000001E-3</v>
      </c>
      <c r="H61" s="2381">
        <f t="shared" si="20"/>
        <v>3.0000000000000001E-3</v>
      </c>
      <c r="I61" s="2400">
        <v>0.04</v>
      </c>
      <c r="J61" s="2403">
        <f t="shared" si="16"/>
        <v>6.0000000000000001E-3</v>
      </c>
      <c r="K61" s="2403">
        <f t="shared" si="17"/>
        <v>3.0000000000000001E-3</v>
      </c>
      <c r="L61" s="2403">
        <v>0</v>
      </c>
      <c r="M61" s="2403">
        <f t="shared" si="18"/>
        <v>-3.0000000000000001E-3</v>
      </c>
      <c r="N61" s="2403">
        <f t="shared" si="18"/>
        <v>-6.0000000000000001E-3</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t="s">
        <v>3022</v>
      </c>
      <c r="D62" s="2382">
        <f t="shared" si="15"/>
        <v>3.7499999999999999E-3</v>
      </c>
      <c r="E62" s="2404"/>
      <c r="F62" s="2402"/>
      <c r="G62" s="2380">
        <f t="shared" si="19"/>
        <v>3.7499999999999999E-3</v>
      </c>
      <c r="H62" s="2381">
        <f t="shared" si="20"/>
        <v>3.7499999999999999E-3</v>
      </c>
      <c r="I62" s="2400">
        <v>0.05</v>
      </c>
      <c r="J62" s="2403">
        <f t="shared" si="16"/>
        <v>7.4999999999999997E-3</v>
      </c>
      <c r="K62" s="2403">
        <f t="shared" si="17"/>
        <v>3.7499999999999999E-3</v>
      </c>
      <c r="L62" s="2403">
        <v>0</v>
      </c>
      <c r="M62" s="2403">
        <f t="shared" si="18"/>
        <v>-3.7499999999999999E-3</v>
      </c>
      <c r="N62" s="2403">
        <f t="shared" si="18"/>
        <v>-7.4999999999999997E-3</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2926" t="s">
        <v>2933</v>
      </c>
      <c r="C63" s="1050" t="s">
        <v>3022</v>
      </c>
      <c r="D63" s="2382">
        <f t="shared" si="15"/>
        <v>3.7499999999999999E-3</v>
      </c>
      <c r="E63" s="2404"/>
      <c r="F63" s="2402"/>
      <c r="G63" s="2380">
        <f t="shared" si="19"/>
        <v>3.7499999999999999E-3</v>
      </c>
      <c r="H63" s="2381">
        <f t="shared" si="20"/>
        <v>3.7499999999999999E-3</v>
      </c>
      <c r="I63" s="2400">
        <v>0.05</v>
      </c>
      <c r="J63" s="2403">
        <f t="shared" si="16"/>
        <v>7.4999999999999997E-3</v>
      </c>
      <c r="K63" s="2403">
        <f t="shared" si="17"/>
        <v>3.7499999999999999E-3</v>
      </c>
      <c r="L63" s="2403">
        <v>0</v>
      </c>
      <c r="M63" s="2403">
        <f t="shared" si="18"/>
        <v>-3.7499999999999999E-3</v>
      </c>
      <c r="N63" s="2403">
        <f t="shared" si="18"/>
        <v>-7.4999999999999997E-3</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t="s">
        <v>3021</v>
      </c>
      <c r="D64" s="2382">
        <f t="shared" si="15"/>
        <v>0</v>
      </c>
      <c r="E64" s="2404"/>
      <c r="F64" s="2402"/>
      <c r="G64" s="2380">
        <f t="shared" si="19"/>
        <v>4.4999999999999997E-3</v>
      </c>
      <c r="H64" s="2381">
        <f t="shared" si="20"/>
        <v>4.4999999999999997E-3</v>
      </c>
      <c r="I64" s="2400">
        <v>0.06</v>
      </c>
      <c r="J64" s="2403">
        <f t="shared" si="16"/>
        <v>8.9999999999999993E-3</v>
      </c>
      <c r="K64" s="2403">
        <f t="shared" si="17"/>
        <v>4.4999999999999997E-3</v>
      </c>
      <c r="L64" s="2403">
        <v>0</v>
      </c>
      <c r="M64" s="2403">
        <f t="shared" si="18"/>
        <v>-4.4999999999999997E-3</v>
      </c>
      <c r="N64" s="2403">
        <f t="shared" si="18"/>
        <v>-8.9999999999999993E-3</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t="s">
        <v>3021</v>
      </c>
      <c r="D65" s="2382">
        <f t="shared" si="15"/>
        <v>0</v>
      </c>
      <c r="E65" s="2404"/>
      <c r="F65" s="2402"/>
      <c r="G65" s="2380">
        <f t="shared" si="19"/>
        <v>8.9999999999999993E-3</v>
      </c>
      <c r="H65" s="2381">
        <f t="shared" si="20"/>
        <v>8.9999999999999993E-3</v>
      </c>
      <c r="I65" s="2400">
        <v>0.12</v>
      </c>
      <c r="J65" s="2403">
        <f t="shared" si="16"/>
        <v>1.7999999999999999E-2</v>
      </c>
      <c r="K65" s="2403">
        <f t="shared" si="17"/>
        <v>8.9999999999999993E-3</v>
      </c>
      <c r="L65" s="2403">
        <v>0</v>
      </c>
      <c r="M65" s="2403">
        <f t="shared" si="18"/>
        <v>-8.9999999999999993E-3</v>
      </c>
      <c r="N65" s="2403">
        <f t="shared" si="18"/>
        <v>-1.7999999999999999E-2</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t="s">
        <v>3022</v>
      </c>
      <c r="D66" s="2382">
        <f t="shared" si="15"/>
        <v>4.4999999999999997E-3</v>
      </c>
      <c r="E66" s="2408"/>
      <c r="F66" s="2402"/>
      <c r="G66" s="2380">
        <f t="shared" si="19"/>
        <v>4.4999999999999997E-3</v>
      </c>
      <c r="H66" s="2381">
        <f t="shared" si="20"/>
        <v>4.4999999999999997E-3</v>
      </c>
      <c r="I66" s="2407">
        <v>0.06</v>
      </c>
      <c r="J66" s="2403">
        <f t="shared" si="16"/>
        <v>8.9999999999999993E-3</v>
      </c>
      <c r="K66" s="2403">
        <f t="shared" si="17"/>
        <v>4.4999999999999997E-3</v>
      </c>
      <c r="L66" s="2403">
        <v>0</v>
      </c>
      <c r="M66" s="2403">
        <f t="shared" si="18"/>
        <v>-4.4999999999999997E-3</v>
      </c>
      <c r="N66" s="2403">
        <f t="shared" si="18"/>
        <v>-8.9999999999999993E-3</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2250</v>
      </c>
      <c r="G68" s="2396" t="s">
        <v>1014</v>
      </c>
      <c r="H68" s="2379" t="s">
        <v>2415</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1">SUMIF($J$68:$N$68,C69,J69:N69)</f>
        <v>0</v>
      </c>
      <c r="E69" s="2401">
        <f>ROUND(SUM(D69:D77),4)</f>
        <v>0</v>
      </c>
      <c r="F69" s="2402" t="str">
        <f>IF(E2="住宅",SUMIF(L1:L12,G2,N1:N12),"——")</f>
        <v>——</v>
      </c>
      <c r="G69" s="2383"/>
      <c r="H69" s="2427" t="str">
        <f t="shared" ref="H69:H77" si="22">IFERROR(ROUNDDOWN($F$69*I69/2,4),"——")</f>
        <v>——</v>
      </c>
      <c r="I69" s="2400">
        <v>0.14000000000000001</v>
      </c>
      <c r="J69" s="2403">
        <f t="shared" ref="J69:J77" si="23">K69+$G69</f>
        <v>0</v>
      </c>
      <c r="K69" s="2403">
        <f t="shared" ref="K69:K77" si="24">$L69+$G69</f>
        <v>0</v>
      </c>
      <c r="L69" s="2403">
        <v>0</v>
      </c>
      <c r="M69" s="2403">
        <f t="shared" ref="M69:N77" si="25">L69-$G69</f>
        <v>0</v>
      </c>
      <c r="N69" s="2403">
        <f t="shared" si="25"/>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1"/>
        <v>0</v>
      </c>
      <c r="E70" s="2410"/>
      <c r="F70" s="2411"/>
      <c r="G70" s="2383"/>
      <c r="H70" s="2427" t="str">
        <f t="shared" si="22"/>
        <v>——</v>
      </c>
      <c r="I70" s="2400">
        <v>0.3</v>
      </c>
      <c r="J70" s="2403">
        <f t="shared" si="23"/>
        <v>0</v>
      </c>
      <c r="K70" s="2403">
        <f t="shared" si="24"/>
        <v>0</v>
      </c>
      <c r="L70" s="2403">
        <v>0</v>
      </c>
      <c r="M70" s="2403">
        <f t="shared" si="25"/>
        <v>0</v>
      </c>
      <c r="N70" s="2403">
        <f t="shared" si="25"/>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1"/>
        <v>0</v>
      </c>
      <c r="E71" s="2410"/>
      <c r="F71" s="2411"/>
      <c r="G71" s="2383"/>
      <c r="H71" s="2427" t="str">
        <f t="shared" si="22"/>
        <v>——</v>
      </c>
      <c r="I71" s="2400">
        <v>0.08</v>
      </c>
      <c r="J71" s="2403">
        <f t="shared" si="23"/>
        <v>0</v>
      </c>
      <c r="K71" s="2403">
        <f t="shared" si="24"/>
        <v>0</v>
      </c>
      <c r="L71" s="2403">
        <v>0</v>
      </c>
      <c r="M71" s="2403">
        <f t="shared" si="25"/>
        <v>0</v>
      </c>
      <c r="N71" s="2403">
        <f t="shared" si="25"/>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1"/>
        <v>0</v>
      </c>
      <c r="E72" s="2410"/>
      <c r="F72" s="2411"/>
      <c r="G72" s="2383"/>
      <c r="H72" s="2427" t="str">
        <f t="shared" si="22"/>
        <v>——</v>
      </c>
      <c r="I72" s="2400">
        <v>0.04</v>
      </c>
      <c r="J72" s="2403">
        <f t="shared" si="23"/>
        <v>0</v>
      </c>
      <c r="K72" s="2403">
        <f t="shared" si="24"/>
        <v>0</v>
      </c>
      <c r="L72" s="2403">
        <v>0</v>
      </c>
      <c r="M72" s="2403">
        <f t="shared" si="25"/>
        <v>0</v>
      </c>
      <c r="N72" s="2403">
        <f t="shared" si="25"/>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1"/>
        <v>0</v>
      </c>
      <c r="E73" s="2410"/>
      <c r="F73" s="2411"/>
      <c r="G73" s="2383"/>
      <c r="H73" s="2427" t="str">
        <f t="shared" si="22"/>
        <v>——</v>
      </c>
      <c r="I73" s="2400">
        <v>0.08</v>
      </c>
      <c r="J73" s="2403">
        <f t="shared" si="23"/>
        <v>0</v>
      </c>
      <c r="K73" s="2403">
        <f t="shared" si="24"/>
        <v>0</v>
      </c>
      <c r="L73" s="2403">
        <v>0</v>
      </c>
      <c r="M73" s="2403">
        <f t="shared" si="25"/>
        <v>0</v>
      </c>
      <c r="N73" s="2403">
        <f t="shared" si="25"/>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1"/>
        <v>0</v>
      </c>
      <c r="E74" s="2410"/>
      <c r="F74" s="2411"/>
      <c r="G74" s="2383"/>
      <c r="H74" s="2427" t="str">
        <f t="shared" si="22"/>
        <v>——</v>
      </c>
      <c r="I74" s="2400">
        <v>0.12</v>
      </c>
      <c r="J74" s="2403">
        <f t="shared" si="23"/>
        <v>0</v>
      </c>
      <c r="K74" s="2403">
        <f t="shared" si="24"/>
        <v>0</v>
      </c>
      <c r="L74" s="2403">
        <v>0</v>
      </c>
      <c r="M74" s="2403">
        <f t="shared" si="25"/>
        <v>0</v>
      </c>
      <c r="N74" s="2403">
        <f t="shared" si="25"/>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2926" t="s">
        <v>2933</v>
      </c>
      <c r="C75" s="1155"/>
      <c r="D75" s="2382">
        <f t="shared" si="21"/>
        <v>0</v>
      </c>
      <c r="E75" s="2410"/>
      <c r="F75" s="2411"/>
      <c r="G75" s="2383"/>
      <c r="H75" s="2427" t="str">
        <f t="shared" si="22"/>
        <v>——</v>
      </c>
      <c r="I75" s="2400">
        <v>0.05</v>
      </c>
      <c r="J75" s="2403">
        <f t="shared" si="23"/>
        <v>0</v>
      </c>
      <c r="K75" s="2403">
        <f t="shared" si="24"/>
        <v>0</v>
      </c>
      <c r="L75" s="2403">
        <v>0</v>
      </c>
      <c r="M75" s="2403">
        <f t="shared" si="25"/>
        <v>0</v>
      </c>
      <c r="N75" s="2403">
        <f t="shared" si="25"/>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1"/>
        <v>0</v>
      </c>
      <c r="E76" s="2410"/>
      <c r="F76" s="2411"/>
      <c r="G76" s="2383"/>
      <c r="H76" s="2427" t="str">
        <f t="shared" si="22"/>
        <v>——</v>
      </c>
      <c r="I76" s="2400">
        <v>0.15</v>
      </c>
      <c r="J76" s="2403">
        <f t="shared" si="23"/>
        <v>0</v>
      </c>
      <c r="K76" s="2403">
        <f t="shared" si="24"/>
        <v>0</v>
      </c>
      <c r="L76" s="2403">
        <v>0</v>
      </c>
      <c r="M76" s="2403">
        <f t="shared" si="25"/>
        <v>0</v>
      </c>
      <c r="N76" s="2403">
        <f t="shared" si="25"/>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1"/>
        <v>0</v>
      </c>
      <c r="E77" s="2412"/>
      <c r="F77" s="2411"/>
      <c r="G77" s="2383"/>
      <c r="H77" s="2427" t="str">
        <f t="shared" si="22"/>
        <v>——</v>
      </c>
      <c r="I77" s="2407">
        <v>0.04</v>
      </c>
      <c r="J77" s="2403">
        <f t="shared" si="23"/>
        <v>0</v>
      </c>
      <c r="K77" s="2403">
        <f t="shared" si="24"/>
        <v>0</v>
      </c>
      <c r="L77" s="2403">
        <v>0</v>
      </c>
      <c r="M77" s="2403">
        <f t="shared" si="25"/>
        <v>0</v>
      </c>
      <c r="N77" s="2403">
        <f t="shared" si="25"/>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2251</v>
      </c>
      <c r="G79" s="2396" t="s">
        <v>1014</v>
      </c>
      <c r="H79" s="2379" t="s">
        <v>2415</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6">SUMIF($J$79:$N$79,C80,J80:N80)</f>
        <v>0</v>
      </c>
      <c r="E80" s="2401">
        <f>ROUND(SUM(D80:D87),4)</f>
        <v>0</v>
      </c>
      <c r="F80" s="2402" t="str">
        <f>IF(E2="工业",SUMIF(L1:L12,G2,N1:N12),"——")</f>
        <v>——</v>
      </c>
      <c r="G80" s="2380"/>
      <c r="H80" s="2426" t="str">
        <f t="shared" ref="H80:H87" si="27">IFERROR(ROUNDDOWN($F$80*I80/2,4),"——")</f>
        <v>——</v>
      </c>
      <c r="I80" s="2400">
        <v>0.26</v>
      </c>
      <c r="J80" s="2403">
        <f t="shared" ref="J80:J87" si="28">K80+$G80</f>
        <v>0</v>
      </c>
      <c r="K80" s="2403">
        <f t="shared" ref="K80:K87" si="29">$L80+$G80</f>
        <v>0</v>
      </c>
      <c r="L80" s="2403">
        <v>0</v>
      </c>
      <c r="M80" s="2403">
        <f t="shared" ref="M80:N87" si="30">L80-$G80</f>
        <v>0</v>
      </c>
      <c r="N80" s="2403">
        <f t="shared" si="30"/>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6"/>
        <v>0</v>
      </c>
      <c r="E81" s="2410"/>
      <c r="F81" s="2411"/>
      <c r="G81" s="2380"/>
      <c r="H81" s="2426" t="str">
        <f t="shared" si="27"/>
        <v>——</v>
      </c>
      <c r="I81" s="2400">
        <v>0.33</v>
      </c>
      <c r="J81" s="2403">
        <f t="shared" si="28"/>
        <v>0</v>
      </c>
      <c r="K81" s="2403">
        <f t="shared" si="29"/>
        <v>0</v>
      </c>
      <c r="L81" s="2403">
        <v>0</v>
      </c>
      <c r="M81" s="2403">
        <f t="shared" si="30"/>
        <v>0</v>
      </c>
      <c r="N81" s="2403">
        <f t="shared" si="30"/>
        <v>0</v>
      </c>
      <c r="AC81" s="1402"/>
      <c r="AD81" s="1401"/>
      <c r="AJ81" s="1400"/>
      <c r="AN81" s="1401"/>
    </row>
    <row r="82" spans="1:40" ht="24">
      <c r="A82" s="1063" t="s">
        <v>1022</v>
      </c>
      <c r="B82" s="2373">
        <f>估价对象房地状况!G17</f>
        <v>0</v>
      </c>
      <c r="C82" s="1050"/>
      <c r="D82" s="2382">
        <f t="shared" si="26"/>
        <v>0</v>
      </c>
      <c r="E82" s="2410"/>
      <c r="F82" s="2411"/>
      <c r="G82" s="2380"/>
      <c r="H82" s="2426" t="str">
        <f t="shared" si="27"/>
        <v>——</v>
      </c>
      <c r="I82" s="2400">
        <v>0.05</v>
      </c>
      <c r="J82" s="2403">
        <f t="shared" si="28"/>
        <v>0</v>
      </c>
      <c r="K82" s="2403">
        <f t="shared" si="29"/>
        <v>0</v>
      </c>
      <c r="L82" s="2403">
        <v>0</v>
      </c>
      <c r="M82" s="2403">
        <f t="shared" si="30"/>
        <v>0</v>
      </c>
      <c r="N82" s="2403">
        <f t="shared" si="30"/>
        <v>0</v>
      </c>
      <c r="AC82" s="1402"/>
      <c r="AD82" s="1401"/>
      <c r="AJ82" s="1400"/>
      <c r="AN82" s="1401"/>
    </row>
    <row r="83" spans="1:40" ht="14.25">
      <c r="A83" s="1063" t="s">
        <v>1034</v>
      </c>
      <c r="B83" s="2373">
        <f>估价对象房地状况!G22</f>
        <v>0</v>
      </c>
      <c r="C83" s="1050"/>
      <c r="D83" s="2382">
        <f t="shared" si="26"/>
        <v>0</v>
      </c>
      <c r="E83" s="2410"/>
      <c r="F83" s="2411"/>
      <c r="G83" s="2380"/>
      <c r="H83" s="2426" t="str">
        <f t="shared" si="27"/>
        <v>——</v>
      </c>
      <c r="I83" s="2400">
        <v>0.04</v>
      </c>
      <c r="J83" s="2403">
        <f t="shared" si="28"/>
        <v>0</v>
      </c>
      <c r="K83" s="2403">
        <f t="shared" si="29"/>
        <v>0</v>
      </c>
      <c r="L83" s="2403">
        <v>0</v>
      </c>
      <c r="M83" s="2403">
        <f t="shared" si="30"/>
        <v>0</v>
      </c>
      <c r="N83" s="2403">
        <f t="shared" si="30"/>
        <v>0</v>
      </c>
      <c r="AC83" s="1402"/>
      <c r="AD83" s="1401"/>
      <c r="AJ83" s="1400"/>
      <c r="AN83" s="1401"/>
    </row>
    <row r="84" spans="1:40" ht="24">
      <c r="A84" s="1063" t="s">
        <v>1026</v>
      </c>
      <c r="B84" s="2374" t="str">
        <f>估价对象房地状况!G19</f>
        <v>估价对象所在区域公共配套设施齐备情况</v>
      </c>
      <c r="C84" s="1050"/>
      <c r="D84" s="2382">
        <f t="shared" si="26"/>
        <v>0</v>
      </c>
      <c r="E84" s="2410"/>
      <c r="F84" s="2411"/>
      <c r="G84" s="2380"/>
      <c r="H84" s="2426" t="str">
        <f t="shared" si="27"/>
        <v>——</v>
      </c>
      <c r="I84" s="2400">
        <v>0.06</v>
      </c>
      <c r="J84" s="2403">
        <f t="shared" si="28"/>
        <v>0</v>
      </c>
      <c r="K84" s="2403">
        <f t="shared" si="29"/>
        <v>0</v>
      </c>
      <c r="L84" s="2403">
        <v>0</v>
      </c>
      <c r="M84" s="2403">
        <f t="shared" si="30"/>
        <v>0</v>
      </c>
      <c r="N84" s="2403">
        <f t="shared" si="30"/>
        <v>0</v>
      </c>
      <c r="AC84" s="1402"/>
      <c r="AD84" s="1401"/>
      <c r="AJ84" s="1400"/>
      <c r="AN84" s="1401"/>
    </row>
    <row r="85" spans="1:40" ht="24">
      <c r="A85" s="1063" t="s">
        <v>1027</v>
      </c>
      <c r="B85" s="2374" t="str">
        <f>估价对象房地状况!G20</f>
        <v>估价对象所在区域基础设施水平</v>
      </c>
      <c r="C85" s="1050"/>
      <c r="D85" s="2382">
        <f t="shared" si="26"/>
        <v>0</v>
      </c>
      <c r="E85" s="2410"/>
      <c r="F85" s="2411"/>
      <c r="G85" s="2380"/>
      <c r="H85" s="2426" t="str">
        <f t="shared" si="27"/>
        <v>——</v>
      </c>
      <c r="I85" s="2400">
        <v>0.15</v>
      </c>
      <c r="J85" s="2403">
        <f t="shared" si="28"/>
        <v>0</v>
      </c>
      <c r="K85" s="2403">
        <f t="shared" si="29"/>
        <v>0</v>
      </c>
      <c r="L85" s="2403">
        <v>0</v>
      </c>
      <c r="M85" s="2403">
        <f t="shared" si="30"/>
        <v>0</v>
      </c>
      <c r="N85" s="2403">
        <f t="shared" si="30"/>
        <v>0</v>
      </c>
      <c r="AC85" s="1402"/>
      <c r="AD85" s="1401"/>
      <c r="AJ85" s="1400"/>
      <c r="AN85" s="1401"/>
    </row>
    <row r="86" spans="1:40" ht="24">
      <c r="A86" s="1063" t="s">
        <v>1025</v>
      </c>
      <c r="B86" s="2926" t="s">
        <v>2933</v>
      </c>
      <c r="C86" s="1050"/>
      <c r="D86" s="2382">
        <f t="shared" si="26"/>
        <v>0</v>
      </c>
      <c r="E86" s="2410"/>
      <c r="F86" s="2411"/>
      <c r="G86" s="2380"/>
      <c r="H86" s="2426" t="str">
        <f t="shared" si="27"/>
        <v>——</v>
      </c>
      <c r="I86" s="2400">
        <v>0.05</v>
      </c>
      <c r="J86" s="2403">
        <f t="shared" si="28"/>
        <v>0</v>
      </c>
      <c r="K86" s="2403">
        <f t="shared" si="29"/>
        <v>0</v>
      </c>
      <c r="L86" s="2403">
        <v>0</v>
      </c>
      <c r="M86" s="2403">
        <f t="shared" si="30"/>
        <v>0</v>
      </c>
      <c r="N86" s="2403">
        <f t="shared" si="30"/>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6"/>
        <v>0</v>
      </c>
      <c r="E87" s="2412"/>
      <c r="F87" s="2411"/>
      <c r="G87" s="2380"/>
      <c r="H87" s="2426" t="str">
        <f t="shared" si="27"/>
        <v>——</v>
      </c>
      <c r="I87" s="2407">
        <v>0.06</v>
      </c>
      <c r="J87" s="2403">
        <f t="shared" si="28"/>
        <v>0</v>
      </c>
      <c r="K87" s="2403">
        <f t="shared" si="29"/>
        <v>0</v>
      </c>
      <c r="L87" s="2403">
        <v>0</v>
      </c>
      <c r="M87" s="2403">
        <f t="shared" si="30"/>
        <v>0</v>
      </c>
      <c r="N87" s="2403">
        <f t="shared" si="30"/>
        <v>0</v>
      </c>
      <c r="AC87" s="1402"/>
      <c r="AD87" s="1401"/>
      <c r="AJ87" s="1400"/>
      <c r="AN87" s="1401"/>
    </row>
    <row r="90" spans="1:40">
      <c r="A90" s="3408" t="s">
        <v>1633</v>
      </c>
      <c r="B90" s="3408"/>
      <c r="C90" s="3408"/>
      <c r="D90" s="3408"/>
      <c r="E90" s="3408"/>
      <c r="F90" s="3408"/>
      <c r="G90" s="3408"/>
      <c r="H90" s="3408"/>
      <c r="I90" s="3408"/>
      <c r="J90" s="3408"/>
      <c r="K90" s="2415"/>
      <c r="L90" s="2415"/>
      <c r="M90" s="2415"/>
      <c r="N90" s="2415"/>
    </row>
    <row r="91" spans="1:40">
      <c r="A91" s="3409" t="s">
        <v>1443</v>
      </c>
      <c r="B91" s="3409" t="s">
        <v>1634</v>
      </c>
      <c r="C91" s="1136" t="s">
        <v>1635</v>
      </c>
      <c r="D91" s="1137"/>
      <c r="E91" s="1137"/>
      <c r="F91" s="1137"/>
      <c r="G91" s="1137"/>
      <c r="H91" s="1137"/>
      <c r="I91" s="1137"/>
      <c r="J91" s="1138"/>
      <c r="K91" s="1130"/>
      <c r="L91" s="1130"/>
      <c r="M91" s="1130"/>
      <c r="N91" s="1130"/>
    </row>
    <row r="92" spans="1:40">
      <c r="A92" s="3409"/>
      <c r="B92" s="3409"/>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395" t="s">
        <v>2759</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396"/>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396"/>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396"/>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396"/>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396"/>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396"/>
      <c r="B99" s="1139" t="s">
        <v>1636</v>
      </c>
      <c r="C99" s="1141">
        <f>$I$3</f>
        <v>8</v>
      </c>
      <c r="D99" s="1141">
        <f t="shared" ref="D99:N99" si="31">$I$3</f>
        <v>8</v>
      </c>
      <c r="E99" s="1141">
        <f t="shared" si="31"/>
        <v>8</v>
      </c>
      <c r="F99" s="1141">
        <f t="shared" si="31"/>
        <v>8</v>
      </c>
      <c r="G99" s="1141">
        <f t="shared" si="31"/>
        <v>8</v>
      </c>
      <c r="H99" s="1141">
        <f t="shared" si="31"/>
        <v>8</v>
      </c>
      <c r="I99" s="1141">
        <f t="shared" si="31"/>
        <v>8</v>
      </c>
      <c r="J99" s="1141">
        <f t="shared" si="31"/>
        <v>8</v>
      </c>
      <c r="K99" s="1141">
        <f t="shared" si="31"/>
        <v>8</v>
      </c>
      <c r="L99" s="1141">
        <f t="shared" si="31"/>
        <v>8</v>
      </c>
      <c r="M99" s="1141">
        <f t="shared" si="31"/>
        <v>8</v>
      </c>
      <c r="N99" s="1141">
        <f t="shared" si="31"/>
        <v>8</v>
      </c>
    </row>
    <row r="100" spans="1:14">
      <c r="A100" s="3397"/>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395" t="s">
        <v>1637</v>
      </c>
      <c r="B101" s="1143" t="s">
        <v>906</v>
      </c>
      <c r="C101" s="1144">
        <f>$G$3</f>
        <v>3.11</v>
      </c>
      <c r="D101" s="1144">
        <f t="shared" ref="D101:N101" si="32">$G$3</f>
        <v>3.11</v>
      </c>
      <c r="E101" s="1144">
        <f t="shared" si="32"/>
        <v>3.11</v>
      </c>
      <c r="F101" s="1144">
        <f t="shared" si="32"/>
        <v>3.11</v>
      </c>
      <c r="G101" s="1144">
        <f t="shared" si="32"/>
        <v>3.11</v>
      </c>
      <c r="H101" s="1144">
        <f t="shared" si="32"/>
        <v>3.11</v>
      </c>
      <c r="I101" s="1144">
        <f t="shared" si="32"/>
        <v>3.11</v>
      </c>
      <c r="J101" s="1144">
        <f t="shared" si="32"/>
        <v>3.11</v>
      </c>
      <c r="K101" s="1144">
        <f t="shared" si="32"/>
        <v>3.11</v>
      </c>
      <c r="L101" s="1144">
        <f t="shared" si="32"/>
        <v>3.11</v>
      </c>
      <c r="M101" s="1144">
        <f t="shared" si="32"/>
        <v>3.11</v>
      </c>
      <c r="N101" s="1144">
        <f t="shared" si="32"/>
        <v>3.11</v>
      </c>
    </row>
    <row r="102" spans="1:14">
      <c r="A102" s="3396"/>
      <c r="B102" s="1139">
        <v>1</v>
      </c>
      <c r="C102" s="1140">
        <f>1.9362/C101</f>
        <v>0.62257234726688104</v>
      </c>
      <c r="D102" s="1140">
        <f>1.9362/D101</f>
        <v>0.62257234726688104</v>
      </c>
      <c r="E102" s="1140">
        <f>1.8629/E101</f>
        <v>0.59900321543408364</v>
      </c>
      <c r="F102" s="1140">
        <f>1.8629/F101</f>
        <v>0.59900321543408364</v>
      </c>
      <c r="G102" s="1140">
        <f>1.8629/G101</f>
        <v>0.59900321543408364</v>
      </c>
      <c r="H102" s="1140">
        <f>1.8629/H101</f>
        <v>0.59900321543408364</v>
      </c>
      <c r="I102" s="1140">
        <f>1.8629/I101</f>
        <v>0.59900321543408364</v>
      </c>
      <c r="J102" s="1140">
        <f>1.942/J101</f>
        <v>0.62443729903536982</v>
      </c>
      <c r="K102" s="1140">
        <f>1.942/K101</f>
        <v>0.62443729903536982</v>
      </c>
      <c r="L102" s="1140">
        <f>1.942/L101</f>
        <v>0.62443729903536982</v>
      </c>
      <c r="M102" s="1140">
        <f>1.942/M101</f>
        <v>0.62443729903536982</v>
      </c>
      <c r="N102" s="1140">
        <f>1.942/N101</f>
        <v>0.62443729903536982</v>
      </c>
    </row>
    <row r="103" spans="1:14">
      <c r="A103" s="3396"/>
      <c r="B103" s="1139">
        <v>2</v>
      </c>
      <c r="C103" s="1140">
        <f>1.4198/C101</f>
        <v>0.45652733118971062</v>
      </c>
      <c r="D103" s="1140">
        <f>1.4198/D101</f>
        <v>0.45652733118971062</v>
      </c>
      <c r="E103" s="1140">
        <f>1.3372/E101</f>
        <v>0.42996784565916396</v>
      </c>
      <c r="F103" s="1140">
        <f>1.3372/F101</f>
        <v>0.42996784565916396</v>
      </c>
      <c r="G103" s="1140">
        <f>1.3372/G101</f>
        <v>0.42996784565916396</v>
      </c>
      <c r="H103" s="1140">
        <f>1.3372/H101</f>
        <v>0.42996784565916396</v>
      </c>
      <c r="I103" s="1140">
        <f>1.3372/I101</f>
        <v>0.42996784565916396</v>
      </c>
      <c r="J103" s="1140">
        <f>1.2799/J101</f>
        <v>0.41154340836012865</v>
      </c>
      <c r="K103" s="1140">
        <f>1.2799/K101</f>
        <v>0.41154340836012865</v>
      </c>
      <c r="L103" s="1140">
        <f>1.2799/L101</f>
        <v>0.41154340836012865</v>
      </c>
      <c r="M103" s="1140">
        <f>1.2799/M101</f>
        <v>0.41154340836012865</v>
      </c>
      <c r="N103" s="1140">
        <f>1.2799/N101</f>
        <v>0.41154340836012865</v>
      </c>
    </row>
    <row r="104" spans="1:14">
      <c r="A104" s="3396"/>
      <c r="B104" s="1139">
        <v>3</v>
      </c>
      <c r="C104" s="1140">
        <f>1.1594/C101</f>
        <v>0.3727974276527331</v>
      </c>
      <c r="D104" s="1140">
        <f>1.1594/D101</f>
        <v>0.3727974276527331</v>
      </c>
      <c r="E104" s="1140">
        <f>1.0788/E101</f>
        <v>0.34688102893890677</v>
      </c>
      <c r="F104" s="1140">
        <f>1.0788/F101</f>
        <v>0.34688102893890677</v>
      </c>
      <c r="G104" s="1140">
        <f>1.0788/G101</f>
        <v>0.34688102893890677</v>
      </c>
      <c r="H104" s="1140">
        <f>1.0788/H101</f>
        <v>0.34688102893890677</v>
      </c>
      <c r="I104" s="1140">
        <f>1.0788/I101</f>
        <v>0.34688102893890677</v>
      </c>
      <c r="J104" s="1140">
        <f>1.0072/J101</f>
        <v>0.32385852090032158</v>
      </c>
      <c r="K104" s="1140">
        <f>1.0072/K101</f>
        <v>0.32385852090032158</v>
      </c>
      <c r="L104" s="1140">
        <f>1.0072/L101</f>
        <v>0.32385852090032158</v>
      </c>
      <c r="M104" s="1140">
        <f>1.0072/M101</f>
        <v>0.32385852090032158</v>
      </c>
      <c r="N104" s="1140">
        <f>1.0072/N101</f>
        <v>0.32385852090032158</v>
      </c>
    </row>
    <row r="105" spans="1:14">
      <c r="A105" s="3396"/>
      <c r="B105" s="1139">
        <v>4</v>
      </c>
      <c r="C105" s="1140">
        <f>0.9622/C101</f>
        <v>0.30938906752411577</v>
      </c>
      <c r="D105" s="1140">
        <f>0.9622/D101</f>
        <v>0.30938906752411577</v>
      </c>
      <c r="E105" s="1140">
        <f>0.8656/E101</f>
        <v>0.27832797427652733</v>
      </c>
      <c r="F105" s="1140">
        <f>0.8656/F101</f>
        <v>0.27832797427652733</v>
      </c>
      <c r="G105" s="1140">
        <f>0.8656/G101</f>
        <v>0.27832797427652733</v>
      </c>
      <c r="H105" s="1140">
        <f>0.8656/H101</f>
        <v>0.27832797427652733</v>
      </c>
      <c r="I105" s="1140">
        <f>0.8656/I101</f>
        <v>0.27832797427652733</v>
      </c>
      <c r="J105" s="1140">
        <f>0.7525/J101</f>
        <v>0.24196141479099678</v>
      </c>
      <c r="K105" s="1140">
        <f>0.7525/K101</f>
        <v>0.24196141479099678</v>
      </c>
      <c r="L105" s="1140">
        <f>0.7525/L101</f>
        <v>0.24196141479099678</v>
      </c>
      <c r="M105" s="1140">
        <f>0.7525/M101</f>
        <v>0.24196141479099678</v>
      </c>
      <c r="N105" s="1140">
        <f>0.7525/N101</f>
        <v>0.24196141479099678</v>
      </c>
    </row>
    <row r="106" spans="1:14">
      <c r="A106" s="3396"/>
      <c r="B106" s="1139">
        <v>5</v>
      </c>
      <c r="C106" s="1140">
        <f>0.8417/C101</f>
        <v>0.27064308681672028</v>
      </c>
      <c r="D106" s="1140">
        <f>0.8417/D101</f>
        <v>0.27064308681672028</v>
      </c>
      <c r="E106" s="1140">
        <f>0.7371/E101</f>
        <v>0.2370096463022508</v>
      </c>
      <c r="F106" s="1140">
        <f>0.7371/F101</f>
        <v>0.2370096463022508</v>
      </c>
      <c r="G106" s="1140">
        <f>0.7371/G101</f>
        <v>0.2370096463022508</v>
      </c>
      <c r="H106" s="1140">
        <f>0.7371/H101</f>
        <v>0.2370096463022508</v>
      </c>
      <c r="I106" s="1140">
        <f>0.7371/I101</f>
        <v>0.2370096463022508</v>
      </c>
      <c r="J106" s="1140">
        <f>0.5659/J101</f>
        <v>0.18196141479099678</v>
      </c>
      <c r="K106" s="1140">
        <f>0.5659/K101</f>
        <v>0.18196141479099678</v>
      </c>
      <c r="L106" s="1140">
        <f>0.5659/L101</f>
        <v>0.18196141479099678</v>
      </c>
      <c r="M106" s="1140">
        <f>0.5659/M101</f>
        <v>0.18196141479099678</v>
      </c>
      <c r="N106" s="1140">
        <f>0.5659/N101</f>
        <v>0.18196141479099678</v>
      </c>
    </row>
    <row r="107" spans="1:14">
      <c r="A107" s="3396"/>
      <c r="B107" s="1139">
        <v>6</v>
      </c>
      <c r="C107" s="1140">
        <f>0.7608/C101</f>
        <v>0.24463022508038587</v>
      </c>
      <c r="D107" s="1140">
        <f>0.7608/D101</f>
        <v>0.24463022508038587</v>
      </c>
      <c r="E107" s="1140">
        <f>0.6482/E101</f>
        <v>0.20842443729903537</v>
      </c>
      <c r="F107" s="1140">
        <f>0.6482/F101</f>
        <v>0.20842443729903537</v>
      </c>
      <c r="G107" s="1140">
        <f>0.6482/G101</f>
        <v>0.20842443729903537</v>
      </c>
      <c r="H107" s="1140">
        <f>0.6482/H101</f>
        <v>0.20842443729903537</v>
      </c>
      <c r="I107" s="1140">
        <f>0.6482/I101</f>
        <v>0.20842443729903537</v>
      </c>
      <c r="J107" s="1140">
        <f>0.4525/J101</f>
        <v>0.14549839228295822</v>
      </c>
      <c r="K107" s="1140">
        <f>0.4525/K101</f>
        <v>0.14549839228295822</v>
      </c>
      <c r="L107" s="1140">
        <f>0.4525/L101</f>
        <v>0.14549839228295822</v>
      </c>
      <c r="M107" s="1140">
        <f>0.4525/M101</f>
        <v>0.14549839228295822</v>
      </c>
      <c r="N107" s="1140">
        <f>0.4525/N101</f>
        <v>0.14549839228295822</v>
      </c>
    </row>
    <row r="108" spans="1:14">
      <c r="A108" s="3396"/>
      <c r="B108" s="3398" t="s">
        <v>1638</v>
      </c>
      <c r="C108" s="1141">
        <f>C99</f>
        <v>8</v>
      </c>
      <c r="D108" s="1141">
        <f t="shared" ref="D108:N108" si="33">D99</f>
        <v>8</v>
      </c>
      <c r="E108" s="1141">
        <f t="shared" si="33"/>
        <v>8</v>
      </c>
      <c r="F108" s="1141">
        <f t="shared" si="33"/>
        <v>8</v>
      </c>
      <c r="G108" s="1141">
        <f t="shared" si="33"/>
        <v>8</v>
      </c>
      <c r="H108" s="1141">
        <f t="shared" si="33"/>
        <v>8</v>
      </c>
      <c r="I108" s="1141">
        <f t="shared" si="33"/>
        <v>8</v>
      </c>
      <c r="J108" s="1141">
        <f t="shared" si="33"/>
        <v>8</v>
      </c>
      <c r="K108" s="1141">
        <f t="shared" si="33"/>
        <v>8</v>
      </c>
      <c r="L108" s="1141">
        <f t="shared" si="33"/>
        <v>8</v>
      </c>
      <c r="M108" s="1141">
        <f t="shared" si="33"/>
        <v>8</v>
      </c>
      <c r="N108" s="1141">
        <f t="shared" si="33"/>
        <v>8</v>
      </c>
    </row>
    <row r="109" spans="1:14">
      <c r="A109" s="3397"/>
      <c r="B109" s="3399"/>
      <c r="C109" s="1142">
        <f>(-0.163*(C108^2)-0.59*C108+7617)*(10^(-4))/C101</f>
        <v>0.2444324115755627</v>
      </c>
      <c r="D109" s="1142">
        <f>(-0.163*(D108^2)-0.59*D108+7617)*(10^(-4))/D101</f>
        <v>0.2444324115755627</v>
      </c>
      <c r="E109" s="1142">
        <f>(-0.161*(E108^2)-7.509*E108+6533)*(10^(-4))/E101</f>
        <v>0.20780141479099679</v>
      </c>
      <c r="F109" s="1142">
        <f>(-0.161*(F108^2)-7.509*F108+6533)*(10^(-4))/F101</f>
        <v>0.20780141479099679</v>
      </c>
      <c r="G109" s="1142">
        <f>(-0.161*(G108^2)-7.509*G108+6533)*(10^(-4))/G101</f>
        <v>0.20780141479099679</v>
      </c>
      <c r="H109" s="1142">
        <f>(-0.161*(H108^2)-7.509*H108+6533)*(10^(-4))/H101</f>
        <v>0.20780141479099679</v>
      </c>
      <c r="I109" s="1142">
        <f>(-0.161*(I108^2)-7.509*I108+6533)*(10^(-4))/I101</f>
        <v>0.20780141479099679</v>
      </c>
      <c r="J109" s="1142">
        <f>(-0.214*(J108^2)-21.991*J108+4665)*(10^(-4))/J101</f>
        <v>0.14390276527331192</v>
      </c>
      <c r="K109" s="1142">
        <f>(-0.214*(K108^2)-21.991*K108+4665)*(10^(-4))/K101</f>
        <v>0.14390276527331192</v>
      </c>
      <c r="L109" s="1142">
        <f>(-0.214*(L108^2)-21.991*L108+4665)*(10^(-4))/L101</f>
        <v>0.14390276527331192</v>
      </c>
      <c r="M109" s="1142">
        <f>(-0.214*(M108^2)-21.991*M108+4665)*(10^(-4))/M101</f>
        <v>0.14390276527331192</v>
      </c>
      <c r="N109" s="1142">
        <f>(-0.214*(N108^2)-21.991*N108+4665)*(10^(-4))/N101</f>
        <v>0.14390276527331192</v>
      </c>
    </row>
    <row r="110" spans="1:14">
      <c r="A110" s="3402" t="s">
        <v>1639</v>
      </c>
      <c r="B110" s="3402"/>
      <c r="C110" s="3402"/>
      <c r="D110" s="3402"/>
      <c r="E110" s="3402"/>
      <c r="F110" s="3402"/>
      <c r="G110" s="3402"/>
      <c r="H110" s="3402"/>
      <c r="I110" s="3402"/>
      <c r="J110" s="3402"/>
      <c r="K110" s="2413"/>
      <c r="L110" s="2413"/>
      <c r="M110" s="2413"/>
      <c r="N110" s="2413"/>
    </row>
    <row r="112" spans="1:14" ht="12.75" thickBot="1"/>
    <row r="113" spans="1:13" ht="25.5" thickBot="1">
      <c r="A113" s="1016" t="s">
        <v>896</v>
      </c>
      <c r="B113" s="2416">
        <f>G3</f>
        <v>3.11</v>
      </c>
      <c r="C113" s="1017" t="s">
        <v>897</v>
      </c>
      <c r="D113" s="1018">
        <f>SUMPRODUCT((A115:A118=F113)*(B114:M114=H113)*B115:M118)</f>
        <v>0.72589999999999999</v>
      </c>
      <c r="E113" s="1019" t="s">
        <v>898</v>
      </c>
      <c r="F113" s="1020" t="str">
        <f>E2</f>
        <v>办公</v>
      </c>
      <c r="G113" s="1019" t="s">
        <v>899</v>
      </c>
      <c r="H113" s="1020" t="str">
        <f>G2</f>
        <v>八级</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0.90429999999999999</v>
      </c>
      <c r="C115" s="1030">
        <f>B115</f>
        <v>0.90429999999999999</v>
      </c>
      <c r="D115" s="1030">
        <f>ROUND(0.8331-0.0109*B113,4)</f>
        <v>0.79920000000000002</v>
      </c>
      <c r="E115" s="1030">
        <f>D115</f>
        <v>0.79920000000000002</v>
      </c>
      <c r="F115" s="1030">
        <f>E115</f>
        <v>0.79920000000000002</v>
      </c>
      <c r="G115" s="1030">
        <f>F115</f>
        <v>0.79920000000000002</v>
      </c>
      <c r="H115" s="1030">
        <f>G115</f>
        <v>0.79920000000000002</v>
      </c>
      <c r="I115" s="1030">
        <f>ROUND(0.689-0.0155*B113,4)</f>
        <v>0.64080000000000004</v>
      </c>
      <c r="J115" s="1030">
        <f t="shared" ref="J115:M118" si="34">I115</f>
        <v>0.64080000000000004</v>
      </c>
      <c r="K115" s="1030">
        <f t="shared" si="34"/>
        <v>0.64080000000000004</v>
      </c>
      <c r="L115" s="1030">
        <f t="shared" si="34"/>
        <v>0.64080000000000004</v>
      </c>
      <c r="M115" s="1031">
        <f t="shared" si="34"/>
        <v>0.64080000000000004</v>
      </c>
    </row>
    <row r="116" spans="1:13" ht="12.75">
      <c r="A116" s="1029" t="s">
        <v>901</v>
      </c>
      <c r="B116" s="1030">
        <f>ROUND(0.949-0.012*B113,4)</f>
        <v>0.91169999999999995</v>
      </c>
      <c r="C116" s="1030">
        <f>B116</f>
        <v>0.91169999999999995</v>
      </c>
      <c r="D116" s="1030">
        <f>ROUND(0.8567-0.013*B113,4)</f>
        <v>0.81630000000000003</v>
      </c>
      <c r="E116" s="1030">
        <f t="shared" ref="E116:H117" si="35">D116</f>
        <v>0.81630000000000003</v>
      </c>
      <c r="F116" s="1030">
        <f t="shared" si="35"/>
        <v>0.81630000000000003</v>
      </c>
      <c r="G116" s="1030">
        <f t="shared" si="35"/>
        <v>0.81630000000000003</v>
      </c>
      <c r="H116" s="1030">
        <f t="shared" si="35"/>
        <v>0.81630000000000003</v>
      </c>
      <c r="I116" s="1030">
        <f>ROUND(0.7694-0.014*B113,4)</f>
        <v>0.72589999999999999</v>
      </c>
      <c r="J116" s="1030">
        <f t="shared" si="34"/>
        <v>0.72589999999999999</v>
      </c>
      <c r="K116" s="1030">
        <f t="shared" si="34"/>
        <v>0.72589999999999999</v>
      </c>
      <c r="L116" s="1030">
        <f t="shared" si="34"/>
        <v>0.72589999999999999</v>
      </c>
      <c r="M116" s="1031">
        <f t="shared" si="34"/>
        <v>0.72589999999999999</v>
      </c>
    </row>
    <row r="117" spans="1:13" ht="12.75">
      <c r="A117" s="1032" t="s">
        <v>902</v>
      </c>
      <c r="B117" s="1030">
        <f>ROUND(0.8808-0.006*B113,4)</f>
        <v>0.86209999999999998</v>
      </c>
      <c r="C117" s="1030">
        <f>B117</f>
        <v>0.86209999999999998</v>
      </c>
      <c r="D117" s="1030">
        <f>ROUND(0.8748-0.008*B113,4)</f>
        <v>0.84989999999999999</v>
      </c>
      <c r="E117" s="1030">
        <f t="shared" si="35"/>
        <v>0.84989999999999999</v>
      </c>
      <c r="F117" s="1030">
        <f t="shared" si="35"/>
        <v>0.84989999999999999</v>
      </c>
      <c r="G117" s="1030">
        <f t="shared" si="35"/>
        <v>0.84989999999999999</v>
      </c>
      <c r="H117" s="1030">
        <f t="shared" si="35"/>
        <v>0.84989999999999999</v>
      </c>
      <c r="I117" s="1030">
        <f>ROUND(0.7412-0.0095*B113,4)</f>
        <v>0.7117</v>
      </c>
      <c r="J117" s="1030">
        <f t="shared" si="34"/>
        <v>0.7117</v>
      </c>
      <c r="K117" s="1030">
        <f t="shared" si="34"/>
        <v>0.7117</v>
      </c>
      <c r="L117" s="1030">
        <f t="shared" si="34"/>
        <v>0.7117</v>
      </c>
      <c r="M117" s="1031">
        <f t="shared" si="34"/>
        <v>0.7117</v>
      </c>
    </row>
    <row r="118" spans="1:13" ht="13.5" thickBot="1">
      <c r="A118" s="1033" t="s">
        <v>903</v>
      </c>
      <c r="B118" s="1034">
        <f>ROUND(0.7275-0.01*B113,4)</f>
        <v>0.69640000000000002</v>
      </c>
      <c r="C118" s="1034">
        <f>B118</f>
        <v>0.69640000000000002</v>
      </c>
      <c r="D118" s="1034">
        <f>ROUND(0.7043-0.012*B113,4)</f>
        <v>0.66700000000000004</v>
      </c>
      <c r="E118" s="1034">
        <f>D118</f>
        <v>0.66700000000000004</v>
      </c>
      <c r="F118" s="1034">
        <f>E118</f>
        <v>0.66700000000000004</v>
      </c>
      <c r="G118" s="1034">
        <f>ROUND(0.6299-0.0122*B113,4)</f>
        <v>0.59199999999999997</v>
      </c>
      <c r="H118" s="1034">
        <f>G118</f>
        <v>0.59199999999999997</v>
      </c>
      <c r="I118" s="1034">
        <f>ROUND(0.5667-0.0136*B113,4)</f>
        <v>0.52439999999999998</v>
      </c>
      <c r="J118" s="1034">
        <f t="shared" si="34"/>
        <v>0.52439999999999998</v>
      </c>
      <c r="K118" s="1034">
        <f t="shared" si="34"/>
        <v>0.52439999999999998</v>
      </c>
      <c r="L118" s="1034">
        <f t="shared" si="34"/>
        <v>0.52439999999999998</v>
      </c>
      <c r="M118" s="1035">
        <f t="shared" si="34"/>
        <v>0.52439999999999998</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3" type="noConversion"/>
  <conditionalFormatting sqref="F47">
    <cfRule type="cellIs" dxfId="149" priority="5" stopIfTrue="1" operator="notEqual">
      <formula>"——"</formula>
    </cfRule>
  </conditionalFormatting>
  <conditionalFormatting sqref="F58">
    <cfRule type="cellIs" dxfId="148" priority="4" stopIfTrue="1" operator="notEqual">
      <formula>"——"</formula>
    </cfRule>
  </conditionalFormatting>
  <conditionalFormatting sqref="F69">
    <cfRule type="cellIs" dxfId="147" priority="3" stopIfTrue="1" operator="notEqual">
      <formula>"——"</formula>
    </cfRule>
  </conditionalFormatting>
  <conditionalFormatting sqref="F80">
    <cfRule type="cellIs" dxfId="146" priority="2" stopIfTrue="1" operator="notEqual">
      <formula>"——"</formula>
    </cfRule>
  </conditionalFormatting>
  <conditionalFormatting sqref="H58:H66 H47:H55 H69:H77 H80:H87">
    <cfRule type="cellIs" dxfId="145"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I25" sqref="I25"/>
    </sheetView>
  </sheetViews>
  <sheetFormatPr defaultColWidth="6.625" defaultRowHeight="12.75"/>
  <cols>
    <col min="1" max="1" width="9.75" style="2110" customWidth="1"/>
    <col min="2" max="2" width="25.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649" t="s">
        <v>1677</v>
      </c>
      <c r="C1" s="2090"/>
      <c r="D1" s="2090"/>
      <c r="E1" s="2090"/>
      <c r="F1" s="2090"/>
      <c r="G1" s="2090"/>
      <c r="H1" s="2090"/>
      <c r="I1" s="2090"/>
      <c r="J1" s="2090"/>
      <c r="K1" s="422">
        <f>MATCH(B1,'数据-取费表'!A6:A16,0)+5</f>
        <v>6</v>
      </c>
    </row>
    <row r="2" spans="1:31" s="2027" customFormat="1" ht="18" customHeight="1">
      <c r="A2" s="2087" t="s">
        <v>467</v>
      </c>
      <c r="B2" s="2091">
        <f ca="1">C36</f>
        <v>24242</v>
      </c>
      <c r="C2" s="2090"/>
      <c r="D2" s="2090"/>
      <c r="E2" s="2090"/>
      <c r="F2" s="2090"/>
      <c r="G2" s="2090"/>
      <c r="H2" s="2090"/>
      <c r="I2" s="2090"/>
      <c r="J2" s="2090"/>
      <c r="K2" s="2090"/>
    </row>
    <row r="3" spans="1:31" s="2027" customFormat="1" ht="18" customHeight="1">
      <c r="A3" s="2092" t="s">
        <v>1684</v>
      </c>
      <c r="B3" s="2093">
        <f ca="1">ROUND(B2*10000/IF(B1="",'数据-汇总表'!E3,INDIRECT("'数据-取费表'!K"&amp;$K$1)),0)</f>
        <v>14177</v>
      </c>
      <c r="C3" s="2090"/>
      <c r="D3" s="2090"/>
      <c r="E3" s="2090"/>
      <c r="F3" s="2090"/>
      <c r="G3" s="2090"/>
      <c r="H3" s="2090"/>
      <c r="I3" s="2090"/>
      <c r="J3" s="2090"/>
      <c r="K3" s="2090"/>
    </row>
    <row r="4" spans="1:31" s="2027" customFormat="1" ht="18" customHeight="1">
      <c r="A4" s="426" t="s">
        <v>468</v>
      </c>
      <c r="B4" s="427">
        <f ca="1">ROUND(B2*10000/IF(B1="",'数据-汇总表'!D3,INDIRECT("'数据-取费表'!R"&amp;$K$1)),0)</f>
        <v>44076</v>
      </c>
      <c r="C4" s="428"/>
      <c r="D4" s="422"/>
      <c r="E4" s="422"/>
      <c r="F4" s="422"/>
      <c r="G4" s="422"/>
      <c r="H4" s="422"/>
      <c r="I4" s="422"/>
      <c r="J4" s="422"/>
      <c r="K4" s="422"/>
    </row>
    <row r="5" spans="1:31" s="2027" customFormat="1" ht="18" customHeight="1" thickBot="1">
      <c r="A5" s="429"/>
      <c r="B5" s="430">
        <f ca="1">ROUND(B2/(IF(B1="",'数据-汇总表'!D3,INDIRECT("'数据-取费表'!R"&amp;$K$1))/666.67),0)</f>
        <v>2938</v>
      </c>
      <c r="C5" s="431" t="s">
        <v>469</v>
      </c>
      <c r="D5" s="422"/>
      <c r="E5" s="422"/>
      <c r="F5" s="422"/>
      <c r="G5" s="422"/>
      <c r="H5" s="422"/>
      <c r="I5" s="422"/>
      <c r="J5" s="422"/>
      <c r="K5" s="422"/>
    </row>
    <row r="6" spans="1:31" s="2097" customFormat="1" ht="16.5" customHeight="1">
      <c r="A6" s="2668" t="s">
        <v>1842</v>
      </c>
      <c r="B6" s="2669"/>
      <c r="C6" s="2670">
        <f>SUM(C10:K10)</f>
        <v>41295</v>
      </c>
      <c r="D6" s="2669"/>
      <c r="E6" s="2669"/>
      <c r="F6" s="2669"/>
      <c r="G6" s="2669"/>
      <c r="H6" s="2669"/>
      <c r="I6" s="2669"/>
      <c r="J6" s="2669"/>
      <c r="K6" s="2671"/>
    </row>
    <row r="7" spans="1:31" s="2099" customFormat="1" ht="15">
      <c r="A7" s="2672" t="s">
        <v>470</v>
      </c>
      <c r="B7" s="2673" t="s">
        <v>471</v>
      </c>
      <c r="C7" s="436" t="s">
        <v>1677</v>
      </c>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674"/>
      <c r="D8" s="2674"/>
      <c r="E8" s="2674"/>
      <c r="F8" s="2674"/>
      <c r="G8" s="2674"/>
      <c r="H8" s="2674"/>
      <c r="I8" s="2674"/>
      <c r="J8" s="2674"/>
      <c r="K8" s="2675"/>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17100</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676" t="s">
        <v>1847</v>
      </c>
      <c r="B10" s="2662" t="s">
        <v>474</v>
      </c>
      <c r="C10" s="2865">
        <f>'不动产比较法-办公售价'!B2</f>
        <v>41295</v>
      </c>
      <c r="D10" s="2865"/>
      <c r="E10" s="2865"/>
      <c r="F10" s="2677"/>
      <c r="G10" s="2677"/>
      <c r="H10" s="2677"/>
      <c r="I10" s="2677"/>
      <c r="J10" s="2677"/>
      <c r="K10" s="2678"/>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679" t="s">
        <v>1843</v>
      </c>
      <c r="B11" s="2669"/>
      <c r="C11" s="2669"/>
      <c r="D11" s="2669"/>
      <c r="E11" s="2669"/>
      <c r="F11" s="2669"/>
      <c r="G11" s="2669"/>
      <c r="H11" s="2669"/>
      <c r="I11" s="2669"/>
      <c r="J11" s="2669"/>
      <c r="K11" s="2671"/>
    </row>
    <row r="12" spans="1:31" s="2071" customFormat="1" ht="13.5" customHeight="1">
      <c r="A12" s="2680" t="s">
        <v>470</v>
      </c>
      <c r="B12" s="2652" t="s">
        <v>471</v>
      </c>
      <c r="C12" s="2681" t="s">
        <v>475</v>
      </c>
      <c r="D12" s="2648" t="s">
        <v>476</v>
      </c>
      <c r="E12" s="2648" t="s">
        <v>477</v>
      </c>
      <c r="F12" s="2648" t="s">
        <v>478</v>
      </c>
      <c r="G12" s="2652"/>
      <c r="H12" s="2653"/>
      <c r="I12" s="2653"/>
      <c r="J12" s="2653"/>
      <c r="K12" s="2654"/>
    </row>
    <row r="13" spans="1:31" s="2102" customFormat="1" ht="13.5" customHeight="1">
      <c r="A13" s="2682" t="s">
        <v>1848</v>
      </c>
      <c r="B13" s="2683" t="s">
        <v>479</v>
      </c>
      <c r="C13" s="450">
        <f>'数据-取费表'!M16</f>
        <v>6498</v>
      </c>
      <c r="D13" s="2684"/>
      <c r="E13" s="2685"/>
      <c r="F13" s="2686"/>
      <c r="G13" s="2652"/>
      <c r="H13" s="2653"/>
      <c r="I13" s="2653"/>
      <c r="J13" s="2653"/>
      <c r="K13" s="2654"/>
    </row>
    <row r="14" spans="1:31" s="2102" customFormat="1" ht="13.5" customHeight="1">
      <c r="A14" s="2682" t="s">
        <v>1849</v>
      </c>
      <c r="B14" s="2683" t="s">
        <v>480</v>
      </c>
      <c r="C14" s="53">
        <f>ROUND(C13*F14,0)</f>
        <v>195</v>
      </c>
      <c r="D14" s="2684"/>
      <c r="E14" s="2685"/>
      <c r="F14" s="2687">
        <f>'数据-取费表'!B33</f>
        <v>0.03</v>
      </c>
      <c r="G14" s="2652" t="s">
        <v>481</v>
      </c>
      <c r="H14" s="2653"/>
      <c r="I14" s="2653"/>
      <c r="J14" s="2653"/>
      <c r="K14" s="2654"/>
    </row>
    <row r="15" spans="1:31" s="2102" customFormat="1" ht="13.5" customHeight="1">
      <c r="A15" s="2682" t="s">
        <v>1850</v>
      </c>
      <c r="B15" s="2683" t="s">
        <v>482</v>
      </c>
      <c r="C15" s="53">
        <f ca="1">ROUND(IF(B1="",SUMIF('数据-取费表'!C:C,"住宅",'数据-取费表'!P:P)*F15,IF(INDIRECT("'数据-取费表'!c"&amp;$K$1)="住宅",INDIRECT("'数据-取费表'!P"&amp;$K$1)*F15,0)),0)</f>
        <v>0</v>
      </c>
      <c r="D15" s="2684"/>
      <c r="E15" s="2685"/>
      <c r="F15" s="2687">
        <f>'数据-取费表'!B34</f>
        <v>0.1</v>
      </c>
      <c r="G15" s="2652" t="s">
        <v>483</v>
      </c>
      <c r="H15" s="2653"/>
      <c r="I15" s="2653"/>
      <c r="J15" s="2653"/>
      <c r="K15" s="2654"/>
    </row>
    <row r="16" spans="1:31" s="2103" customFormat="1" ht="13.5" customHeight="1">
      <c r="A16" s="2682" t="s">
        <v>1851</v>
      </c>
      <c r="B16" s="2683" t="s">
        <v>484</v>
      </c>
      <c r="C16" s="53">
        <f ca="1">ROUND(D16*E16/10000,0)</f>
        <v>513</v>
      </c>
      <c r="D16" s="2684">
        <f ca="1">IF(B1="",'数据-汇总表'!E3,INDIRECT("'数据-取费表'!K"&amp;$K$1)+INDIRECT("'数据-取费表'!S"&amp;$K$1))</f>
        <v>17100</v>
      </c>
      <c r="E16" s="53">
        <f>'数据-取费表'!B35</f>
        <v>300</v>
      </c>
      <c r="F16" s="2687"/>
      <c r="G16" s="2652"/>
      <c r="H16" s="2653"/>
      <c r="I16" s="2653"/>
      <c r="J16" s="2653"/>
      <c r="K16" s="2654"/>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682" t="s">
        <v>1852</v>
      </c>
      <c r="B17" s="2683" t="s">
        <v>485</v>
      </c>
      <c r="C17" s="2688">
        <f>ROUND(C13*F17,0)</f>
        <v>97</v>
      </c>
      <c r="D17" s="475"/>
      <c r="E17" s="2688"/>
      <c r="F17" s="2689">
        <f>'数据-取费表'!B36</f>
        <v>1.4999999999999999E-2</v>
      </c>
      <c r="G17" s="261" t="s">
        <v>486</v>
      </c>
      <c r="H17" s="2655"/>
      <c r="I17" s="2655"/>
      <c r="J17" s="2655"/>
      <c r="K17" s="279"/>
    </row>
    <row r="18" spans="1:14" s="2102" customFormat="1" ht="13.5" customHeight="1">
      <c r="A18" s="2690" t="s">
        <v>1853</v>
      </c>
      <c r="B18" s="2691" t="s">
        <v>487</v>
      </c>
      <c r="C18" s="2692">
        <f ca="1">SUM(C13:C17)</f>
        <v>7303</v>
      </c>
      <c r="D18" s="2693"/>
      <c r="E18" s="468"/>
      <c r="F18" s="468"/>
      <c r="G18" s="2656" t="s">
        <v>2427</v>
      </c>
      <c r="H18" s="2657"/>
      <c r="I18" s="2657"/>
      <c r="J18" s="2657"/>
      <c r="K18" s="2658"/>
    </row>
    <row r="19" spans="1:14" s="2102" customFormat="1" ht="13.5" customHeight="1">
      <c r="A19" s="2690" t="s">
        <v>1854</v>
      </c>
      <c r="B19" s="2691" t="s">
        <v>488</v>
      </c>
      <c r="C19" s="2648">
        <f ca="1">ROUND(D19*E19/10000,0)</f>
        <v>0</v>
      </c>
      <c r="D19" s="2694">
        <f ca="1">D16</f>
        <v>17100</v>
      </c>
      <c r="E19" s="2648">
        <f>'数据-取费表'!B32</f>
        <v>0</v>
      </c>
      <c r="F19" s="468"/>
      <c r="G19" s="2652" t="s">
        <v>489</v>
      </c>
      <c r="H19" s="2653"/>
      <c r="I19" s="2657"/>
      <c r="J19" s="2657"/>
      <c r="K19" s="2658"/>
    </row>
    <row r="20" spans="1:14" s="2102" customFormat="1" ht="13.5" customHeight="1">
      <c r="A20" s="2690" t="s">
        <v>1855</v>
      </c>
      <c r="B20" s="2691" t="s">
        <v>490</v>
      </c>
      <c r="C20" s="2648">
        <f ca="1">C21+C22-IF(B1="",'数据-取费表'!B29,IF(G20="已全部缴纳",C21+C22,H20))</f>
        <v>342</v>
      </c>
      <c r="D20" s="2694"/>
      <c r="E20" s="2648"/>
      <c r="F20" s="2695"/>
      <c r="G20" s="2918" t="s">
        <v>3045</v>
      </c>
      <c r="H20" s="2650"/>
      <c r="I20" s="2651" t="s">
        <v>2647</v>
      </c>
      <c r="J20" s="2657"/>
      <c r="K20" s="2658"/>
    </row>
    <row r="21" spans="1:14" s="2102" customFormat="1" ht="13.5" customHeight="1">
      <c r="A21" s="2682" t="s">
        <v>1856</v>
      </c>
      <c r="B21" s="2683" t="s">
        <v>491</v>
      </c>
      <c r="C21" s="53">
        <f ca="1">ROUND(D21*E21/10000,0)</f>
        <v>0</v>
      </c>
      <c r="D21" s="2684">
        <f ca="1">IF(B1="",'数据-汇总表'!E5,IF(INDIRECT("'数据-取费表'!c"&amp;$K$1)="住宅",INDIRECT("'数据-取费表'!k"&amp;$K$1),0))</f>
        <v>0</v>
      </c>
      <c r="E21" s="53">
        <f>'数据-取费表'!B27</f>
        <v>170</v>
      </c>
      <c r="F21" s="2687"/>
      <c r="G21" s="26"/>
      <c r="H21" s="51"/>
      <c r="I21" s="51"/>
      <c r="J21" s="51"/>
      <c r="K21" s="2659"/>
    </row>
    <row r="22" spans="1:14" s="2102" customFormat="1" ht="13.5" customHeight="1">
      <c r="A22" s="2682" t="s">
        <v>1857</v>
      </c>
      <c r="B22" s="2683" t="s">
        <v>492</v>
      </c>
      <c r="C22" s="53">
        <f ca="1">ROUND(D22*E22/10000,0)</f>
        <v>342</v>
      </c>
      <c r="D22" s="2684">
        <f ca="1">IF(B1="",'数据-汇总表'!E6,IF(INDIRECT("'数据-取费表'!c"&amp;$K$1)="住宅",INDIRECT("'数据-取费表'!s"&amp;$K$1),INDIRECT("'数据-取费表'!k"&amp;$K$1)+INDIRECT("'数据-取费表'!s"&amp;$K$1)))</f>
        <v>17100</v>
      </c>
      <c r="E22" s="53">
        <f>'数据-取费表'!B28</f>
        <v>200</v>
      </c>
      <c r="F22" s="2687"/>
      <c r="G22" s="26"/>
      <c r="H22" s="51"/>
      <c r="I22" s="51"/>
      <c r="J22" s="51"/>
      <c r="K22" s="2659"/>
    </row>
    <row r="23" spans="1:14" s="2102" customFormat="1" ht="13.5" customHeight="1">
      <c r="A23" s="2690" t="s">
        <v>1858</v>
      </c>
      <c r="B23" s="2871" t="s">
        <v>2829</v>
      </c>
      <c r="C23" s="2692">
        <f ca="1">ROUND((C18+C19+C20)*F23,0)</f>
        <v>153</v>
      </c>
      <c r="D23" s="468"/>
      <c r="E23" s="468"/>
      <c r="F23" s="2696">
        <f>'数据-取费表'!B37</f>
        <v>0.02</v>
      </c>
      <c r="G23" s="2652" t="s">
        <v>2428</v>
      </c>
      <c r="H23" s="2653"/>
      <c r="I23" s="2653"/>
      <c r="J23" s="2653"/>
      <c r="K23" s="2654"/>
      <c r="L23" s="2104"/>
      <c r="M23" s="2104"/>
      <c r="N23" s="2104"/>
    </row>
    <row r="24" spans="1:14" s="2102" customFormat="1" ht="13.5" customHeight="1">
      <c r="A24" s="2690" t="s">
        <v>1859</v>
      </c>
      <c r="B24" s="2871" t="s">
        <v>2832</v>
      </c>
      <c r="C24" s="2692">
        <f>ROUND(C6*F24,0)</f>
        <v>826</v>
      </c>
      <c r="D24" s="475"/>
      <c r="E24" s="473"/>
      <c r="F24" s="2696">
        <f>'数据-取费表'!B38</f>
        <v>0.02</v>
      </c>
      <c r="G24" s="2661" t="s">
        <v>499</v>
      </c>
      <c r="H24" s="2655"/>
      <c r="I24" s="2655"/>
      <c r="J24" s="2655"/>
      <c r="K24" s="279"/>
      <c r="L24" s="2104"/>
      <c r="M24" s="2104"/>
      <c r="N24" s="2104"/>
    </row>
    <row r="25" spans="1:14" s="2105" customFormat="1" ht="13.5" customHeight="1">
      <c r="A25" s="2690" t="s">
        <v>1860</v>
      </c>
      <c r="B25" s="2871" t="s">
        <v>2830</v>
      </c>
      <c r="C25" s="3035">
        <f>F25</f>
        <v>3.0499999999999999E-2</v>
      </c>
      <c r="D25" s="462" t="s">
        <v>2824</v>
      </c>
      <c r="E25" s="469"/>
      <c r="F25" s="2696">
        <f>'数据-取费表'!B48+'数据-取费表'!B49</f>
        <v>3.0499999999999999E-2</v>
      </c>
      <c r="G25" s="2660" t="s">
        <v>2988</v>
      </c>
      <c r="H25" s="2653"/>
      <c r="I25" s="2653"/>
      <c r="J25" s="2653"/>
      <c r="K25" s="2654"/>
    </row>
    <row r="26" spans="1:14" s="2104" customFormat="1" ht="13.5" customHeight="1">
      <c r="A26" s="2690" t="s">
        <v>1861</v>
      </c>
      <c r="B26" s="2872" t="s">
        <v>2831</v>
      </c>
      <c r="C26" s="2697">
        <f ca="1">C28</f>
        <v>305</v>
      </c>
      <c r="D26" s="467">
        <f ca="1">C27</f>
        <v>7.4300000000000005E-2</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657"/>
      <c r="I26" s="2657"/>
      <c r="J26" s="2657"/>
      <c r="K26" s="2658"/>
    </row>
    <row r="27" spans="1:14" s="2106" customFormat="1" ht="13.5" customHeight="1">
      <c r="A27" s="803" t="s">
        <v>1856</v>
      </c>
      <c r="B27" s="2698" t="s">
        <v>496</v>
      </c>
      <c r="C27" s="2699">
        <f ca="1">ROUND(IF('数据-取费表'!B22&lt;=1,(1+C25)*F26*'数据-取费表'!B24,(1+C25)*(POWER((1+F26),'数据-取费表'!B24)-1)),4)</f>
        <v>7.4300000000000005E-2</v>
      </c>
      <c r="D27" s="472"/>
      <c r="E27" s="473"/>
      <c r="F27" s="474"/>
      <c r="G27" s="2537" t="str">
        <f>IF('数据-取费表'!B22&lt;=1,"（1+取得税费率/(1+5%)）×年利率×建设期","（1+取得税费率）/(1+5%)×((1+年利率)^建设期-1)")</f>
        <v>（1+取得税费率）/(1+5%)×((1+年利率)^建设期-1)</v>
      </c>
      <c r="H27" s="2655"/>
      <c r="I27" s="2655"/>
      <c r="J27" s="2655"/>
      <c r="K27" s="279"/>
    </row>
    <row r="28" spans="1:14" s="2106" customFormat="1" ht="13.5" customHeight="1">
      <c r="A28" s="803" t="s">
        <v>1857</v>
      </c>
      <c r="B28" s="2698" t="s">
        <v>2833</v>
      </c>
      <c r="C28" s="2700">
        <f ca="1">ROUND(IF('数据-取费表'!B22&lt;=1,(C18+C19+C20+C23+C24)*F26*'数据-取费表'!B24/2,(C18+C19+C20+C23+C24)*(POWER((1+F26),'数据-取费表'!B24/2)-1)),0)</f>
        <v>305</v>
      </c>
      <c r="D28" s="472"/>
      <c r="E28" s="473"/>
      <c r="F28" s="474"/>
      <c r="G28" s="2537" t="str">
        <f>IF('数据-取费表'!B22&lt;=1,"（1）-（4）项×年利率×建设期÷2","（1）-（4）项×((1+年利率)^(建设期÷2)-1)")</f>
        <v>（1）-（4）项×((1+年利率)^(建设期÷2)-1)</v>
      </c>
      <c r="H28" s="2655"/>
      <c r="I28" s="2655"/>
      <c r="J28" s="2655"/>
      <c r="K28" s="279"/>
    </row>
    <row r="29" spans="1:14" s="2106" customFormat="1" ht="13.5" customHeight="1">
      <c r="A29" s="2701" t="s">
        <v>1862</v>
      </c>
      <c r="B29" s="2691" t="s">
        <v>497</v>
      </c>
      <c r="C29" s="2692">
        <f>ROUND(C6*F29/(1+'数据-取费表'!C42),0)</f>
        <v>2222</v>
      </c>
      <c r="D29" s="468"/>
      <c r="E29" s="468"/>
      <c r="F29" s="2873">
        <v>5.6500000000000002E-2</v>
      </c>
      <c r="G29" s="2661" t="s">
        <v>498</v>
      </c>
      <c r="H29" s="2653"/>
      <c r="I29" s="2653"/>
      <c r="J29" s="2653"/>
      <c r="K29" s="2654"/>
    </row>
    <row r="30" spans="1:14" s="2107" customFormat="1" ht="13.5" customHeight="1">
      <c r="A30" s="1621" t="s">
        <v>1863</v>
      </c>
      <c r="B30" s="2702" t="s">
        <v>500</v>
      </c>
      <c r="C30" s="2697">
        <f ca="1">C31</f>
        <v>11151</v>
      </c>
      <c r="D30" s="477">
        <f ca="1">C32</f>
        <v>0.1048</v>
      </c>
      <c r="E30" s="469" t="s">
        <v>495</v>
      </c>
      <c r="F30" s="471"/>
      <c r="G30" s="2660" t="s">
        <v>2968</v>
      </c>
      <c r="H30" s="2653"/>
      <c r="I30" s="2653"/>
      <c r="J30" s="2653"/>
      <c r="K30" s="2654"/>
    </row>
    <row r="31" spans="1:14" s="2106" customFormat="1" ht="13.5" customHeight="1">
      <c r="A31" s="803" t="s">
        <v>1856</v>
      </c>
      <c r="B31" s="2698"/>
      <c r="C31" s="450">
        <f ca="1">C18+C19+C20+C23+C24+C26+C29</f>
        <v>11151</v>
      </c>
      <c r="D31" s="472"/>
      <c r="E31" s="473"/>
      <c r="F31" s="474"/>
      <c r="G31" s="261"/>
      <c r="H31" s="2655"/>
      <c r="I31" s="2655"/>
      <c r="J31" s="2655"/>
      <c r="K31" s="279"/>
    </row>
    <row r="32" spans="1:14" s="2106" customFormat="1" ht="13.5" customHeight="1">
      <c r="A32" s="803" t="s">
        <v>1857</v>
      </c>
      <c r="B32" s="2698"/>
      <c r="C32" s="53">
        <f ca="1">ROUND(C25+D26,4)</f>
        <v>0.1048</v>
      </c>
      <c r="D32" s="472"/>
      <c r="E32" s="473"/>
      <c r="F32" s="474"/>
      <c r="G32" s="261"/>
      <c r="H32" s="2655"/>
      <c r="I32" s="2655"/>
      <c r="J32" s="2655"/>
      <c r="K32" s="279"/>
    </row>
    <row r="33" spans="1:11" s="2108" customFormat="1" ht="13.5" customHeight="1">
      <c r="A33" s="2870" t="s">
        <v>2828</v>
      </c>
      <c r="B33" s="2868" t="s">
        <v>2826</v>
      </c>
      <c r="C33" s="478">
        <f ca="1">C35</f>
        <v>862</v>
      </c>
      <c r="D33" s="467">
        <f ca="1">C34</f>
        <v>0.1031</v>
      </c>
      <c r="E33" s="469" t="s">
        <v>495</v>
      </c>
      <c r="F33" s="479">
        <f ca="1">IF(B1="",'数据-取费表'!Q16,INDIRECT("'数据-取费表'!q"&amp;$K$1))</f>
        <v>0.1</v>
      </c>
      <c r="G33" s="2656"/>
      <c r="H33" s="2657"/>
      <c r="I33" s="2657"/>
      <c r="J33" s="2657"/>
      <c r="K33" s="2658"/>
    </row>
    <row r="34" spans="1:11" s="2109" customFormat="1" ht="13.5" customHeight="1">
      <c r="A34" s="375" t="s">
        <v>1856</v>
      </c>
      <c r="B34" s="2703" t="s">
        <v>501</v>
      </c>
      <c r="C34" s="472">
        <f ca="1">ROUND((1+C25)*F33,4)</f>
        <v>0.1031</v>
      </c>
      <c r="D34" s="472"/>
      <c r="E34" s="473"/>
      <c r="F34" s="480"/>
      <c r="G34" s="261" t="s">
        <v>2287</v>
      </c>
      <c r="H34" s="2655"/>
      <c r="I34" s="2655"/>
      <c r="J34" s="2655"/>
      <c r="K34" s="279"/>
    </row>
    <row r="35" spans="1:11" s="2109" customFormat="1" ht="13.5" customHeight="1" thickBot="1">
      <c r="A35" s="1622" t="s">
        <v>1857</v>
      </c>
      <c r="B35" s="2869" t="s">
        <v>2834</v>
      </c>
      <c r="C35" s="1614">
        <f ca="1">ROUND((C18+C19+C20+C23+C24)*F33,0)</f>
        <v>862</v>
      </c>
      <c r="D35" s="1615"/>
      <c r="E35" s="2704"/>
      <c r="F35" s="1616"/>
      <c r="G35" s="2662"/>
      <c r="H35" s="2663"/>
      <c r="I35" s="2663"/>
      <c r="J35" s="2663"/>
      <c r="K35" s="2664"/>
    </row>
    <row r="36" spans="1:11" s="2071" customFormat="1" ht="13.5" customHeight="1" thickBot="1">
      <c r="A36" s="284" t="s">
        <v>1844</v>
      </c>
      <c r="B36" s="2666"/>
      <c r="C36" s="2705">
        <f ca="1">ROUND((C6-C30-C33)/(1+D30+D33),0)</f>
        <v>24242</v>
      </c>
      <c r="D36" s="2666"/>
      <c r="E36" s="2666"/>
      <c r="F36" s="2666"/>
      <c r="G36" s="2665" t="s">
        <v>2835</v>
      </c>
      <c r="H36" s="2666"/>
      <c r="I36" s="2666"/>
      <c r="J36" s="2666"/>
      <c r="K36" s="2667"/>
    </row>
    <row r="37" spans="1:11">
      <c r="C37" s="2111">
        <f ca="1">ROUND(C36*10000/D16,0)</f>
        <v>14177</v>
      </c>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8" workbookViewId="0">
      <selection activeCell="F20" sqref="F20"/>
    </sheetView>
  </sheetViews>
  <sheetFormatPr defaultColWidth="6.625" defaultRowHeight="12.75"/>
  <cols>
    <col min="1" max="1" width="10.125" style="2110" customWidth="1"/>
    <col min="2" max="2" width="25.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649"/>
      <c r="C1" s="2090"/>
      <c r="D1" s="2090"/>
      <c r="E1" s="2090"/>
      <c r="F1" s="2090"/>
      <c r="G1" s="2090"/>
      <c r="H1" s="2090"/>
      <c r="I1" s="2090"/>
      <c r="J1" s="2090"/>
      <c r="K1" s="422">
        <f>MATCH(B1,'数据-取费表'!A6:A16,0)+5</f>
        <v>7</v>
      </c>
    </row>
    <row r="2" spans="1:41" s="2027" customFormat="1" ht="18" customHeight="1">
      <c r="A2" s="423" t="s">
        <v>467</v>
      </c>
      <c r="B2" s="424">
        <f ca="1">C32</f>
        <v>-7582.9690434903705</v>
      </c>
      <c r="C2" s="2090"/>
      <c r="D2" s="2090"/>
      <c r="E2" s="2090"/>
      <c r="F2" s="2090"/>
      <c r="G2" s="2090"/>
      <c r="H2" s="2090"/>
      <c r="I2" s="2090"/>
      <c r="J2" s="2090"/>
      <c r="K2" s="2090"/>
    </row>
    <row r="3" spans="1:41" s="2027" customFormat="1" ht="18" customHeight="1">
      <c r="A3" s="1376" t="s">
        <v>1684</v>
      </c>
      <c r="B3" s="425">
        <f ca="1">ROUND(B2*10000/IF(B1="",'数据-汇总表'!E3,INDIRECT("'数据-取费表'!K"&amp;$K$1)),0)</f>
        <v>-4434</v>
      </c>
      <c r="C3" s="2090"/>
      <c r="D3" s="2090"/>
      <c r="E3" s="2090"/>
      <c r="F3" s="2090"/>
      <c r="G3" s="2090"/>
      <c r="H3" s="2090"/>
      <c r="I3" s="2090"/>
      <c r="J3" s="2090"/>
      <c r="K3" s="2090"/>
    </row>
    <row r="4" spans="1:41" s="2027" customFormat="1" ht="18" customHeight="1">
      <c r="A4" s="426" t="s">
        <v>468</v>
      </c>
      <c r="B4" s="427">
        <f ca="1">ROUND(B2*10000/IF(B1="",'数据-汇总表'!D3,INDIRECT("'数据-取费表'!R"&amp;$K$1)),0)</f>
        <v>-13787</v>
      </c>
      <c r="C4" s="2047"/>
      <c r="D4" s="2090"/>
      <c r="E4" s="2090"/>
      <c r="F4" s="2090"/>
      <c r="G4" s="2090"/>
      <c r="H4" s="2090"/>
      <c r="I4" s="2090"/>
      <c r="J4" s="2090"/>
      <c r="K4" s="2090"/>
    </row>
    <row r="5" spans="1:41" s="2027" customFormat="1" ht="18" customHeight="1" thickBot="1">
      <c r="A5" s="429"/>
      <c r="B5" s="430">
        <f ca="1">ROUND(B2/(IF(B1="",'数据-汇总表'!D3,INDIRECT("'数据-取费表'!R"&amp;$K$1))/666.67),0)</f>
        <v>-919</v>
      </c>
      <c r="C5" s="431" t="s">
        <v>469</v>
      </c>
      <c r="D5" s="2090"/>
      <c r="E5" s="2090"/>
      <c r="F5" s="2090"/>
      <c r="G5" s="2090"/>
      <c r="H5" s="2090"/>
      <c r="I5" s="2090"/>
      <c r="J5" s="2090"/>
      <c r="K5" s="2090"/>
    </row>
    <row r="6" spans="1:41" s="2097" customFormat="1" ht="16.5" customHeight="1">
      <c r="A6" s="432" t="s">
        <v>2648</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6498</v>
      </c>
      <c r="D13" s="451"/>
      <c r="E13" s="365"/>
      <c r="F13" s="452"/>
      <c r="G13" s="444"/>
      <c r="H13" s="447"/>
      <c r="I13" s="447"/>
      <c r="J13" s="447"/>
      <c r="K13" s="448"/>
    </row>
    <row r="14" spans="1:41" s="2102" customFormat="1" ht="13.5" customHeight="1">
      <c r="A14" s="1619" t="s">
        <v>1849</v>
      </c>
      <c r="B14" s="449" t="s">
        <v>480</v>
      </c>
      <c r="C14" s="53">
        <f ca="1">ROUND(C13*F14,0)</f>
        <v>195</v>
      </c>
      <c r="D14" s="451"/>
      <c r="E14" s="365"/>
      <c r="F14" s="453">
        <f>'数据-取费表'!B33</f>
        <v>0.03</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0</v>
      </c>
      <c r="D15" s="451"/>
      <c r="E15" s="365"/>
      <c r="F15" s="453">
        <f>'数据-取费表'!B34</f>
        <v>0.1</v>
      </c>
      <c r="G15" s="444" t="s">
        <v>502</v>
      </c>
      <c r="H15" s="447"/>
      <c r="I15" s="447"/>
      <c r="J15" s="447"/>
      <c r="K15" s="448"/>
    </row>
    <row r="16" spans="1:41" s="2103" customFormat="1" ht="13.5" customHeight="1">
      <c r="A16" s="1619" t="s">
        <v>1851</v>
      </c>
      <c r="B16" s="449" t="s">
        <v>484</v>
      </c>
      <c r="C16" s="53">
        <f ca="1">ROUND(D16*E16/10000,0)</f>
        <v>513</v>
      </c>
      <c r="D16" s="451">
        <f ca="1">IF(B1="",'数据-汇总表'!E3,INDIRECT("'数据-取费表'!K"&amp;$K$1)+INDIRECT("'数据-取费表'!S"&amp;$K$1))</f>
        <v>17100</v>
      </c>
      <c r="E16" s="53">
        <f>'数据-取费表'!B35</f>
        <v>300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97</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7303</v>
      </c>
      <c r="D18" s="461"/>
      <c r="E18" s="462"/>
      <c r="F18" s="462"/>
      <c r="G18" s="1323" t="s">
        <v>2429</v>
      </c>
      <c r="H18" s="447"/>
      <c r="I18" s="447"/>
      <c r="J18" s="447"/>
      <c r="K18" s="448"/>
    </row>
    <row r="19" spans="1:14" s="2105" customFormat="1" ht="13.5" customHeight="1">
      <c r="A19" s="1620" t="s">
        <v>1854</v>
      </c>
      <c r="B19" s="459" t="s">
        <v>493</v>
      </c>
      <c r="C19" s="460">
        <f ca="1">ROUND(C18*F19,0)</f>
        <v>146</v>
      </c>
      <c r="D19" s="462"/>
      <c r="E19" s="462"/>
      <c r="F19" s="466">
        <f>'数据-取费表'!B37</f>
        <v>0.02</v>
      </c>
      <c r="G19" s="444" t="s">
        <v>503</v>
      </c>
      <c r="H19" s="447"/>
      <c r="I19" s="447"/>
      <c r="J19" s="447"/>
      <c r="K19" s="448"/>
      <c r="L19" s="2107"/>
      <c r="M19" s="2107"/>
      <c r="N19" s="2107"/>
    </row>
    <row r="20" spans="1:14" s="2105" customFormat="1" ht="13.5" customHeight="1">
      <c r="A20" s="1620" t="s">
        <v>1855</v>
      </c>
      <c r="B20" s="459" t="s">
        <v>504</v>
      </c>
      <c r="C20" s="2866">
        <f>F20</f>
        <v>0.02</v>
      </c>
      <c r="D20" s="469" t="s">
        <v>505</v>
      </c>
      <c r="E20" s="469"/>
      <c r="F20" s="486">
        <f>'数据-取费表'!B38</f>
        <v>0.02</v>
      </c>
      <c r="G20" s="1323" t="s">
        <v>506</v>
      </c>
      <c r="H20" s="447"/>
      <c r="I20" s="447"/>
      <c r="J20" s="447"/>
      <c r="K20" s="448"/>
      <c r="L20" s="2107"/>
      <c r="M20" s="2107"/>
      <c r="N20" s="2107"/>
    </row>
    <row r="21" spans="1:14" s="2107" customFormat="1" ht="13.5" customHeight="1">
      <c r="A21" s="1620" t="s">
        <v>1858</v>
      </c>
      <c r="B21" s="461" t="s">
        <v>494</v>
      </c>
      <c r="C21" s="470">
        <f ca="1">C22</f>
        <v>264</v>
      </c>
      <c r="D21" s="467">
        <f ca="1">C23</f>
        <v>6.9999999999999999E-4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2451</v>
      </c>
    </row>
    <row r="22" spans="1:14" s="2106" customFormat="1" ht="13.5" customHeight="1">
      <c r="A22" s="1619" t="s">
        <v>1848</v>
      </c>
      <c r="B22" s="1324" t="s">
        <v>2432</v>
      </c>
      <c r="C22" s="487">
        <f ca="1">ROUND(IF('数据-取费表'!B22&lt;=1,(C18+C19)*F21*'数据-取费表'!B20/2,(C18+C19)*(POWER((1+F21),'数据-取费表'!B20/2)-1)),0)</f>
        <v>264</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6.9999999999999999E-4</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868" t="s">
        <v>2827</v>
      </c>
      <c r="C24" s="478">
        <f ca="1">C25</f>
        <v>745</v>
      </c>
      <c r="D24" s="489">
        <f ca="1">C26</f>
        <v>2E-3</v>
      </c>
      <c r="E24" s="469" t="s">
        <v>507</v>
      </c>
      <c r="F24" s="479">
        <f ca="1">IF(B1="",'数据-取费表'!Q16,INDIRECT("'数据-取费表'!q"&amp;$K$1))</f>
        <v>0.1</v>
      </c>
      <c r="G24" s="444"/>
      <c r="H24" s="447"/>
      <c r="I24" s="447"/>
      <c r="J24" s="447"/>
      <c r="K24" s="448"/>
    </row>
    <row r="25" spans="1:14" s="2106" customFormat="1" ht="13.5" customHeight="1">
      <c r="A25" s="1619" t="s">
        <v>1848</v>
      </c>
      <c r="B25" s="1324" t="s">
        <v>2433</v>
      </c>
      <c r="C25" s="490">
        <f ca="1">ROUND((C18+C19)*F24,0)</f>
        <v>745</v>
      </c>
      <c r="D25" s="472"/>
      <c r="E25" s="473"/>
      <c r="F25" s="480"/>
      <c r="G25" s="1322" t="s">
        <v>2430</v>
      </c>
      <c r="H25" s="457"/>
      <c r="I25" s="457"/>
      <c r="J25" s="457"/>
      <c r="K25" s="458"/>
    </row>
    <row r="26" spans="1:14" s="2106" customFormat="1" ht="13.5" customHeight="1">
      <c r="A26" s="1619" t="s">
        <v>1849</v>
      </c>
      <c r="B26" s="1324" t="s">
        <v>509</v>
      </c>
      <c r="C26" s="491">
        <f ca="1">ROUND(F20*F24,4)</f>
        <v>2E-3</v>
      </c>
      <c r="D26" s="472"/>
      <c r="E26" s="481"/>
      <c r="F26" s="480"/>
      <c r="G26" s="1322" t="s">
        <v>510</v>
      </c>
      <c r="H26" s="457"/>
      <c r="I26" s="457"/>
      <c r="J26" s="457"/>
      <c r="K26" s="458"/>
    </row>
    <row r="27" spans="1:14" s="2106" customFormat="1" ht="13.5" customHeight="1">
      <c r="A27" s="1623" t="s">
        <v>1867</v>
      </c>
      <c r="B27" s="459" t="s">
        <v>511</v>
      </c>
      <c r="C27" s="2867">
        <f>ROUND(F27/(1+'数据-取费表'!C42),4)</f>
        <v>5.3800000000000001E-2</v>
      </c>
      <c r="D27" s="462" t="s">
        <v>2825</v>
      </c>
      <c r="E27" s="462"/>
      <c r="F27" s="466">
        <f>'数据-取费表'!B41</f>
        <v>5.6500000000000002E-2</v>
      </c>
      <c r="G27" s="1946" t="s">
        <v>2288</v>
      </c>
      <c r="H27" s="447"/>
      <c r="I27" s="447"/>
      <c r="J27" s="447"/>
      <c r="K27" s="448"/>
    </row>
    <row r="28" spans="1:14" s="2107" customFormat="1" ht="13.5" customHeight="1">
      <c r="A28" s="1623" t="s">
        <v>1868</v>
      </c>
      <c r="B28" s="476" t="s">
        <v>512</v>
      </c>
      <c r="C28" s="470">
        <f ca="1">ROUND((C18+C19+C21+C24)/(1-C20-D21-D24-C27),0)</f>
        <v>9159</v>
      </c>
      <c r="D28" s="477"/>
      <c r="E28" s="469"/>
      <c r="F28" s="471"/>
      <c r="G28" s="1323" t="s">
        <v>2431</v>
      </c>
      <c r="H28" s="447"/>
      <c r="I28" s="447"/>
      <c r="J28" s="447"/>
      <c r="K28" s="448"/>
    </row>
    <row r="29" spans="1:14" s="2107" customFormat="1" ht="13.5" customHeight="1">
      <c r="A29" s="1623" t="s">
        <v>1869</v>
      </c>
      <c r="B29" s="476" t="s">
        <v>513</v>
      </c>
      <c r="C29" s="492">
        <f ca="1">IF(B1="",'数据-取费表'!N16,INDIRECT("'数据-取费表'!N"&amp;$K$1))</f>
        <v>1</v>
      </c>
      <c r="D29" s="493"/>
      <c r="E29" s="494"/>
      <c r="F29" s="495"/>
      <c r="G29" s="444"/>
      <c r="H29" s="447"/>
      <c r="I29" s="447"/>
      <c r="J29" s="447"/>
      <c r="K29" s="448"/>
    </row>
    <row r="30" spans="1:14" s="2107" customFormat="1" ht="13.5" customHeight="1">
      <c r="A30" s="443">
        <v>2</v>
      </c>
      <c r="B30" s="476" t="s">
        <v>514</v>
      </c>
      <c r="C30" s="497">
        <f ca="1">ROUND(C28*C29,0)</f>
        <v>9159</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5.6500000000000002E-2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-7582.9690434903705</v>
      </c>
      <c r="D32" s="483"/>
      <c r="E32" s="483"/>
      <c r="F32" s="483"/>
      <c r="G32" s="2448" t="s">
        <v>2969</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107" zoomScale="80" zoomScaleNormal="95" zoomScaleSheetLayoutView="80" workbookViewId="0">
      <selection activeCell="C129" sqref="C129:F134"/>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t="e">
        <f>F68</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t="e">
        <f>ROUND(B2*10000/'数据-汇总表'!E3,0)</f>
        <v>#DIV/0!</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t="e">
        <f>IF(B48="单位面积地价",C50,ROUND(B2*10000/'数据-汇总表'!D3,0))</f>
        <v>#DIV/0!</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422" t="s">
        <v>522</v>
      </c>
      <c r="D6" s="3423"/>
      <c r="E6" s="3422" t="s">
        <v>523</v>
      </c>
      <c r="F6" s="3423"/>
      <c r="G6" s="3422" t="s">
        <v>524</v>
      </c>
      <c r="H6" s="3423"/>
      <c r="I6" s="3422" t="s">
        <v>525</v>
      </c>
      <c r="J6" s="3423"/>
      <c r="K6" s="514" t="s">
        <v>526</v>
      </c>
      <c r="L6" s="2119"/>
      <c r="M6" s="2118"/>
      <c r="N6" s="2118"/>
      <c r="O6" s="2120"/>
      <c r="P6" s="3424" t="s">
        <v>527</v>
      </c>
      <c r="Q6" s="3425"/>
      <c r="R6" s="3430" t="s">
        <v>523</v>
      </c>
      <c r="S6" s="3431"/>
      <c r="T6" s="3430" t="s">
        <v>524</v>
      </c>
      <c r="U6" s="3431"/>
      <c r="V6" s="3417" t="s">
        <v>525</v>
      </c>
      <c r="W6" s="3417"/>
      <c r="X6" s="1554"/>
      <c r="Y6" s="3430" t="s">
        <v>527</v>
      </c>
      <c r="Z6" s="3431"/>
      <c r="AA6" s="3419" t="s">
        <v>523</v>
      </c>
      <c r="AB6" s="3420" t="s">
        <v>524</v>
      </c>
      <c r="AC6" s="3419" t="s">
        <v>525</v>
      </c>
    </row>
    <row r="7" spans="1:30" ht="20.25">
      <c r="A7" s="515"/>
      <c r="B7" s="516"/>
      <c r="C7" s="3438" t="s">
        <v>2926</v>
      </c>
      <c r="D7" s="3439"/>
      <c r="E7" s="3438" t="s">
        <v>2927</v>
      </c>
      <c r="F7" s="3439"/>
      <c r="G7" s="3438" t="s">
        <v>2928</v>
      </c>
      <c r="H7" s="3439"/>
      <c r="I7" s="3438" t="s">
        <v>2929</v>
      </c>
      <c r="J7" s="3439"/>
      <c r="K7" s="514"/>
      <c r="L7" s="2119"/>
      <c r="M7" s="2118"/>
      <c r="N7" s="2118"/>
      <c r="O7" s="2120"/>
      <c r="P7" s="3426"/>
      <c r="Q7" s="3427"/>
      <c r="R7" s="3432"/>
      <c r="S7" s="3433"/>
      <c r="T7" s="3432"/>
      <c r="U7" s="3433"/>
      <c r="V7" s="3417"/>
      <c r="W7" s="3417"/>
      <c r="X7" s="1554"/>
      <c r="Y7" s="3432"/>
      <c r="Z7" s="3433"/>
      <c r="AA7" s="3420"/>
      <c r="AB7" s="3420"/>
      <c r="AC7" s="3420"/>
    </row>
    <row r="8" spans="1:30" ht="21" thickBot="1">
      <c r="A8" s="515"/>
      <c r="B8" s="516"/>
      <c r="C8" s="3440" t="s">
        <v>2930</v>
      </c>
      <c r="D8" s="3441"/>
      <c r="E8" s="3440" t="s">
        <v>2930</v>
      </c>
      <c r="F8" s="3441"/>
      <c r="G8" s="3436" t="s">
        <v>2930</v>
      </c>
      <c r="H8" s="3437"/>
      <c r="I8" s="3436" t="s">
        <v>2930</v>
      </c>
      <c r="J8" s="3437"/>
      <c r="K8" s="514" t="s">
        <v>528</v>
      </c>
      <c r="L8" s="2119"/>
      <c r="M8" s="2118"/>
      <c r="N8" s="2118"/>
      <c r="O8" s="2120"/>
      <c r="P8" s="3428"/>
      <c r="Q8" s="3429"/>
      <c r="R8" s="3432"/>
      <c r="S8" s="3433"/>
      <c r="T8" s="3434"/>
      <c r="U8" s="3435"/>
      <c r="V8" s="3417"/>
      <c r="W8" s="3417"/>
      <c r="X8" s="1554"/>
      <c r="Y8" s="3434"/>
      <c r="Z8" s="3435"/>
      <c r="AA8" s="3421"/>
      <c r="AB8" s="3421"/>
      <c r="AC8" s="3421"/>
    </row>
    <row r="9" spans="1:30" s="1216" customFormat="1" ht="21" thickBot="1">
      <c r="A9" s="2752"/>
      <c r="B9" s="2759" t="s">
        <v>529</v>
      </c>
      <c r="C9" s="2751">
        <f>'数据-取费表'!B2</f>
        <v>44012</v>
      </c>
      <c r="D9" s="520">
        <v>100</v>
      </c>
      <c r="E9" s="521"/>
      <c r="F9" s="522">
        <f>SUMIF(72:72,YEAR(E9)&amp;"-"&amp;INT((MONTH(E9)+2)/3),73:73)</f>
        <v>0</v>
      </c>
      <c r="G9" s="523"/>
      <c r="H9" s="520">
        <f>SUMIF(72:72,YEAR(G9)&amp;"-"&amp;INT((MONTH(G9)+2)/3),73:73)</f>
        <v>0</v>
      </c>
      <c r="I9" s="523"/>
      <c r="J9" s="520">
        <f>SUMIF(72:72,YEAR(I9)&amp;"-"&amp;INT((MONTH(I9)+2)/3),73:73)</f>
        <v>0</v>
      </c>
      <c r="K9" s="524"/>
      <c r="L9" s="2121"/>
      <c r="M9" s="2118"/>
      <c r="N9" s="2118"/>
      <c r="O9" s="2122"/>
      <c r="P9" s="3447" t="s">
        <v>530</v>
      </c>
      <c r="Q9" s="3449"/>
      <c r="R9" s="1555" t="s">
        <v>8</v>
      </c>
      <c r="S9" s="1556">
        <f t="shared" ref="S9:S17" si="0">F9</f>
        <v>0</v>
      </c>
      <c r="T9" s="1555" t="s">
        <v>8</v>
      </c>
      <c r="U9" s="1556">
        <f t="shared" ref="U9:U17" si="1">H9</f>
        <v>0</v>
      </c>
      <c r="V9" s="1555" t="s">
        <v>8</v>
      </c>
      <c r="W9" s="1556">
        <f t="shared" ref="W9:W17" si="2">J9</f>
        <v>0</v>
      </c>
      <c r="X9" s="1557"/>
      <c r="Y9" s="3447" t="s">
        <v>530</v>
      </c>
      <c r="Z9" s="3448"/>
      <c r="AA9" s="1558" t="e">
        <f>D9/F9</f>
        <v>#DIV/0!</v>
      </c>
      <c r="AB9" s="1558" t="e">
        <f>D9/H9</f>
        <v>#DIV/0!</v>
      </c>
      <c r="AC9" s="1558" t="e">
        <f>D9/J9</f>
        <v>#DIV/0!</v>
      </c>
    </row>
    <row r="10" spans="1:30" s="1216" customFormat="1" ht="21" thickBot="1">
      <c r="A10" s="2753"/>
      <c r="B10" s="2760" t="s">
        <v>531</v>
      </c>
      <c r="C10" s="856" t="s">
        <v>532</v>
      </c>
      <c r="D10" s="520">
        <v>100</v>
      </c>
      <c r="E10" s="525"/>
      <c r="F10" s="522">
        <f>SUMIF(75:75,E10,76:76)-SUMIF(75:75,C10,76:76)+100</f>
        <v>0</v>
      </c>
      <c r="G10" s="525"/>
      <c r="H10" s="520">
        <f>SUMIF(75:75,G10,76:76)-SUMIF(75:75,C10,76:76)+100</f>
        <v>0</v>
      </c>
      <c r="I10" s="525"/>
      <c r="J10" s="520">
        <f>SUMIF(75:75,I10,76:76)-SUMIF(75:75,C10,76:76)+100</f>
        <v>0</v>
      </c>
      <c r="K10" s="524"/>
      <c r="L10" s="2121"/>
      <c r="M10" s="2118"/>
      <c r="N10" s="2118"/>
      <c r="O10" s="2122"/>
      <c r="P10" s="3447" t="s">
        <v>533</v>
      </c>
      <c r="Q10" s="3448"/>
      <c r="R10" s="1555" t="s">
        <v>8</v>
      </c>
      <c r="S10" s="1556">
        <f t="shared" si="0"/>
        <v>0</v>
      </c>
      <c r="T10" s="1555" t="s">
        <v>8</v>
      </c>
      <c r="U10" s="1556">
        <f t="shared" si="1"/>
        <v>0</v>
      </c>
      <c r="V10" s="1555" t="s">
        <v>8</v>
      </c>
      <c r="W10" s="1556">
        <f t="shared" si="2"/>
        <v>0</v>
      </c>
      <c r="X10" s="1557"/>
      <c r="Y10" s="3447" t="s">
        <v>533</v>
      </c>
      <c r="Z10" s="3448"/>
      <c r="AA10" s="1558" t="e">
        <f t="shared" ref="AA10:AA47" si="3">D10/F10</f>
        <v>#DIV/0!</v>
      </c>
      <c r="AB10" s="1558" t="e">
        <f t="shared" ref="AB10:AB47" si="4">D10/H10</f>
        <v>#DIV/0!</v>
      </c>
      <c r="AC10" s="1558" t="e">
        <f t="shared" ref="AC10:AC47" si="5">D10/J10</f>
        <v>#DIV/0!</v>
      </c>
    </row>
    <row r="11" spans="1:30" s="1216" customFormat="1" ht="20.25">
      <c r="A11" s="2754"/>
      <c r="B11" s="2761" t="s">
        <v>2752</v>
      </c>
      <c r="C11" s="2748"/>
      <c r="D11" s="254">
        <v>100</v>
      </c>
      <c r="E11" s="526"/>
      <c r="F11" s="254">
        <f>SUMIF(77:77,E11,78:78)-SUMIF(77:77,C11,78:78)+100</f>
        <v>100</v>
      </c>
      <c r="G11" s="526"/>
      <c r="H11" s="254">
        <f>SUMIF(77:77,G11,78:78)-SUMIF(77:77,C11,78:78)+100</f>
        <v>100</v>
      </c>
      <c r="I11" s="526"/>
      <c r="J11" s="254">
        <f>SUMIF(77:77,I11,78:78)-SUMIF(77:77,C11,78:78)+100</f>
        <v>100</v>
      </c>
      <c r="K11" s="524"/>
      <c r="L11" s="2121"/>
      <c r="M11" s="2118"/>
      <c r="N11" s="2118"/>
      <c r="O11" s="2123"/>
      <c r="P11" s="3416" t="s">
        <v>535</v>
      </c>
      <c r="Q11" s="1147" t="str">
        <f t="shared" ref="Q11:Q17" si="6">B11</f>
        <v>用途</v>
      </c>
      <c r="R11" s="1555" t="s">
        <v>8</v>
      </c>
      <c r="S11" s="1556">
        <f t="shared" si="0"/>
        <v>100</v>
      </c>
      <c r="T11" s="1555" t="s">
        <v>8</v>
      </c>
      <c r="U11" s="1556">
        <f t="shared" si="1"/>
        <v>100</v>
      </c>
      <c r="V11" s="1555" t="s">
        <v>8</v>
      </c>
      <c r="W11" s="1556">
        <f t="shared" si="2"/>
        <v>100</v>
      </c>
      <c r="X11" s="1557"/>
      <c r="Y11" s="3341" t="s">
        <v>536</v>
      </c>
      <c r="Z11" s="1146" t="str">
        <f t="shared" ref="Z11:Z17" si="7">Q11</f>
        <v>用途</v>
      </c>
      <c r="AA11" s="1558">
        <f t="shared" si="3"/>
        <v>1</v>
      </c>
      <c r="AB11" s="1558">
        <f t="shared" si="4"/>
        <v>1</v>
      </c>
      <c r="AC11" s="1558">
        <f t="shared" si="5"/>
        <v>1</v>
      </c>
    </row>
    <row r="12" spans="1:30" s="1334" customFormat="1" ht="27">
      <c r="A12" s="2755"/>
      <c r="B12" s="2760" t="s">
        <v>2753</v>
      </c>
      <c r="C12" s="910"/>
      <c r="D12" s="255">
        <v>100</v>
      </c>
      <c r="E12" s="529"/>
      <c r="F12" s="255">
        <f>ROUND(100/'数据-取费表'!G16,0)</f>
        <v>100</v>
      </c>
      <c r="G12" s="530"/>
      <c r="H12" s="255">
        <f>ROUND(100/'数据-取费表'!G16,0)</f>
        <v>100</v>
      </c>
      <c r="I12" s="530"/>
      <c r="J12" s="255">
        <f>ROUND(100/'数据-取费表'!G16,0)</f>
        <v>100</v>
      </c>
      <c r="K12" s="531"/>
      <c r="L12" s="2124"/>
      <c r="M12" s="2118"/>
      <c r="N12" s="2118"/>
      <c r="O12" s="2125"/>
      <c r="P12" s="3416"/>
      <c r="Q12" s="1147" t="str">
        <f t="shared" si="6"/>
        <v>土地使用年限（年）</v>
      </c>
      <c r="R12" s="1555" t="s">
        <v>8</v>
      </c>
      <c r="S12" s="1556">
        <f t="shared" si="0"/>
        <v>100</v>
      </c>
      <c r="T12" s="1555" t="s">
        <v>8</v>
      </c>
      <c r="U12" s="1556">
        <f t="shared" si="1"/>
        <v>100</v>
      </c>
      <c r="V12" s="1555" t="s">
        <v>8</v>
      </c>
      <c r="W12" s="1556">
        <f t="shared" si="2"/>
        <v>100</v>
      </c>
      <c r="X12" s="1557"/>
      <c r="Y12" s="3341"/>
      <c r="Z12" s="1146" t="str">
        <f t="shared" si="7"/>
        <v>土地使用年限（年）</v>
      </c>
      <c r="AA12" s="1558">
        <f t="shared" si="3"/>
        <v>1</v>
      </c>
      <c r="AB12" s="1558">
        <f t="shared" si="4"/>
        <v>1</v>
      </c>
      <c r="AC12" s="1558">
        <f t="shared" si="5"/>
        <v>1</v>
      </c>
    </row>
    <row r="13" spans="1:30" ht="20.25">
      <c r="A13" s="2756"/>
      <c r="B13" s="2760" t="s">
        <v>2754</v>
      </c>
      <c r="C13" s="534"/>
      <c r="D13" s="255">
        <v>100</v>
      </c>
      <c r="E13" s="533"/>
      <c r="F13" s="255" t="e">
        <f>LOOKUP(E13,82:82,83:83)-LOOKUP(C13,82:82,83:83)+100</f>
        <v>#N/A</v>
      </c>
      <c r="G13" s="534"/>
      <c r="H13" s="255" t="e">
        <f>LOOKUP(G13,82:82,83:83)-LOOKUP(C13,82:82,83:83)+100</f>
        <v>#N/A</v>
      </c>
      <c r="I13" s="533"/>
      <c r="J13" s="255" t="e">
        <f>LOOKUP(I13,82:82,83:83)-LOOKUP(C13,82:82,83:83)+100</f>
        <v>#N/A</v>
      </c>
      <c r="K13" s="535"/>
      <c r="L13" s="2126"/>
      <c r="M13" s="2118"/>
      <c r="N13" s="2118"/>
      <c r="O13" s="2127"/>
      <c r="P13" s="3416"/>
      <c r="Q13" s="1147" t="str">
        <f t="shared" si="6"/>
        <v>容积率</v>
      </c>
      <c r="R13" s="1555" t="s">
        <v>8</v>
      </c>
      <c r="S13" s="1556" t="e">
        <f t="shared" si="0"/>
        <v>#N/A</v>
      </c>
      <c r="T13" s="1555" t="s">
        <v>8</v>
      </c>
      <c r="U13" s="1556" t="e">
        <f t="shared" si="1"/>
        <v>#N/A</v>
      </c>
      <c r="V13" s="1555" t="s">
        <v>8</v>
      </c>
      <c r="W13" s="1556" t="e">
        <f t="shared" si="2"/>
        <v>#N/A</v>
      </c>
      <c r="X13" s="1557"/>
      <c r="Y13" s="3341"/>
      <c r="Z13" s="1146" t="str">
        <f t="shared" si="7"/>
        <v>容积率</v>
      </c>
      <c r="AA13" s="1558" t="e">
        <f t="shared" si="3"/>
        <v>#N/A</v>
      </c>
      <c r="AB13" s="1558" t="e">
        <f t="shared" si="4"/>
        <v>#N/A</v>
      </c>
      <c r="AC13" s="1558" t="e">
        <f t="shared" si="5"/>
        <v>#N/A</v>
      </c>
    </row>
    <row r="14" spans="1:30" s="1216" customFormat="1" ht="20.25">
      <c r="A14" s="2753"/>
      <c r="B14" s="2762" t="s">
        <v>2755</v>
      </c>
      <c r="C14" s="2749"/>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416"/>
      <c r="Q14" s="1147" t="str">
        <f t="shared" si="6"/>
        <v>配建</v>
      </c>
      <c r="R14" s="1555" t="s">
        <v>8</v>
      </c>
      <c r="S14" s="1556">
        <f t="shared" si="0"/>
        <v>100</v>
      </c>
      <c r="T14" s="1555" t="s">
        <v>8</v>
      </c>
      <c r="U14" s="1556">
        <f t="shared" si="1"/>
        <v>100</v>
      </c>
      <c r="V14" s="1555" t="s">
        <v>8</v>
      </c>
      <c r="W14" s="1556">
        <f t="shared" si="2"/>
        <v>100</v>
      </c>
      <c r="X14" s="1557"/>
      <c r="Y14" s="3341"/>
      <c r="Z14" s="1146" t="str">
        <f t="shared" si="7"/>
        <v>配建</v>
      </c>
      <c r="AA14" s="1558">
        <f>D14/F14</f>
        <v>1</v>
      </c>
      <c r="AB14" s="1558">
        <f>D14/H14</f>
        <v>1</v>
      </c>
      <c r="AC14" s="1558">
        <f>D14/J14</f>
        <v>1</v>
      </c>
    </row>
    <row r="15" spans="1:30" ht="20.25">
      <c r="A15" s="2757"/>
      <c r="B15" s="2763">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416"/>
      <c r="Q15" s="1147">
        <f t="shared" si="6"/>
        <v>111</v>
      </c>
      <c r="R15" s="1555" t="s">
        <v>8</v>
      </c>
      <c r="S15" s="1556">
        <f t="shared" si="0"/>
        <v>100</v>
      </c>
      <c r="T15" s="1555" t="s">
        <v>8</v>
      </c>
      <c r="U15" s="1556">
        <f t="shared" si="1"/>
        <v>100</v>
      </c>
      <c r="V15" s="1555" t="s">
        <v>8</v>
      </c>
      <c r="W15" s="1556">
        <f t="shared" si="2"/>
        <v>100</v>
      </c>
      <c r="X15" s="1557"/>
      <c r="Y15" s="3341"/>
      <c r="Z15" s="1146">
        <f t="shared" si="7"/>
        <v>111</v>
      </c>
      <c r="AA15" s="1558">
        <f>D15/F15</f>
        <v>1</v>
      </c>
      <c r="AB15" s="1558">
        <f>D15/H15</f>
        <v>1</v>
      </c>
      <c r="AC15" s="1558">
        <f>D15/J15</f>
        <v>1</v>
      </c>
    </row>
    <row r="16" spans="1:30" ht="21" thickBot="1">
      <c r="A16" s="2758"/>
      <c r="B16" s="2764">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416"/>
      <c r="Q16" s="1147">
        <f t="shared" si="6"/>
        <v>111</v>
      </c>
      <c r="R16" s="1555" t="s">
        <v>8</v>
      </c>
      <c r="S16" s="1556">
        <f t="shared" si="0"/>
        <v>100</v>
      </c>
      <c r="T16" s="1555" t="s">
        <v>8</v>
      </c>
      <c r="U16" s="1556">
        <f t="shared" si="1"/>
        <v>100</v>
      </c>
      <c r="V16" s="1555" t="s">
        <v>8</v>
      </c>
      <c r="W16" s="1556">
        <f t="shared" si="2"/>
        <v>100</v>
      </c>
      <c r="X16" s="1557"/>
      <c r="Y16" s="3341"/>
      <c r="Z16" s="1146">
        <f t="shared" si="7"/>
        <v>111</v>
      </c>
      <c r="AA16" s="1558">
        <f>D16/F16</f>
        <v>1</v>
      </c>
      <c r="AB16" s="1558">
        <f>D16/H16</f>
        <v>1</v>
      </c>
      <c r="AC16" s="1558">
        <f>D16/J16</f>
        <v>1</v>
      </c>
    </row>
    <row r="17" spans="1:29" ht="99.75">
      <c r="A17" s="2750" t="s">
        <v>2750</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c r="L17" s="2128"/>
      <c r="M17" s="2118"/>
      <c r="N17" s="2118"/>
      <c r="O17" s="2127"/>
      <c r="P17" s="3450" t="s">
        <v>540</v>
      </c>
      <c r="Q17" s="1559" t="str">
        <f t="shared" si="6"/>
        <v>居住社区成熟度</v>
      </c>
      <c r="R17" s="1560" t="s">
        <v>8</v>
      </c>
      <c r="S17" s="1561">
        <f t="shared" si="0"/>
        <v>100</v>
      </c>
      <c r="T17" s="1560" t="s">
        <v>8</v>
      </c>
      <c r="U17" s="1561">
        <f t="shared" si="1"/>
        <v>100</v>
      </c>
      <c r="V17" s="1560" t="s">
        <v>8</v>
      </c>
      <c r="W17" s="1561">
        <f t="shared" si="2"/>
        <v>100</v>
      </c>
      <c r="X17" s="1554"/>
      <c r="Y17" s="3450" t="s">
        <v>540</v>
      </c>
      <c r="Z17" s="1562" t="str">
        <f t="shared" si="7"/>
        <v>居住社区成熟度</v>
      </c>
      <c r="AA17" s="1563">
        <f t="shared" si="3"/>
        <v>1</v>
      </c>
      <c r="AB17" s="1563">
        <f t="shared" si="4"/>
        <v>1</v>
      </c>
      <c r="AC17" s="1563">
        <f t="shared" si="5"/>
        <v>1</v>
      </c>
    </row>
    <row r="18" spans="1:29" ht="20.25">
      <c r="A18" s="532"/>
      <c r="B18" s="553"/>
      <c r="C18" s="554"/>
      <c r="D18" s="557"/>
      <c r="E18" s="558"/>
      <c r="F18" s="555"/>
      <c r="G18" s="556"/>
      <c r="H18" s="559"/>
      <c r="I18" s="558"/>
      <c r="J18" s="555"/>
      <c r="K18" s="531"/>
      <c r="L18" s="2128"/>
      <c r="M18" s="2118"/>
      <c r="N18" s="2118"/>
      <c r="O18" s="2127"/>
      <c r="P18" s="3451"/>
      <c r="Q18" s="1559"/>
      <c r="R18" s="1560"/>
      <c r="S18" s="1561"/>
      <c r="T18" s="1560"/>
      <c r="U18" s="1561"/>
      <c r="V18" s="1560"/>
      <c r="W18" s="1561"/>
      <c r="X18" s="1554"/>
      <c r="Y18" s="3451"/>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c r="L19" s="2128"/>
      <c r="M19" s="2118"/>
      <c r="N19" s="2118"/>
      <c r="O19" s="2127"/>
      <c r="P19" s="3451"/>
      <c r="Q19" s="1559" t="str">
        <f>B19</f>
        <v>商业繁华度</v>
      </c>
      <c r="R19" s="1560" t="s">
        <v>8</v>
      </c>
      <c r="S19" s="1561">
        <f>F19</f>
        <v>100</v>
      </c>
      <c r="T19" s="1560" t="s">
        <v>8</v>
      </c>
      <c r="U19" s="1561">
        <f>H19</f>
        <v>100</v>
      </c>
      <c r="V19" s="1560" t="s">
        <v>8</v>
      </c>
      <c r="W19" s="1561">
        <f>J19</f>
        <v>100</v>
      </c>
      <c r="X19" s="1554"/>
      <c r="Y19" s="3451"/>
      <c r="Z19" s="1562" t="str">
        <f>Q19</f>
        <v>商业繁华度</v>
      </c>
      <c r="AA19" s="1563">
        <f t="shared" si="3"/>
        <v>1</v>
      </c>
      <c r="AB19" s="1563">
        <f t="shared" si="4"/>
        <v>1</v>
      </c>
      <c r="AC19" s="1563">
        <f t="shared" si="5"/>
        <v>1</v>
      </c>
    </row>
    <row r="20" spans="1:29" ht="20.25">
      <c r="A20" s="532"/>
      <c r="B20" s="566"/>
      <c r="C20" s="567"/>
      <c r="D20" s="563"/>
      <c r="E20" s="569"/>
      <c r="F20" s="559"/>
      <c r="G20" s="568"/>
      <c r="H20" s="555"/>
      <c r="I20" s="569"/>
      <c r="J20" s="555"/>
      <c r="K20" s="531"/>
      <c r="L20" s="2128"/>
      <c r="M20" s="2118"/>
      <c r="N20" s="2118"/>
      <c r="O20" s="2127"/>
      <c r="P20" s="3451"/>
      <c r="Q20" s="1559"/>
      <c r="R20" s="1560"/>
      <c r="S20" s="1561"/>
      <c r="T20" s="1560"/>
      <c r="U20" s="1561"/>
      <c r="V20" s="1560"/>
      <c r="W20" s="1561"/>
      <c r="X20" s="1554"/>
      <c r="Y20" s="3451"/>
      <c r="Z20" s="1562"/>
      <c r="AA20" s="1563">
        <v>1</v>
      </c>
      <c r="AB20" s="1563">
        <v>1</v>
      </c>
      <c r="AC20" s="1563">
        <v>1</v>
      </c>
    </row>
    <row r="21" spans="1:29" ht="71.25">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451"/>
      <c r="Q21" s="1559" t="str">
        <f>B21</f>
        <v>办公集聚程度</v>
      </c>
      <c r="R21" s="1560" t="s">
        <v>8</v>
      </c>
      <c r="S21" s="1561">
        <f>F21</f>
        <v>100</v>
      </c>
      <c r="T21" s="1560" t="s">
        <v>8</v>
      </c>
      <c r="U21" s="1561">
        <f>H21</f>
        <v>100</v>
      </c>
      <c r="V21" s="1560" t="s">
        <v>8</v>
      </c>
      <c r="W21" s="1561">
        <f>J21</f>
        <v>100</v>
      </c>
      <c r="X21" s="1554"/>
      <c r="Y21" s="3451"/>
      <c r="Z21" s="1562" t="str">
        <f>Q21</f>
        <v>办公集聚程度</v>
      </c>
      <c r="AA21" s="1563">
        <f t="shared" si="3"/>
        <v>1</v>
      </c>
      <c r="AB21" s="1563">
        <f t="shared" si="4"/>
        <v>1</v>
      </c>
      <c r="AC21" s="1563">
        <f t="shared" si="5"/>
        <v>1</v>
      </c>
    </row>
    <row r="22" spans="1:29" ht="20.25">
      <c r="A22" s="532"/>
      <c r="B22" s="566"/>
      <c r="C22" s="554"/>
      <c r="D22" s="557"/>
      <c r="E22" s="558"/>
      <c r="F22" s="555"/>
      <c r="G22" s="556"/>
      <c r="H22" s="555"/>
      <c r="I22" s="558"/>
      <c r="J22" s="555"/>
      <c r="K22" s="531"/>
      <c r="L22" s="2128"/>
      <c r="M22" s="2118"/>
      <c r="N22" s="2118"/>
      <c r="O22" s="2127"/>
      <c r="P22" s="3451"/>
      <c r="Q22" s="1559"/>
      <c r="R22" s="1560"/>
      <c r="S22" s="1561"/>
      <c r="T22" s="1560"/>
      <c r="U22" s="1561"/>
      <c r="V22" s="1560"/>
      <c r="W22" s="1561"/>
      <c r="X22" s="1554"/>
      <c r="Y22" s="3451"/>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c r="L23" s="2128"/>
      <c r="M23" s="2118"/>
      <c r="N23" s="2118"/>
      <c r="O23" s="2127"/>
      <c r="P23" s="3451"/>
      <c r="Q23" s="1559" t="str">
        <f>B23</f>
        <v>交通便捷度</v>
      </c>
      <c r="R23" s="1560" t="s">
        <v>8</v>
      </c>
      <c r="S23" s="1561">
        <f>F23</f>
        <v>100</v>
      </c>
      <c r="T23" s="1560" t="s">
        <v>8</v>
      </c>
      <c r="U23" s="1561">
        <f>H23</f>
        <v>100</v>
      </c>
      <c r="V23" s="1560" t="s">
        <v>8</v>
      </c>
      <c r="W23" s="1561">
        <f>J23</f>
        <v>100</v>
      </c>
      <c r="X23" s="1554"/>
      <c r="Y23" s="3451"/>
      <c r="Z23" s="1562" t="str">
        <f>Q23</f>
        <v>交通便捷度</v>
      </c>
      <c r="AA23" s="1563">
        <f t="shared" si="3"/>
        <v>1</v>
      </c>
      <c r="AB23" s="1563">
        <f t="shared" si="4"/>
        <v>1</v>
      </c>
      <c r="AC23" s="1563">
        <f t="shared" si="5"/>
        <v>1</v>
      </c>
    </row>
    <row r="24" spans="1:29" ht="20.25">
      <c r="A24" s="532"/>
      <c r="B24" s="578"/>
      <c r="C24" s="554"/>
      <c r="D24" s="557"/>
      <c r="E24" s="558"/>
      <c r="F24" s="555"/>
      <c r="G24" s="556"/>
      <c r="H24" s="555"/>
      <c r="I24" s="558"/>
      <c r="J24" s="555"/>
      <c r="K24" s="531"/>
      <c r="L24" s="2128"/>
      <c r="M24" s="2118"/>
      <c r="N24" s="2118"/>
      <c r="O24" s="2127"/>
      <c r="P24" s="3451"/>
      <c r="Q24" s="1559"/>
      <c r="R24" s="1560"/>
      <c r="S24" s="1561"/>
      <c r="T24" s="1560"/>
      <c r="U24" s="1561"/>
      <c r="V24" s="1560"/>
      <c r="W24" s="1561"/>
      <c r="X24" s="1554"/>
      <c r="Y24" s="3451"/>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c r="L25" s="2128"/>
      <c r="M25" s="2118"/>
      <c r="N25" s="2118"/>
      <c r="O25" s="2127"/>
      <c r="P25" s="3451"/>
      <c r="Q25" s="1559" t="str">
        <f t="shared" ref="Q25:Q39" si="8">B25</f>
        <v>区域土地利用方向</v>
      </c>
      <c r="R25" s="1560" t="s">
        <v>8</v>
      </c>
      <c r="S25" s="1561">
        <f>F25</f>
        <v>100</v>
      </c>
      <c r="T25" s="1560" t="s">
        <v>8</v>
      </c>
      <c r="U25" s="1561">
        <f>H25</f>
        <v>100</v>
      </c>
      <c r="V25" s="1560" t="s">
        <v>8</v>
      </c>
      <c r="W25" s="1561">
        <f>J25</f>
        <v>100</v>
      </c>
      <c r="X25" s="1554"/>
      <c r="Y25" s="3451"/>
      <c r="Z25" s="1562" t="str">
        <f>Q25</f>
        <v>区域土地利用方向</v>
      </c>
      <c r="AA25" s="1563">
        <f t="shared" si="3"/>
        <v>1</v>
      </c>
      <c r="AB25" s="1563">
        <f t="shared" si="4"/>
        <v>1</v>
      </c>
      <c r="AC25" s="1563">
        <f t="shared" si="5"/>
        <v>1</v>
      </c>
    </row>
    <row r="26" spans="1:29" ht="20.25">
      <c r="A26" s="515"/>
      <c r="B26" s="1007"/>
      <c r="C26" s="554"/>
      <c r="D26" s="557"/>
      <c r="E26" s="558"/>
      <c r="F26" s="555"/>
      <c r="G26" s="556"/>
      <c r="H26" s="555"/>
      <c r="I26" s="558"/>
      <c r="J26" s="555"/>
      <c r="K26" s="531"/>
      <c r="L26" s="2128"/>
      <c r="M26" s="2118"/>
      <c r="N26" s="2118"/>
      <c r="O26" s="2127"/>
      <c r="P26" s="3451"/>
      <c r="Q26" s="1559"/>
      <c r="R26" s="1560"/>
      <c r="S26" s="1561"/>
      <c r="T26" s="1560"/>
      <c r="U26" s="1561"/>
      <c r="V26" s="1560"/>
      <c r="W26" s="1561"/>
      <c r="X26" s="1554"/>
      <c r="Y26" s="3451"/>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100</v>
      </c>
      <c r="K27" s="535"/>
      <c r="L27" s="2128"/>
      <c r="M27" s="2118"/>
      <c r="N27" s="2118"/>
      <c r="O27" s="2127"/>
      <c r="P27" s="3451"/>
      <c r="Q27" s="1559" t="str">
        <f t="shared" si="8"/>
        <v>自然及人文环境状况</v>
      </c>
      <c r="R27" s="1560" t="s">
        <v>8</v>
      </c>
      <c r="S27" s="1561">
        <f>F27</f>
        <v>100</v>
      </c>
      <c r="T27" s="1560" t="s">
        <v>8</v>
      </c>
      <c r="U27" s="1561">
        <f>H27</f>
        <v>100</v>
      </c>
      <c r="V27" s="1560" t="s">
        <v>8</v>
      </c>
      <c r="W27" s="1561">
        <f>J27</f>
        <v>100</v>
      </c>
      <c r="X27" s="1554"/>
      <c r="Y27" s="3451"/>
      <c r="Z27" s="1562" t="str">
        <f>Q27</f>
        <v>自然及人文环境状况</v>
      </c>
      <c r="AA27" s="1563">
        <f t="shared" si="3"/>
        <v>1</v>
      </c>
      <c r="AB27" s="1563">
        <f t="shared" si="4"/>
        <v>1</v>
      </c>
      <c r="AC27" s="1563">
        <f t="shared" si="5"/>
        <v>1</v>
      </c>
    </row>
    <row r="28" spans="1:29" ht="20.25">
      <c r="A28" s="515"/>
      <c r="B28" s="566"/>
      <c r="C28" s="554"/>
      <c r="D28" s="557"/>
      <c r="E28" s="576"/>
      <c r="F28" s="555"/>
      <c r="G28" s="554"/>
      <c r="H28" s="555"/>
      <c r="I28" s="576"/>
      <c r="J28" s="555"/>
      <c r="K28" s="531"/>
      <c r="L28" s="2128"/>
      <c r="M28" s="2118"/>
      <c r="N28" s="2118"/>
      <c r="O28" s="2127"/>
      <c r="P28" s="3451"/>
      <c r="Q28" s="1559"/>
      <c r="R28" s="1560"/>
      <c r="S28" s="1561"/>
      <c r="T28" s="1560"/>
      <c r="U28" s="1561"/>
      <c r="V28" s="1560"/>
      <c r="W28" s="1561"/>
      <c r="X28" s="1554"/>
      <c r="Y28" s="3451"/>
      <c r="Z28" s="1562"/>
      <c r="AA28" s="1563">
        <v>1</v>
      </c>
      <c r="AB28" s="1563">
        <v>1</v>
      </c>
      <c r="AC28" s="1563">
        <v>1</v>
      </c>
    </row>
    <row r="29" spans="1:29" s="1216" customFormat="1" ht="42.75">
      <c r="A29" s="577"/>
      <c r="B29" s="2556" t="s">
        <v>2545</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c r="L29" s="2121"/>
      <c r="M29" s="2118"/>
      <c r="N29" s="2118"/>
      <c r="O29" s="2123"/>
      <c r="P29" s="3451"/>
      <c r="Q29" s="1147" t="str">
        <f t="shared" si="8"/>
        <v>公共配套设施</v>
      </c>
      <c r="R29" s="1555" t="s">
        <v>8</v>
      </c>
      <c r="S29" s="1556">
        <f>F29</f>
        <v>100</v>
      </c>
      <c r="T29" s="1555" t="s">
        <v>8</v>
      </c>
      <c r="U29" s="1556">
        <f>H29</f>
        <v>100</v>
      </c>
      <c r="V29" s="1555" t="s">
        <v>8</v>
      </c>
      <c r="W29" s="1556">
        <f>J29</f>
        <v>100</v>
      </c>
      <c r="X29" s="1557"/>
      <c r="Y29" s="3451"/>
      <c r="Z29" s="1146" t="str">
        <f>Q29</f>
        <v>公共配套设施</v>
      </c>
      <c r="AA29" s="1563">
        <f>D29/F29</f>
        <v>1</v>
      </c>
      <c r="AB29" s="1563">
        <f>D29/H29</f>
        <v>1</v>
      </c>
      <c r="AC29" s="1563">
        <f>D29/J29</f>
        <v>1</v>
      </c>
    </row>
    <row r="30" spans="1:29" s="1216" customFormat="1" ht="20.25">
      <c r="A30" s="577"/>
      <c r="B30" s="566"/>
      <c r="C30" s="579"/>
      <c r="D30" s="557"/>
      <c r="E30" s="576"/>
      <c r="F30" s="555"/>
      <c r="G30" s="554"/>
      <c r="H30" s="555"/>
      <c r="I30" s="576"/>
      <c r="J30" s="555"/>
      <c r="K30" s="531"/>
      <c r="L30" s="2121"/>
      <c r="M30" s="2118"/>
      <c r="N30" s="2118"/>
      <c r="O30" s="2123"/>
      <c r="P30" s="3451"/>
      <c r="Q30" s="1147"/>
      <c r="R30" s="1555"/>
      <c r="S30" s="1556"/>
      <c r="T30" s="1555"/>
      <c r="U30" s="1556"/>
      <c r="V30" s="1555"/>
      <c r="W30" s="1556"/>
      <c r="X30" s="1557"/>
      <c r="Y30" s="3451"/>
      <c r="Z30" s="1146"/>
      <c r="AA30" s="1563">
        <v>1</v>
      </c>
      <c r="AB30" s="1563">
        <v>1</v>
      </c>
      <c r="AC30" s="1563">
        <v>1</v>
      </c>
    </row>
    <row r="31" spans="1:29" s="1216" customFormat="1" ht="28.5">
      <c r="A31" s="577"/>
      <c r="B31" s="2556" t="s">
        <v>2546</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c r="L31" s="2121"/>
      <c r="M31" s="2118"/>
      <c r="N31" s="2118"/>
      <c r="O31" s="2123"/>
      <c r="P31" s="3451"/>
      <c r="Q31" s="2543" t="str">
        <f t="shared" ref="Q31" si="9">B31</f>
        <v>基础设施水平</v>
      </c>
      <c r="R31" s="1555" t="s">
        <v>8</v>
      </c>
      <c r="S31" s="1556">
        <f>F31</f>
        <v>100</v>
      </c>
      <c r="T31" s="1555" t="s">
        <v>8</v>
      </c>
      <c r="U31" s="1556">
        <f>H31</f>
        <v>100</v>
      </c>
      <c r="V31" s="1555" t="s">
        <v>8</v>
      </c>
      <c r="W31" s="1556">
        <f>J31</f>
        <v>100</v>
      </c>
      <c r="X31" s="1557"/>
      <c r="Y31" s="3451"/>
      <c r="Z31" s="2540" t="str">
        <f>Q31</f>
        <v>基础设施水平</v>
      </c>
      <c r="AA31" s="1563">
        <f>D31/F31</f>
        <v>1</v>
      </c>
      <c r="AB31" s="1563">
        <f>D31/H31</f>
        <v>1</v>
      </c>
      <c r="AC31" s="1563">
        <f>D31/J31</f>
        <v>1</v>
      </c>
    </row>
    <row r="32" spans="1:29" s="1216" customFormat="1" ht="20.25">
      <c r="A32" s="577"/>
      <c r="B32" s="566"/>
      <c r="C32" s="579"/>
      <c r="D32" s="557"/>
      <c r="E32" s="2557"/>
      <c r="F32" s="555"/>
      <c r="G32" s="579"/>
      <c r="H32" s="555"/>
      <c r="I32" s="579"/>
      <c r="J32" s="555"/>
      <c r="K32" s="531"/>
      <c r="L32" s="2121"/>
      <c r="M32" s="2118"/>
      <c r="N32" s="2118"/>
      <c r="O32" s="2123"/>
      <c r="P32" s="3451"/>
      <c r="Q32" s="2543"/>
      <c r="R32" s="1555"/>
      <c r="S32" s="1556"/>
      <c r="T32" s="1555"/>
      <c r="U32" s="1556"/>
      <c r="V32" s="1555"/>
      <c r="W32" s="1556"/>
      <c r="X32" s="1557"/>
      <c r="Y32" s="3451"/>
      <c r="Z32" s="2540"/>
      <c r="AA32" s="1563">
        <v>1</v>
      </c>
      <c r="AB32" s="1563">
        <v>1</v>
      </c>
      <c r="AC32" s="1563">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8"/>
      <c r="M33" s="2118"/>
      <c r="N33" s="2118"/>
      <c r="O33" s="2127"/>
      <c r="P33" s="3451"/>
      <c r="Q33" s="1559" t="str">
        <f t="shared" si="8"/>
        <v>临街状况</v>
      </c>
      <c r="R33" s="1560" t="s">
        <v>8</v>
      </c>
      <c r="S33" s="1561">
        <f t="shared" ref="S33:S47" si="10">F33</f>
        <v>100</v>
      </c>
      <c r="T33" s="1560" t="s">
        <v>8</v>
      </c>
      <c r="U33" s="1561">
        <f t="shared" ref="U33:U47" si="11">H33</f>
        <v>100</v>
      </c>
      <c r="V33" s="1560" t="s">
        <v>8</v>
      </c>
      <c r="W33" s="1561">
        <f t="shared" ref="W33:W47" si="12">J33</f>
        <v>100</v>
      </c>
      <c r="X33" s="1554"/>
      <c r="Y33" s="3451"/>
      <c r="Z33" s="1562" t="str">
        <f t="shared" ref="Z33:Z47" si="13">Q33</f>
        <v>临街状况</v>
      </c>
      <c r="AA33" s="1563">
        <f t="shared" si="3"/>
        <v>1</v>
      </c>
      <c r="AB33" s="1563">
        <f t="shared" si="4"/>
        <v>1</v>
      </c>
      <c r="AC33" s="1563">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8"/>
      <c r="M34" s="2118"/>
      <c r="N34" s="2118"/>
      <c r="O34" s="2127"/>
      <c r="P34" s="3451"/>
      <c r="Q34" s="1559" t="str">
        <f t="shared" si="8"/>
        <v>毗邻道路的类型与等级</v>
      </c>
      <c r="R34" s="1560" t="s">
        <v>8</v>
      </c>
      <c r="S34" s="1561">
        <f t="shared" si="10"/>
        <v>100</v>
      </c>
      <c r="T34" s="1560" t="s">
        <v>8</v>
      </c>
      <c r="U34" s="1561">
        <f t="shared" si="11"/>
        <v>100</v>
      </c>
      <c r="V34" s="1560" t="s">
        <v>8</v>
      </c>
      <c r="W34" s="1561">
        <f t="shared" si="12"/>
        <v>100</v>
      </c>
      <c r="X34" s="1554"/>
      <c r="Y34" s="3451"/>
      <c r="Z34" s="1562" t="str">
        <f t="shared" si="13"/>
        <v>毗邻道路的类型与等级</v>
      </c>
      <c r="AA34" s="1563">
        <f t="shared" si="3"/>
        <v>1</v>
      </c>
      <c r="AB34" s="1563">
        <f t="shared" si="4"/>
        <v>1</v>
      </c>
      <c r="AC34" s="1563">
        <f t="shared" si="5"/>
        <v>1</v>
      </c>
    </row>
    <row r="35" spans="1:29" ht="20.25">
      <c r="A35" s="532"/>
      <c r="B35" s="566"/>
      <c r="C35" s="554"/>
      <c r="D35" s="557"/>
      <c r="E35" s="576"/>
      <c r="F35" s="555"/>
      <c r="G35" s="554"/>
      <c r="H35" s="555"/>
      <c r="I35" s="576"/>
      <c r="J35" s="555"/>
      <c r="K35" s="581"/>
      <c r="L35" s="2128"/>
      <c r="M35" s="2118"/>
      <c r="N35" s="2118"/>
      <c r="O35" s="2127"/>
      <c r="P35" s="3451"/>
      <c r="Q35" s="1559"/>
      <c r="R35" s="1560"/>
      <c r="S35" s="1561"/>
      <c r="T35" s="1560"/>
      <c r="U35" s="1561"/>
      <c r="V35" s="1560"/>
      <c r="W35" s="1561"/>
      <c r="X35" s="1554"/>
      <c r="Y35" s="3451"/>
      <c r="Z35" s="1562"/>
      <c r="AA35" s="1563">
        <v>1</v>
      </c>
      <c r="AB35" s="1563">
        <v>1</v>
      </c>
      <c r="AC35" s="1563">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451"/>
      <c r="Q36" s="1559" t="str">
        <f t="shared" si="8"/>
        <v>土地级别</v>
      </c>
      <c r="R36" s="1560" t="s">
        <v>8</v>
      </c>
      <c r="S36" s="1561">
        <f t="shared" si="10"/>
        <v>100</v>
      </c>
      <c r="T36" s="1560" t="s">
        <v>8</v>
      </c>
      <c r="U36" s="1561">
        <f t="shared" si="11"/>
        <v>100</v>
      </c>
      <c r="V36" s="1560" t="s">
        <v>8</v>
      </c>
      <c r="W36" s="1561">
        <f t="shared" si="12"/>
        <v>100</v>
      </c>
      <c r="X36" s="1554"/>
      <c r="Y36" s="3451"/>
      <c r="Z36" s="1562" t="str">
        <f t="shared" si="13"/>
        <v>土地级别</v>
      </c>
      <c r="AA36" s="1563">
        <f t="shared" si="3"/>
        <v>1</v>
      </c>
      <c r="AB36" s="1563">
        <f t="shared" si="4"/>
        <v>1</v>
      </c>
      <c r="AC36" s="1563">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451"/>
      <c r="Q37" s="1559">
        <f t="shared" si="8"/>
        <v>111</v>
      </c>
      <c r="R37" s="1560" t="s">
        <v>8</v>
      </c>
      <c r="S37" s="1561">
        <f t="shared" si="10"/>
        <v>100</v>
      </c>
      <c r="T37" s="1560" t="s">
        <v>8</v>
      </c>
      <c r="U37" s="1561">
        <f t="shared" si="11"/>
        <v>100</v>
      </c>
      <c r="V37" s="1560" t="s">
        <v>8</v>
      </c>
      <c r="W37" s="1561">
        <f t="shared" si="12"/>
        <v>100</v>
      </c>
      <c r="X37" s="1554"/>
      <c r="Y37" s="3451"/>
      <c r="Z37" s="1562">
        <f t="shared" si="13"/>
        <v>111</v>
      </c>
      <c r="AA37" s="1563">
        <f t="shared" si="3"/>
        <v>1</v>
      </c>
      <c r="AB37" s="1563">
        <f t="shared" si="4"/>
        <v>1</v>
      </c>
      <c r="AC37" s="1563">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452" t="s">
        <v>550</v>
      </c>
      <c r="Q38" s="1559">
        <f t="shared" si="8"/>
        <v>111</v>
      </c>
      <c r="R38" s="1560" t="s">
        <v>8</v>
      </c>
      <c r="S38" s="1561">
        <f t="shared" si="10"/>
        <v>100</v>
      </c>
      <c r="T38" s="1560" t="s">
        <v>8</v>
      </c>
      <c r="U38" s="1561">
        <f t="shared" si="11"/>
        <v>100</v>
      </c>
      <c r="V38" s="1560" t="s">
        <v>8</v>
      </c>
      <c r="W38" s="1561">
        <f t="shared" si="12"/>
        <v>100</v>
      </c>
      <c r="X38" s="1554"/>
      <c r="Y38" s="3453" t="s">
        <v>550</v>
      </c>
      <c r="Z38" s="1562">
        <f t="shared" si="13"/>
        <v>111</v>
      </c>
      <c r="AA38" s="1563">
        <f t="shared" si="3"/>
        <v>1</v>
      </c>
      <c r="AB38" s="1563">
        <f t="shared" si="4"/>
        <v>1</v>
      </c>
      <c r="AC38" s="1563">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453"/>
      <c r="Q39" s="1559">
        <f t="shared" si="8"/>
        <v>111</v>
      </c>
      <c r="R39" s="1564" t="s">
        <v>8</v>
      </c>
      <c r="S39" s="1565">
        <f t="shared" si="10"/>
        <v>100</v>
      </c>
      <c r="T39" s="1564" t="s">
        <v>8</v>
      </c>
      <c r="U39" s="1565">
        <f t="shared" si="11"/>
        <v>100</v>
      </c>
      <c r="V39" s="1564" t="s">
        <v>8</v>
      </c>
      <c r="W39" s="1565">
        <f t="shared" si="12"/>
        <v>100</v>
      </c>
      <c r="X39" s="1566"/>
      <c r="Y39" s="3453"/>
      <c r="Z39" s="1567">
        <f t="shared" si="13"/>
        <v>111</v>
      </c>
      <c r="AA39" s="1563">
        <f t="shared" si="3"/>
        <v>1</v>
      </c>
      <c r="AB39" s="1563">
        <f t="shared" si="4"/>
        <v>1</v>
      </c>
      <c r="AC39" s="1563">
        <f t="shared" si="5"/>
        <v>1</v>
      </c>
    </row>
    <row r="40" spans="1:29" ht="20.25">
      <c r="A40" s="2747" t="s">
        <v>2751</v>
      </c>
      <c r="B40" s="595" t="s">
        <v>552</v>
      </c>
      <c r="C40" s="596"/>
      <c r="D40" s="597">
        <v>100</v>
      </c>
      <c r="E40" s="596"/>
      <c r="F40" s="597" t="e">
        <f>LOOKUP(E40,119:119,120:120)-LOOKUP(C40,119:119,120:120)+100</f>
        <v>#N/A</v>
      </c>
      <c r="G40" s="596"/>
      <c r="H40" s="597" t="e">
        <f>LOOKUP(G40,119:119,120:120)-LOOKUP(C40,119:119,120:120)+100</f>
        <v>#N/A</v>
      </c>
      <c r="I40" s="598"/>
      <c r="J40" s="597" t="e">
        <f>LOOKUP(I40,119:119,120:120)-LOOKUP(C40,119:119,120:120)+100</f>
        <v>#N/A</v>
      </c>
      <c r="K40" s="581"/>
      <c r="L40" s="2128"/>
      <c r="M40" s="2118"/>
      <c r="N40" s="2118"/>
      <c r="O40" s="2127"/>
      <c r="P40" s="3453"/>
      <c r="Q40" s="1559" t="str">
        <f>B40</f>
        <v>宗地面积</v>
      </c>
      <c r="R40" s="1560" t="s">
        <v>8</v>
      </c>
      <c r="S40" s="1561" t="e">
        <f t="shared" si="10"/>
        <v>#N/A</v>
      </c>
      <c r="T40" s="1560" t="s">
        <v>8</v>
      </c>
      <c r="U40" s="1561" t="e">
        <f t="shared" si="11"/>
        <v>#N/A</v>
      </c>
      <c r="V40" s="1560" t="s">
        <v>8</v>
      </c>
      <c r="W40" s="1561" t="e">
        <f t="shared" si="12"/>
        <v>#N/A</v>
      </c>
      <c r="X40" s="1554"/>
      <c r="Y40" s="3453"/>
      <c r="Z40" s="1562" t="str">
        <f t="shared" si="13"/>
        <v>宗地面积</v>
      </c>
      <c r="AA40" s="1563" t="e">
        <f t="shared" si="3"/>
        <v>#N/A</v>
      </c>
      <c r="AB40" s="1563" t="e">
        <f t="shared" si="4"/>
        <v>#N/A</v>
      </c>
      <c r="AC40" s="1563" t="e">
        <f t="shared" si="5"/>
        <v>#N/A</v>
      </c>
    </row>
    <row r="41" spans="1:29" ht="20.25">
      <c r="A41" s="594"/>
      <c r="B41" s="527" t="s">
        <v>553</v>
      </c>
      <c r="C41" s="599"/>
      <c r="D41" s="540">
        <v>100</v>
      </c>
      <c r="E41" s="599"/>
      <c r="F41" s="540">
        <f>SUMIF(121:121,E41,122:122)-SUMIF(121:121,C41,122:122)+100</f>
        <v>100</v>
      </c>
      <c r="G41" s="599"/>
      <c r="H41" s="540">
        <f>SUMIF(121:121,G41,122:122)-SUMIF(121:121,C41,122:122)+100</f>
        <v>100</v>
      </c>
      <c r="I41" s="599"/>
      <c r="J41" s="540">
        <f>SUMIF(121:121,I41,122:122)-SUMIF(121:121,C41,122:122)+100</f>
        <v>100</v>
      </c>
      <c r="K41" s="584"/>
      <c r="L41" s="2128"/>
      <c r="M41" s="2118"/>
      <c r="N41" s="2118"/>
      <c r="O41" s="2127"/>
      <c r="P41" s="3453"/>
      <c r="Q41" s="1559" t="str">
        <f t="shared" ref="Q41:Q47" si="14">B41</f>
        <v>宗地形状</v>
      </c>
      <c r="R41" s="1560" t="s">
        <v>8</v>
      </c>
      <c r="S41" s="1561">
        <f t="shared" si="10"/>
        <v>100</v>
      </c>
      <c r="T41" s="1560" t="s">
        <v>8</v>
      </c>
      <c r="U41" s="1561">
        <f t="shared" si="11"/>
        <v>100</v>
      </c>
      <c r="V41" s="1560" t="s">
        <v>8</v>
      </c>
      <c r="W41" s="1561">
        <f t="shared" si="12"/>
        <v>100</v>
      </c>
      <c r="X41" s="1554"/>
      <c r="Y41" s="3453"/>
      <c r="Z41" s="1562" t="str">
        <f t="shared" si="13"/>
        <v>宗地形状</v>
      </c>
      <c r="AA41" s="1563">
        <f t="shared" si="3"/>
        <v>1</v>
      </c>
      <c r="AB41" s="1563">
        <f t="shared" si="4"/>
        <v>1</v>
      </c>
      <c r="AC41" s="1563">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28"/>
      <c r="M42" s="2118"/>
      <c r="N42" s="2118"/>
      <c r="O42" s="2127"/>
      <c r="P42" s="3453"/>
      <c r="Q42" s="1559" t="str">
        <f t="shared" si="14"/>
        <v>临街宽度及深度</v>
      </c>
      <c r="R42" s="1560" t="s">
        <v>8</v>
      </c>
      <c r="S42" s="1561">
        <f t="shared" si="10"/>
        <v>100</v>
      </c>
      <c r="T42" s="1560" t="s">
        <v>8</v>
      </c>
      <c r="U42" s="1561">
        <f t="shared" si="11"/>
        <v>100</v>
      </c>
      <c r="V42" s="1560" t="s">
        <v>8</v>
      </c>
      <c r="W42" s="1561">
        <f t="shared" si="12"/>
        <v>100</v>
      </c>
      <c r="X42" s="1554"/>
      <c r="Y42" s="3453"/>
      <c r="Z42" s="1562" t="str">
        <f t="shared" si="13"/>
        <v>临街宽度及深度</v>
      </c>
      <c r="AA42" s="1563">
        <f t="shared" si="3"/>
        <v>1</v>
      </c>
      <c r="AB42" s="1563">
        <f t="shared" si="4"/>
        <v>1</v>
      </c>
      <c r="AC42" s="1563">
        <f t="shared" si="5"/>
        <v>1</v>
      </c>
    </row>
    <row r="43" spans="1:29" s="1216" customFormat="1" ht="20.25">
      <c r="A43" s="600"/>
      <c r="B43" s="1881" t="s">
        <v>2421</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21"/>
      <c r="M43" s="2118"/>
      <c r="N43" s="2118"/>
      <c r="O43" s="2123"/>
      <c r="P43" s="3453"/>
      <c r="Q43" s="1559" t="str">
        <f t="shared" si="14"/>
        <v>宗地开发程度</v>
      </c>
      <c r="R43" s="1555" t="s">
        <v>8</v>
      </c>
      <c r="S43" s="1556">
        <f t="shared" si="10"/>
        <v>100</v>
      </c>
      <c r="T43" s="1555" t="s">
        <v>8</v>
      </c>
      <c r="U43" s="1556">
        <f t="shared" si="11"/>
        <v>100</v>
      </c>
      <c r="V43" s="1555" t="s">
        <v>8</v>
      </c>
      <c r="W43" s="1556">
        <f t="shared" si="12"/>
        <v>100</v>
      </c>
      <c r="X43" s="1557"/>
      <c r="Y43" s="3453"/>
      <c r="Z43" s="1146" t="str">
        <f t="shared" si="13"/>
        <v>宗地开发程度</v>
      </c>
      <c r="AA43" s="1558">
        <f t="shared" si="3"/>
        <v>1</v>
      </c>
      <c r="AB43" s="1558">
        <f t="shared" si="4"/>
        <v>1</v>
      </c>
      <c r="AC43" s="1558">
        <f t="shared" si="5"/>
        <v>1</v>
      </c>
    </row>
    <row r="44" spans="1:29" ht="20.25">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28"/>
      <c r="M44" s="2118"/>
      <c r="N44" s="2118"/>
      <c r="O44" s="2127"/>
      <c r="P44" s="3453" t="s">
        <v>550</v>
      </c>
      <c r="Q44" s="1559" t="str">
        <f t="shared" si="14"/>
        <v>工程地质条件</v>
      </c>
      <c r="R44" s="1560" t="s">
        <v>8</v>
      </c>
      <c r="S44" s="1561">
        <f t="shared" si="10"/>
        <v>100</v>
      </c>
      <c r="T44" s="1560" t="s">
        <v>8</v>
      </c>
      <c r="U44" s="1561">
        <f t="shared" si="11"/>
        <v>100</v>
      </c>
      <c r="V44" s="1560" t="s">
        <v>8</v>
      </c>
      <c r="W44" s="1561">
        <f t="shared" si="12"/>
        <v>100</v>
      </c>
      <c r="X44" s="1554"/>
      <c r="Y44" s="3453" t="s">
        <v>550</v>
      </c>
      <c r="Z44" s="1562" t="str">
        <f t="shared" si="13"/>
        <v>工程地质条件</v>
      </c>
      <c r="AA44" s="1563">
        <f t="shared" si="3"/>
        <v>1</v>
      </c>
      <c r="AB44" s="1563">
        <f t="shared" si="4"/>
        <v>1</v>
      </c>
      <c r="AC44" s="1563">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453"/>
      <c r="Q45" s="1559">
        <f t="shared" si="14"/>
        <v>111</v>
      </c>
      <c r="R45" s="1560" t="s">
        <v>8</v>
      </c>
      <c r="S45" s="1561">
        <f t="shared" si="10"/>
        <v>100</v>
      </c>
      <c r="T45" s="1560" t="s">
        <v>8</v>
      </c>
      <c r="U45" s="1561">
        <f t="shared" si="11"/>
        <v>100</v>
      </c>
      <c r="V45" s="1560" t="s">
        <v>8</v>
      </c>
      <c r="W45" s="1561">
        <f t="shared" si="12"/>
        <v>100</v>
      </c>
      <c r="X45" s="1554"/>
      <c r="Y45" s="3453"/>
      <c r="Z45" s="1562">
        <f t="shared" si="13"/>
        <v>111</v>
      </c>
      <c r="AA45" s="1563">
        <f t="shared" si="3"/>
        <v>1</v>
      </c>
      <c r="AB45" s="1563">
        <f t="shared" si="4"/>
        <v>1</v>
      </c>
      <c r="AC45" s="1563">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453"/>
      <c r="Q46" s="1559">
        <f t="shared" si="14"/>
        <v>111</v>
      </c>
      <c r="R46" s="1560" t="s">
        <v>8</v>
      </c>
      <c r="S46" s="1561">
        <f t="shared" si="10"/>
        <v>100</v>
      </c>
      <c r="T46" s="1560" t="s">
        <v>8</v>
      </c>
      <c r="U46" s="1561">
        <f t="shared" si="11"/>
        <v>100</v>
      </c>
      <c r="V46" s="1560" t="s">
        <v>8</v>
      </c>
      <c r="W46" s="1561">
        <f t="shared" si="12"/>
        <v>100</v>
      </c>
      <c r="X46" s="1554"/>
      <c r="Y46" s="3453"/>
      <c r="Z46" s="1562">
        <f t="shared" si="13"/>
        <v>111</v>
      </c>
      <c r="AA46" s="1563">
        <f t="shared" si="3"/>
        <v>1</v>
      </c>
      <c r="AB46" s="1563">
        <f t="shared" si="4"/>
        <v>1</v>
      </c>
      <c r="AC46" s="1563">
        <f t="shared" si="5"/>
        <v>1</v>
      </c>
    </row>
    <row r="47" spans="1:29" s="1335"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453"/>
      <c r="Q47" s="1559">
        <f t="shared" si="14"/>
        <v>111</v>
      </c>
      <c r="R47" s="1564" t="s">
        <v>8</v>
      </c>
      <c r="S47" s="1565">
        <f t="shared" si="10"/>
        <v>100</v>
      </c>
      <c r="T47" s="1564" t="s">
        <v>8</v>
      </c>
      <c r="U47" s="1565">
        <f t="shared" si="11"/>
        <v>100</v>
      </c>
      <c r="V47" s="1564" t="s">
        <v>8</v>
      </c>
      <c r="W47" s="1565">
        <f t="shared" si="12"/>
        <v>100</v>
      </c>
      <c r="X47" s="1566"/>
      <c r="Y47" s="3453"/>
      <c r="Z47" s="1567">
        <f t="shared" si="13"/>
        <v>111</v>
      </c>
      <c r="AA47" s="1563">
        <f t="shared" si="3"/>
        <v>1</v>
      </c>
      <c r="AB47" s="1563">
        <f t="shared" si="4"/>
        <v>1</v>
      </c>
      <c r="AC47" s="1563">
        <f t="shared" si="5"/>
        <v>1</v>
      </c>
    </row>
    <row r="48" spans="1:29" ht="20.25">
      <c r="A48" s="607" t="s">
        <v>556</v>
      </c>
      <c r="B48" s="608" t="s">
        <v>2931</v>
      </c>
      <c r="C48" s="609" t="s">
        <v>1</v>
      </c>
      <c r="D48" s="610"/>
      <c r="E48" s="611"/>
      <c r="F48" s="612"/>
      <c r="G48" s="613"/>
      <c r="H48" s="614"/>
      <c r="I48" s="611"/>
      <c r="J48" s="614"/>
      <c r="K48" s="1336"/>
      <c r="L48" s="2130"/>
      <c r="M48" s="2118"/>
      <c r="N48" s="2118"/>
      <c r="O48" s="2131"/>
      <c r="P48" s="3416" t="str">
        <f>A48</f>
        <v>成交单价</v>
      </c>
      <c r="Q48" s="3416"/>
      <c r="R48" s="3417">
        <f>E48</f>
        <v>0</v>
      </c>
      <c r="S48" s="3417"/>
      <c r="T48" s="3417">
        <f>G48</f>
        <v>0</v>
      </c>
      <c r="U48" s="3417"/>
      <c r="V48" s="3417">
        <f>I48</f>
        <v>0</v>
      </c>
      <c r="W48" s="3417"/>
      <c r="X48" s="1546"/>
      <c r="Y48" s="1568"/>
      <c r="Z48" s="1546"/>
      <c r="AA48" s="1546"/>
      <c r="AB48" s="1546"/>
      <c r="AC48" s="1546"/>
    </row>
    <row r="49" spans="1:29" ht="21" thickBot="1">
      <c r="A49" s="615" t="s">
        <v>2689</v>
      </c>
      <c r="B49" s="616"/>
      <c r="C49" s="617" t="e">
        <f>R50</f>
        <v>#DIV/0!</v>
      </c>
      <c r="D49" s="618"/>
      <c r="E49" s="617" t="e">
        <f>R49</f>
        <v>#DIV/0!</v>
      </c>
      <c r="F49" s="619"/>
      <c r="G49" s="620" t="e">
        <f>T49</f>
        <v>#DIV/0!</v>
      </c>
      <c r="H49" s="618"/>
      <c r="I49" s="617" t="e">
        <f>V49</f>
        <v>#DIV/0!</v>
      </c>
      <c r="J49" s="618"/>
      <c r="K49" s="1337"/>
      <c r="L49" s="2130"/>
      <c r="M49" s="2118"/>
      <c r="N49" s="2118"/>
      <c r="O49" s="2131"/>
      <c r="P49" s="3416" t="str">
        <f>A49</f>
        <v>比较价格（元/平方米）</v>
      </c>
      <c r="Q49" s="3416"/>
      <c r="R49" s="3418" t="e">
        <f>ROUND(PRODUCT(R48,AA9:AA47),0)</f>
        <v>#DIV/0!</v>
      </c>
      <c r="S49" s="3418"/>
      <c r="T49" s="3418" t="e">
        <f>ROUND(PRODUCT(T48,AB9:AB47),0)</f>
        <v>#DIV/0!</v>
      </c>
      <c r="U49" s="3418"/>
      <c r="V49" s="3418" t="e">
        <f>ROUND(PRODUCT(V48,AC9:AC47),0)</f>
        <v>#DIV/0!</v>
      </c>
      <c r="W49" s="3418"/>
      <c r="X49" s="1546"/>
      <c r="Y49" s="1546"/>
      <c r="Z49" s="1546"/>
      <c r="AA49" s="1546"/>
      <c r="AB49" s="1546"/>
      <c r="AC49" s="1546"/>
    </row>
    <row r="50" spans="1:29" ht="21" thickBot="1">
      <c r="A50" s="621" t="s">
        <v>2932</v>
      </c>
      <c r="B50" s="622"/>
      <c r="C50" s="623" t="e">
        <f>R50</f>
        <v>#DIV/0!</v>
      </c>
      <c r="D50" s="623"/>
      <c r="E50" s="623"/>
      <c r="F50" s="623"/>
      <c r="G50" s="623"/>
      <c r="H50" s="623"/>
      <c r="I50" s="623"/>
      <c r="J50" s="623"/>
      <c r="K50" s="1338"/>
      <c r="L50" s="2130"/>
      <c r="M50" s="2118"/>
      <c r="N50" s="2118"/>
      <c r="O50" s="2131"/>
      <c r="P50" s="3413" t="str">
        <f>A50</f>
        <v>估价对象XX用房的比较价格（楼面单价，元/平方米）</v>
      </c>
      <c r="Q50" s="3414"/>
      <c r="R50" s="3415" t="e">
        <f>ROUND(AVERAGE(R49:V49),0)</f>
        <v>#DIV/0!</v>
      </c>
      <c r="S50" s="3415"/>
      <c r="T50" s="3415"/>
      <c r="U50" s="3415"/>
      <c r="V50" s="3415"/>
      <c r="W50" s="3415"/>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2290</v>
      </c>
      <c r="E57" s="631" t="s">
        <v>562</v>
      </c>
      <c r="F57" s="632" t="s">
        <v>563</v>
      </c>
      <c r="G57" s="3442" t="s">
        <v>2279</v>
      </c>
      <c r="H57" s="3443"/>
      <c r="I57" s="1542" t="s">
        <v>1722</v>
      </c>
      <c r="J57" s="1542">
        <f>项目基本情况!F41</f>
        <v>0</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t="e">
        <f>C50</f>
        <v>#DIV/0!</v>
      </c>
      <c r="C58" s="635">
        <v>1</v>
      </c>
      <c r="D58" s="2214">
        <v>1</v>
      </c>
      <c r="E58" s="635">
        <f>'数据-汇总表'!E8+'数据-汇总表'!E9</f>
        <v>17100</v>
      </c>
      <c r="F58" s="636" t="e">
        <f t="shared" ref="F58:F67" si="15">ROUND(B58*E58/10000,0)</f>
        <v>#DIV/0!</v>
      </c>
      <c r="G58" s="3444"/>
      <c r="H58" s="3445"/>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t="e">
        <f>ROUND($C$50*C59*D59,0)</f>
        <v>#DIV/0!</v>
      </c>
      <c r="C59" s="378">
        <f t="shared" ref="C59:C67" si="16">IF($C$57="北京市系数",I59,J59)</f>
        <v>0</v>
      </c>
      <c r="D59" s="2215">
        <v>0.25</v>
      </c>
      <c r="E59" s="639">
        <v>0</v>
      </c>
      <c r="F59" s="636" t="e">
        <f t="shared" si="15"/>
        <v>#DIV/0!</v>
      </c>
      <c r="G59" s="3446" t="s">
        <v>2280</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t="e">
        <f t="shared" ref="B60:B67" si="17">ROUND($C$50*C60*D60,0)</f>
        <v>#DIV/0!</v>
      </c>
      <c r="C60" s="378">
        <f t="shared" si="16"/>
        <v>0</v>
      </c>
      <c r="D60" s="2215">
        <v>0.25</v>
      </c>
      <c r="E60" s="639">
        <v>0</v>
      </c>
      <c r="F60" s="636" t="e">
        <f t="shared" si="15"/>
        <v>#DIV/0!</v>
      </c>
      <c r="G60" s="3446"/>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t="e">
        <f t="shared" si="17"/>
        <v>#DIV/0!</v>
      </c>
      <c r="C61" s="378">
        <f t="shared" si="16"/>
        <v>0</v>
      </c>
      <c r="D61" s="2215">
        <v>0.25</v>
      </c>
      <c r="E61" s="639">
        <v>0</v>
      </c>
      <c r="F61" s="636" t="e">
        <f t="shared" si="15"/>
        <v>#DIV/0!</v>
      </c>
      <c r="G61" s="3446"/>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t="e">
        <f t="shared" si="17"/>
        <v>#DIV/0!</v>
      </c>
      <c r="C62" s="378">
        <f t="shared" si="16"/>
        <v>0</v>
      </c>
      <c r="D62" s="2215">
        <v>0.25</v>
      </c>
      <c r="E62" s="639">
        <v>0</v>
      </c>
      <c r="F62" s="636" t="e">
        <f t="shared" si="15"/>
        <v>#DIV/0!</v>
      </c>
      <c r="G62" s="3446"/>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2325</v>
      </c>
      <c r="B63" s="638" t="e">
        <f t="shared" si="17"/>
        <v>#DIV/0!</v>
      </c>
      <c r="C63" s="378">
        <f t="shared" si="16"/>
        <v>0.2</v>
      </c>
      <c r="D63" s="2215">
        <v>0.25</v>
      </c>
      <c r="E63" s="641">
        <f>'数据-汇总表'!E11</f>
        <v>0</v>
      </c>
      <c r="F63" s="636" t="e">
        <f t="shared" si="15"/>
        <v>#DIV/0!</v>
      </c>
      <c r="G63" s="1931" t="s">
        <v>2281</v>
      </c>
      <c r="H63" s="1934" t="str">
        <f>项目基本情况!C43</f>
        <v>八级</v>
      </c>
      <c r="I63" s="1543">
        <f>SUMIF(修正!$A$45:$A$56,H63,修正!F45:F56)</f>
        <v>0.2</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t="e">
        <f t="shared" si="17"/>
        <v>#DIV/0!</v>
      </c>
      <c r="C64" s="378">
        <f t="shared" si="16"/>
        <v>0.2</v>
      </c>
      <c r="D64" s="2215">
        <v>0.25</v>
      </c>
      <c r="E64" s="641">
        <f>'数据-汇总表'!E12</f>
        <v>0</v>
      </c>
      <c r="F64" s="636" t="e">
        <f t="shared" si="15"/>
        <v>#DIV/0!</v>
      </c>
      <c r="G64" s="1932" t="s">
        <v>1677</v>
      </c>
      <c r="H64" s="1930" t="str">
        <f>IF(G64="商业",项目基本情况!B43,IF(G64="办公",项目基本情况!C43,IF(G64="住宅",项目基本情况!D43,项目基本情况!E43)))</f>
        <v>八级</v>
      </c>
      <c r="I64" s="1543">
        <f>SUMIF(修正!$A$45:$A$56,H64,修正!G45:G56)</f>
        <v>0.2</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t="e">
        <f t="shared" si="17"/>
        <v>#DIV/0!</v>
      </c>
      <c r="C65" s="378">
        <f t="shared" si="16"/>
        <v>0</v>
      </c>
      <c r="D65" s="2215">
        <v>0.25</v>
      </c>
      <c r="E65" s="641">
        <f>'数据-汇总表'!E13</f>
        <v>0</v>
      </c>
      <c r="F65" s="636" t="e">
        <f t="shared" si="15"/>
        <v>#DIV/0!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t="e">
        <f t="shared" si="17"/>
        <v>#DIV/0!</v>
      </c>
      <c r="C66" s="378">
        <f t="shared" si="16"/>
        <v>0</v>
      </c>
      <c r="D66" s="2215">
        <v>0.25</v>
      </c>
      <c r="E66" s="641">
        <f>'数据-汇总表'!E14</f>
        <v>0</v>
      </c>
      <c r="F66" s="636" t="e">
        <f t="shared" si="15"/>
        <v>#DIV/0!</v>
      </c>
      <c r="G66" s="1931" t="s">
        <v>2280</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t="e">
        <f t="shared" si="17"/>
        <v>#DIV/0!</v>
      </c>
      <c r="C67" s="378">
        <f t="shared" si="16"/>
        <v>0.15</v>
      </c>
      <c r="D67" s="2215">
        <v>0.25</v>
      </c>
      <c r="E67" s="641">
        <f>'数据-汇总表'!E15</f>
        <v>0</v>
      </c>
      <c r="F67" s="636" t="e">
        <f t="shared" si="15"/>
        <v>#DIV/0!</v>
      </c>
      <c r="G67" s="1933" t="s">
        <v>2281</v>
      </c>
      <c r="H67" s="1935" t="str">
        <f>项目基本情况!C43</f>
        <v>八级</v>
      </c>
      <c r="I67" s="1543">
        <f>SUMIF(修正!$A$45:$A$56,H67,修正!H45:H56)</f>
        <v>0.15</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2291</v>
      </c>
      <c r="E68" s="643">
        <f>IF(B48="楼面地价",SUM(E58:E67),'数据-汇总表'!D3)</f>
        <v>5500</v>
      </c>
      <c r="F68" s="644" t="e">
        <f>IF(B48="楼面地价",SUM(F58:F67),ROUND(C50*E68/10000,0))</f>
        <v>#DIV/0!</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639" t="str">
        <f>YEAR(C9)&amp;"-"&amp;MONTH(C9)&amp;"-1"</f>
        <v>2020-6-1</v>
      </c>
      <c r="D70" s="2639">
        <f>EDATE(C70,-3)</f>
        <v>43891</v>
      </c>
      <c r="E70" s="2639">
        <f t="shared" ref="E70:N70" si="18">EDATE(D70,-3)</f>
        <v>43800</v>
      </c>
      <c r="F70" s="2639">
        <f t="shared" si="18"/>
        <v>43709</v>
      </c>
      <c r="G70" s="2639">
        <f t="shared" si="18"/>
        <v>43617</v>
      </c>
      <c r="H70" s="2639">
        <f t="shared" si="18"/>
        <v>43525</v>
      </c>
      <c r="I70" s="2639">
        <f t="shared" si="18"/>
        <v>43435</v>
      </c>
      <c r="J70" s="2639">
        <f t="shared" si="18"/>
        <v>43344</v>
      </c>
      <c r="K70" s="2639">
        <f t="shared" si="18"/>
        <v>43252</v>
      </c>
      <c r="L70" s="2639">
        <f t="shared" si="18"/>
        <v>43160</v>
      </c>
      <c r="M70" s="2639">
        <f t="shared" si="18"/>
        <v>43070</v>
      </c>
      <c r="N70" s="2639">
        <f t="shared" si="18"/>
        <v>42979</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2529</v>
      </c>
      <c r="B72" s="2534"/>
      <c r="C72" s="2636" t="str">
        <f>YEAR(C70)&amp;"-"&amp;ROUNDUP(MONTH(C70)/3,0)</f>
        <v>2020-2</v>
      </c>
      <c r="D72" s="2641" t="str">
        <f>YEAR(D70)&amp;"-"&amp;ROUNDUP(MONTH(D70)/3,0)</f>
        <v>2020-1</v>
      </c>
      <c r="E72" s="2641" t="str">
        <f t="shared" ref="E72:N72" si="19">YEAR(E70)&amp;"-"&amp;ROUNDUP(MONTH(E70)/3,0)</f>
        <v>2019-4</v>
      </c>
      <c r="F72" s="2641" t="str">
        <f t="shared" si="19"/>
        <v>2019-3</v>
      </c>
      <c r="G72" s="2641" t="str">
        <f t="shared" si="19"/>
        <v>2019-2</v>
      </c>
      <c r="H72" s="2641" t="str">
        <f t="shared" si="19"/>
        <v>2019-1</v>
      </c>
      <c r="I72" s="2641" t="str">
        <f t="shared" si="19"/>
        <v>2018-4</v>
      </c>
      <c r="J72" s="2641" t="str">
        <f t="shared" si="19"/>
        <v>2018-3</v>
      </c>
      <c r="K72" s="2641" t="str">
        <f t="shared" si="19"/>
        <v>2018-2</v>
      </c>
      <c r="L72" s="2641" t="str">
        <f t="shared" si="19"/>
        <v>2018-1</v>
      </c>
      <c r="M72" s="2641" t="str">
        <f t="shared" si="19"/>
        <v>2017-4</v>
      </c>
      <c r="N72" s="2641" t="str">
        <f t="shared" si="19"/>
        <v>2017-3</v>
      </c>
      <c r="O72" s="2145"/>
      <c r="P72" s="2146"/>
      <c r="Q72" s="2147"/>
      <c r="R72" s="2147"/>
      <c r="S72" s="2147"/>
      <c r="T72" s="2147"/>
      <c r="U72" s="2147"/>
      <c r="V72" s="2147"/>
      <c r="W72" s="2147"/>
      <c r="X72" s="2147"/>
      <c r="Y72" s="2147"/>
      <c r="Z72" s="2147"/>
      <c r="AA72" s="2147"/>
      <c r="AB72" s="2147"/>
      <c r="AC72" s="2147"/>
    </row>
    <row r="73" spans="1:29" s="1216" customFormat="1" ht="27" customHeight="1">
      <c r="A73" s="2646" t="s">
        <v>2643</v>
      </c>
      <c r="B73" s="479" t="str">
        <f>"北京市平均增长率"&amp;TEXT(SUMIF(基准地价!N21:N25,A73,基准地价!P21:P25),"0.00%")</f>
        <v>北京市平均增长率1.86%</v>
      </c>
      <c r="C73" s="894">
        <v>100</v>
      </c>
      <c r="D73" s="730"/>
      <c r="E73" s="730"/>
      <c r="F73" s="730"/>
      <c r="G73" s="730"/>
      <c r="H73" s="730"/>
      <c r="I73" s="730"/>
      <c r="J73" s="730"/>
      <c r="K73" s="730"/>
      <c r="L73" s="730"/>
      <c r="M73" s="2634"/>
      <c r="N73" s="2635"/>
      <c r="O73" s="2148"/>
      <c r="P73" s="2144"/>
      <c r="Q73" s="1979"/>
      <c r="R73" s="1979"/>
      <c r="S73" s="1979"/>
      <c r="T73" s="1979"/>
      <c r="U73" s="1979"/>
      <c r="V73" s="1979"/>
      <c r="W73" s="1979"/>
      <c r="X73" s="1979"/>
      <c r="Y73" s="1979"/>
      <c r="Z73" s="1979"/>
      <c r="AA73" s="1979"/>
      <c r="AB73" s="1979"/>
      <c r="AC73" s="1979"/>
    </row>
    <row r="74" spans="1:29" s="1216" customFormat="1" ht="15" customHeight="1" thickBot="1">
      <c r="A74" s="2637" t="s">
        <v>2642</v>
      </c>
      <c r="B74" s="2645"/>
      <c r="C74" s="2632"/>
      <c r="D74" s="2633"/>
      <c r="E74" s="2633"/>
      <c r="F74" s="2633"/>
      <c r="G74" s="2633"/>
      <c r="H74" s="2633"/>
      <c r="I74" s="2633"/>
      <c r="J74" s="2633"/>
      <c r="K74" s="2633"/>
      <c r="L74" s="2633"/>
      <c r="M74" s="2633"/>
      <c r="N74" s="2633"/>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598"/>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（含）-</v>
      </c>
      <c r="D81" s="682" t="str">
        <f t="shared" ref="D81:L81" si="20">D82&amp;"（含）"&amp;"-"&amp;E82</f>
        <v>（含）-</v>
      </c>
      <c r="E81" s="682" t="str">
        <f t="shared" si="20"/>
        <v>（含）-</v>
      </c>
      <c r="F81" s="682" t="str">
        <f t="shared" si="20"/>
        <v>（含）-</v>
      </c>
      <c r="G81" s="682" t="str">
        <f t="shared" si="20"/>
        <v>（含）-</v>
      </c>
      <c r="H81" s="682" t="str">
        <f t="shared" si="20"/>
        <v>（含）-</v>
      </c>
      <c r="I81" s="682" t="str">
        <f t="shared" si="20"/>
        <v>（含）-</v>
      </c>
      <c r="J81" s="682" t="str">
        <f t="shared" si="20"/>
        <v>（含）-</v>
      </c>
      <c r="K81" s="682" t="str">
        <f t="shared" si="20"/>
        <v>（含）-</v>
      </c>
      <c r="L81" s="682" t="str">
        <f t="shared" si="20"/>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c r="D82" s="541"/>
      <c r="E82" s="541"/>
      <c r="F82" s="541"/>
      <c r="G82" s="541"/>
      <c r="H82" s="541"/>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100</v>
      </c>
      <c r="E83" s="679">
        <f t="shared" ref="E83:M83" si="21">IF($B$48="单位面积地价",D83+$K13,D83-$K13)</f>
        <v>100</v>
      </c>
      <c r="F83" s="679">
        <f t="shared" si="21"/>
        <v>100</v>
      </c>
      <c r="G83" s="679">
        <f t="shared" si="21"/>
        <v>100</v>
      </c>
      <c r="H83" s="679">
        <f t="shared" si="21"/>
        <v>100</v>
      </c>
      <c r="I83" s="679">
        <f t="shared" si="21"/>
        <v>100</v>
      </c>
      <c r="J83" s="679">
        <f t="shared" si="21"/>
        <v>100</v>
      </c>
      <c r="K83" s="679">
        <f t="shared" si="21"/>
        <v>100</v>
      </c>
      <c r="L83" s="679">
        <f t="shared" si="21"/>
        <v>100</v>
      </c>
      <c r="M83" s="679">
        <f t="shared" si="21"/>
        <v>100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100</v>
      </c>
      <c r="E91" s="679">
        <f>D91-$K17</f>
        <v>100</v>
      </c>
      <c r="F91" s="679">
        <f>E91-$K17</f>
        <v>100</v>
      </c>
      <c r="G91" s="679">
        <f>F91-$K17</f>
        <v>100</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100</v>
      </c>
      <c r="E93" s="679">
        <f>D93-$K19</f>
        <v>100</v>
      </c>
      <c r="F93" s="679">
        <f>E93-$K19</f>
        <v>100</v>
      </c>
      <c r="G93" s="679">
        <f>F93-$K19</f>
        <v>100</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100</v>
      </c>
      <c r="E97" s="679">
        <f>D97-$K23</f>
        <v>100</v>
      </c>
      <c r="F97" s="679">
        <f>E97-$K23</f>
        <v>100</v>
      </c>
      <c r="G97" s="679">
        <f>F97-$K23</f>
        <v>100</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100</v>
      </c>
      <c r="E99" s="679">
        <f>D99-$K25</f>
        <v>100</v>
      </c>
      <c r="F99" s="679">
        <f>E99-$K25</f>
        <v>100</v>
      </c>
      <c r="G99" s="679">
        <f>F99-$K25</f>
        <v>100</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100</v>
      </c>
      <c r="E101" s="679">
        <f>D101-$K27</f>
        <v>100</v>
      </c>
      <c r="F101" s="679">
        <f>E101-$K27</f>
        <v>100</v>
      </c>
      <c r="G101" s="679">
        <f>F101-$K27</f>
        <v>100</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2545</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100</v>
      </c>
      <c r="E103" s="679">
        <f>D103-$K29</f>
        <v>100</v>
      </c>
      <c r="F103" s="679">
        <f>E103-$K29</f>
        <v>100</v>
      </c>
      <c r="G103" s="679">
        <f>F103-$K29</f>
        <v>100</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2547</v>
      </c>
      <c r="C104" s="2563" t="s">
        <v>2548</v>
      </c>
      <c r="D104" s="2563" t="s">
        <v>2549</v>
      </c>
      <c r="E104" s="2563" t="s">
        <v>2550</v>
      </c>
      <c r="F104" s="2563" t="s">
        <v>2551</v>
      </c>
      <c r="G104" s="2563" t="s">
        <v>2552</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100</v>
      </c>
      <c r="E105" s="679">
        <f>D105-$K31</f>
        <v>100</v>
      </c>
      <c r="F105" s="679">
        <f>E105-$K31</f>
        <v>100</v>
      </c>
      <c r="G105" s="679">
        <f>F105-$K31</f>
        <v>100</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688"/>
      <c r="D108" s="688"/>
      <c r="E108" s="688"/>
      <c r="F108" s="688"/>
      <c r="G108" s="688"/>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c r="A118" s="664" t="s">
        <v>551</v>
      </c>
      <c r="B118" s="665" t="s">
        <v>593</v>
      </c>
      <c r="C118" s="704" t="str">
        <f t="shared" ref="C118:L118" si="25">C119&amp;"(含)"&amp;"-"&amp;D119</f>
        <v>(含)-</v>
      </c>
      <c r="D118" s="704" t="str">
        <f t="shared" si="25"/>
        <v>(含)-</v>
      </c>
      <c r="E118" s="704" t="str">
        <f t="shared" si="25"/>
        <v>(含)-</v>
      </c>
      <c r="F118" s="704" t="str">
        <f t="shared" si="25"/>
        <v>(含)-</v>
      </c>
      <c r="G118" s="704" t="str">
        <f t="shared" si="25"/>
        <v>(含)-</v>
      </c>
      <c r="H118" s="704" t="str">
        <f t="shared" si="25"/>
        <v>(含)-</v>
      </c>
      <c r="I118" s="704" t="str">
        <f t="shared" si="25"/>
        <v>(含)-</v>
      </c>
      <c r="J118" s="2922" t="str">
        <f t="shared" si="25"/>
        <v>(含)-</v>
      </c>
      <c r="K118" s="2922" t="str">
        <f t="shared" si="25"/>
        <v>(含)-</v>
      </c>
      <c r="L118" s="2923" t="str">
        <f t="shared" si="25"/>
        <v>(含)-</v>
      </c>
      <c r="M118" s="2924"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730"/>
      <c r="D119" s="730"/>
      <c r="E119" s="730"/>
      <c r="F119" s="730"/>
      <c r="G119" s="730"/>
      <c r="H119" s="730"/>
      <c r="I119" s="730"/>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c r="D120" s="726"/>
      <c r="E120" s="726"/>
      <c r="F120" s="726"/>
      <c r="G120" s="726"/>
      <c r="H120" s="726"/>
      <c r="I120" s="726"/>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718"/>
      <c r="D121" s="718"/>
      <c r="E121" s="718"/>
      <c r="F121" s="718"/>
      <c r="G121" s="718"/>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6">C122-$K41</f>
        <v>100</v>
      </c>
      <c r="E122" s="679">
        <f t="shared" si="26"/>
        <v>100</v>
      </c>
      <c r="F122" s="679">
        <f t="shared" si="26"/>
        <v>100</v>
      </c>
      <c r="G122" s="679">
        <f t="shared" si="26"/>
        <v>100</v>
      </c>
      <c r="H122" s="679">
        <f t="shared" si="26"/>
        <v>100</v>
      </c>
      <c r="I122" s="679">
        <f t="shared" si="26"/>
        <v>100</v>
      </c>
      <c r="J122" s="679">
        <f t="shared" si="26"/>
        <v>100</v>
      </c>
      <c r="K122" s="679">
        <f t="shared" si="26"/>
        <v>100</v>
      </c>
      <c r="L122" s="679">
        <f t="shared" si="26"/>
        <v>100</v>
      </c>
      <c r="M122" s="680">
        <f t="shared" si="26"/>
        <v>100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688"/>
      <c r="D123" s="688"/>
      <c r="E123" s="688"/>
      <c r="F123" s="718"/>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2422</v>
      </c>
      <c r="C125" s="1372"/>
      <c r="D125" s="1372"/>
      <c r="E125" s="1372"/>
      <c r="F125" s="1372"/>
      <c r="G125" s="1372"/>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688"/>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44" priority="14" stopIfTrue="1" operator="containsText" text="超过">
      <formula>NOT(ISERROR(SEARCH("超过",F53)))</formula>
    </cfRule>
  </conditionalFormatting>
  <conditionalFormatting sqref="J55">
    <cfRule type="containsText" dxfId="143" priority="13" stopIfTrue="1" operator="containsText" text="超过">
      <formula>NOT(ISERROR(SEARCH("超过",J55)))</formula>
    </cfRule>
  </conditionalFormatting>
  <conditionalFormatting sqref="H55">
    <cfRule type="containsText" dxfId="142" priority="12" stopIfTrue="1" operator="containsText" text="超过">
      <formula>NOT(ISERROR(SEARCH("超过",H55)))</formula>
    </cfRule>
  </conditionalFormatting>
  <conditionalFormatting sqref="F55">
    <cfRule type="containsText" dxfId="141" priority="11" stopIfTrue="1" operator="containsText" text="超过">
      <formula>NOT(ISERROR(SEARCH("超过",F55)))</formula>
    </cfRule>
  </conditionalFormatting>
  <conditionalFormatting sqref="F54 H54 J54">
    <cfRule type="containsText" dxfId="140" priority="10" stopIfTrue="1" operator="containsText" text="超过">
      <formula>NOT(ISERROR(SEARCH("超过",F54)))</formula>
    </cfRule>
  </conditionalFormatting>
  <conditionalFormatting sqref="E53">
    <cfRule type="expression" dxfId="139" priority="9" stopIfTrue="1">
      <formula>$F$53="超过30%"</formula>
    </cfRule>
  </conditionalFormatting>
  <conditionalFormatting sqref="G55">
    <cfRule type="expression" dxfId="138" priority="8" stopIfTrue="1">
      <formula>$H$55="超过30%"</formula>
    </cfRule>
  </conditionalFormatting>
  <conditionalFormatting sqref="E54">
    <cfRule type="expression" dxfId="137" priority="7" stopIfTrue="1">
      <formula>$F$54="超过20%"</formula>
    </cfRule>
  </conditionalFormatting>
  <conditionalFormatting sqref="E55">
    <cfRule type="expression" dxfId="136" priority="6" stopIfTrue="1">
      <formula>$F$55="超过30%"</formula>
    </cfRule>
  </conditionalFormatting>
  <conditionalFormatting sqref="G53">
    <cfRule type="expression" dxfId="135" priority="5" stopIfTrue="1">
      <formula>$H$55+$H$53="超过30%"</formula>
    </cfRule>
  </conditionalFormatting>
  <conditionalFormatting sqref="G54">
    <cfRule type="expression" dxfId="134" priority="4" stopIfTrue="1">
      <formula>$H$54="超过20%"</formula>
    </cfRule>
  </conditionalFormatting>
  <conditionalFormatting sqref="I53">
    <cfRule type="expression" dxfId="133" priority="3" stopIfTrue="1">
      <formula>$J$53="超过30%"</formula>
    </cfRule>
  </conditionalFormatting>
  <conditionalFormatting sqref="I54">
    <cfRule type="expression" dxfId="132" priority="2" stopIfTrue="1">
      <formula>$J$54="超过20%"</formula>
    </cfRule>
  </conditionalFormatting>
  <conditionalFormatting sqref="I55">
    <cfRule type="expression" dxfId="131"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422" t="s">
        <v>522</v>
      </c>
      <c r="D6" s="3423"/>
      <c r="E6" s="3456" t="s">
        <v>523</v>
      </c>
      <c r="F6" s="3457"/>
      <c r="G6" s="3422" t="s">
        <v>524</v>
      </c>
      <c r="H6" s="3423"/>
      <c r="I6" s="3422" t="s">
        <v>525</v>
      </c>
      <c r="J6" s="3423"/>
      <c r="K6" s="514" t="s">
        <v>526</v>
      </c>
      <c r="L6" s="2119"/>
      <c r="M6" s="2120"/>
      <c r="N6" s="2120"/>
      <c r="O6" s="2120"/>
      <c r="P6" s="3424" t="s">
        <v>527</v>
      </c>
      <c r="Q6" s="3425"/>
      <c r="R6" s="3430" t="s">
        <v>523</v>
      </c>
      <c r="S6" s="3431"/>
      <c r="T6" s="3430" t="s">
        <v>524</v>
      </c>
      <c r="U6" s="3431"/>
      <c r="V6" s="3417" t="s">
        <v>525</v>
      </c>
      <c r="W6" s="3417"/>
      <c r="X6" s="1554"/>
      <c r="Y6" s="3430" t="s">
        <v>527</v>
      </c>
      <c r="Z6" s="3431"/>
      <c r="AA6" s="3419" t="s">
        <v>523</v>
      </c>
      <c r="AB6" s="3420" t="s">
        <v>524</v>
      </c>
      <c r="AC6" s="3419" t="s">
        <v>525</v>
      </c>
    </row>
    <row r="7" spans="1:29" ht="15">
      <c r="A7" s="515"/>
      <c r="B7" s="516"/>
      <c r="C7" s="3438" t="s">
        <v>2926</v>
      </c>
      <c r="D7" s="3439"/>
      <c r="E7" s="3458" t="s">
        <v>2927</v>
      </c>
      <c r="F7" s="3459"/>
      <c r="G7" s="3438" t="s">
        <v>2928</v>
      </c>
      <c r="H7" s="3439"/>
      <c r="I7" s="3438" t="s">
        <v>2929</v>
      </c>
      <c r="J7" s="3439"/>
      <c r="K7" s="514"/>
      <c r="L7" s="2119"/>
      <c r="M7" s="2120"/>
      <c r="N7" s="2120"/>
      <c r="O7" s="2120"/>
      <c r="P7" s="3426"/>
      <c r="Q7" s="3427"/>
      <c r="R7" s="3432"/>
      <c r="S7" s="3433"/>
      <c r="T7" s="3432"/>
      <c r="U7" s="3433"/>
      <c r="V7" s="3417"/>
      <c r="W7" s="3417"/>
      <c r="X7" s="1554"/>
      <c r="Y7" s="3432"/>
      <c r="Z7" s="3433"/>
      <c r="AA7" s="3420"/>
      <c r="AB7" s="3420"/>
      <c r="AC7" s="3420"/>
    </row>
    <row r="8" spans="1:29" ht="15.75" thickBot="1">
      <c r="A8" s="517"/>
      <c r="B8" s="518"/>
      <c r="C8" s="3436" t="s">
        <v>2930</v>
      </c>
      <c r="D8" s="3437"/>
      <c r="E8" s="3454" t="s">
        <v>2930</v>
      </c>
      <c r="F8" s="3455"/>
      <c r="G8" s="3436" t="s">
        <v>2930</v>
      </c>
      <c r="H8" s="3437"/>
      <c r="I8" s="3436" t="s">
        <v>2930</v>
      </c>
      <c r="J8" s="3437"/>
      <c r="K8" s="514" t="s">
        <v>528</v>
      </c>
      <c r="L8" s="2119"/>
      <c r="M8" s="2120"/>
      <c r="N8" s="2120"/>
      <c r="O8" s="2120"/>
      <c r="P8" s="3428"/>
      <c r="Q8" s="3429"/>
      <c r="R8" s="3432"/>
      <c r="S8" s="3433"/>
      <c r="T8" s="3434"/>
      <c r="U8" s="3435"/>
      <c r="V8" s="3417"/>
      <c r="W8" s="3417"/>
      <c r="X8" s="1554"/>
      <c r="Y8" s="3434"/>
      <c r="Z8" s="3435"/>
      <c r="AA8" s="3421"/>
      <c r="AB8" s="3421"/>
      <c r="AC8" s="3421"/>
    </row>
    <row r="9" spans="1:29" s="1216" customFormat="1" ht="15.75" thickBot="1">
      <c r="A9" s="2752"/>
      <c r="B9" s="2759" t="s">
        <v>529</v>
      </c>
      <c r="C9" s="519">
        <f>'数据-取费表'!B2</f>
        <v>44012</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447" t="s">
        <v>530</v>
      </c>
      <c r="Q9" s="3449"/>
      <c r="R9" s="1555" t="s">
        <v>8</v>
      </c>
      <c r="S9" s="1556">
        <f t="shared" ref="S9:S17" si="0">F9</f>
        <v>0</v>
      </c>
      <c r="T9" s="1555" t="s">
        <v>8</v>
      </c>
      <c r="U9" s="1556">
        <f t="shared" ref="U9:U17" si="1">H9</f>
        <v>0</v>
      </c>
      <c r="V9" s="1555" t="s">
        <v>8</v>
      </c>
      <c r="W9" s="1556">
        <f t="shared" ref="W9:W17" si="2">J9</f>
        <v>0</v>
      </c>
      <c r="X9" s="1557"/>
      <c r="Y9" s="3447" t="s">
        <v>530</v>
      </c>
      <c r="Z9" s="3448"/>
      <c r="AA9" s="1558" t="e">
        <f>D9/F9</f>
        <v>#DIV/0!</v>
      </c>
      <c r="AB9" s="1558" t="e">
        <f>D9/H9</f>
        <v>#DIV/0!</v>
      </c>
      <c r="AC9" s="1558" t="e">
        <f>D9/J9</f>
        <v>#DIV/0!</v>
      </c>
    </row>
    <row r="10" spans="1:29" s="1216" customFormat="1" ht="15.75" thickBot="1">
      <c r="A10" s="2753"/>
      <c r="B10" s="2760"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447" t="s">
        <v>533</v>
      </c>
      <c r="Q10" s="3448"/>
      <c r="R10" s="1555" t="s">
        <v>8</v>
      </c>
      <c r="S10" s="1556">
        <f t="shared" si="0"/>
        <v>0</v>
      </c>
      <c r="T10" s="1555" t="s">
        <v>8</v>
      </c>
      <c r="U10" s="1556">
        <f t="shared" si="1"/>
        <v>0</v>
      </c>
      <c r="V10" s="1555" t="s">
        <v>8</v>
      </c>
      <c r="W10" s="1556">
        <f t="shared" si="2"/>
        <v>0</v>
      </c>
      <c r="X10" s="1557"/>
      <c r="Y10" s="3447" t="s">
        <v>533</v>
      </c>
      <c r="Z10" s="3448"/>
      <c r="AA10" s="1558" t="e">
        <f t="shared" ref="AA10:AA42" si="3">D10/F10</f>
        <v>#DIV/0!</v>
      </c>
      <c r="AB10" s="1558" t="e">
        <f t="shared" ref="AB10:AB42" si="4">D10/H10</f>
        <v>#DIV/0!</v>
      </c>
      <c r="AC10" s="1558" t="e">
        <f t="shared" ref="AC10:AC42" si="5">D10/J10</f>
        <v>#DIV/0!</v>
      </c>
    </row>
    <row r="11" spans="1:29" s="1216" customFormat="1" ht="15">
      <c r="A11" s="2754"/>
      <c r="B11" s="2761" t="s">
        <v>2752</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416" t="s">
        <v>535</v>
      </c>
      <c r="Q11" s="1147" t="str">
        <f t="shared" ref="Q11:Q17" si="6">B11</f>
        <v>用途</v>
      </c>
      <c r="R11" s="1555" t="s">
        <v>8</v>
      </c>
      <c r="S11" s="1556">
        <f t="shared" si="0"/>
        <v>100</v>
      </c>
      <c r="T11" s="1555" t="s">
        <v>8</v>
      </c>
      <c r="U11" s="1556">
        <f t="shared" si="1"/>
        <v>100</v>
      </c>
      <c r="V11" s="1555" t="s">
        <v>8</v>
      </c>
      <c r="W11" s="1556">
        <f t="shared" si="2"/>
        <v>100</v>
      </c>
      <c r="X11" s="1557"/>
      <c r="Y11" s="3341" t="s">
        <v>536</v>
      </c>
      <c r="Z11" s="1146" t="str">
        <f t="shared" ref="Z11:Z17" si="7">Q11</f>
        <v>用途</v>
      </c>
      <c r="AA11" s="1558">
        <f t="shared" si="3"/>
        <v>1</v>
      </c>
      <c r="AB11" s="1558">
        <f t="shared" si="4"/>
        <v>1</v>
      </c>
      <c r="AC11" s="1558">
        <f t="shared" si="5"/>
        <v>1</v>
      </c>
    </row>
    <row r="12" spans="1:29" s="1334" customFormat="1" ht="27">
      <c r="A12" s="2755"/>
      <c r="B12" s="2760" t="s">
        <v>2753</v>
      </c>
      <c r="C12" s="528"/>
      <c r="D12" s="255">
        <v>100</v>
      </c>
      <c r="E12" s="528"/>
      <c r="F12" s="255">
        <f>ROUND(100/'数据-取费表'!G16,0)</f>
        <v>100</v>
      </c>
      <c r="G12" s="528"/>
      <c r="H12" s="255">
        <f>ROUND(100/'数据-取费表'!G16,0)</f>
        <v>100</v>
      </c>
      <c r="I12" s="528"/>
      <c r="J12" s="255">
        <f>ROUND(100/'数据-取费表'!G16,0)</f>
        <v>100</v>
      </c>
      <c r="K12" s="531"/>
      <c r="L12" s="2124"/>
      <c r="M12" s="2164"/>
      <c r="N12" s="2164"/>
      <c r="O12" s="2125"/>
      <c r="P12" s="3416"/>
      <c r="Q12" s="1147" t="str">
        <f t="shared" si="6"/>
        <v>土地使用年限（年）</v>
      </c>
      <c r="R12" s="1555" t="s">
        <v>8</v>
      </c>
      <c r="S12" s="1556">
        <f t="shared" si="0"/>
        <v>100</v>
      </c>
      <c r="T12" s="1555" t="s">
        <v>8</v>
      </c>
      <c r="U12" s="1556">
        <f t="shared" si="1"/>
        <v>100</v>
      </c>
      <c r="V12" s="1555" t="s">
        <v>8</v>
      </c>
      <c r="W12" s="1556">
        <f t="shared" si="2"/>
        <v>100</v>
      </c>
      <c r="X12" s="1557"/>
      <c r="Y12" s="3341"/>
      <c r="Z12" s="1146" t="str">
        <f t="shared" si="7"/>
        <v>土地使用年限（年）</v>
      </c>
      <c r="AA12" s="1558">
        <f t="shared" si="3"/>
        <v>1</v>
      </c>
      <c r="AB12" s="1558">
        <f t="shared" si="4"/>
        <v>1</v>
      </c>
      <c r="AC12" s="1558">
        <f t="shared" si="5"/>
        <v>1</v>
      </c>
    </row>
    <row r="13" spans="1:29" ht="15">
      <c r="A13" s="2756"/>
      <c r="B13" s="2760" t="s">
        <v>2754</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416"/>
      <c r="Q13" s="1147" t="str">
        <f t="shared" si="6"/>
        <v>容积率</v>
      </c>
      <c r="R13" s="1555" t="s">
        <v>8</v>
      </c>
      <c r="S13" s="1556" t="e">
        <f t="shared" si="0"/>
        <v>#N/A</v>
      </c>
      <c r="T13" s="1555" t="s">
        <v>8</v>
      </c>
      <c r="U13" s="1556" t="e">
        <f t="shared" si="1"/>
        <v>#N/A</v>
      </c>
      <c r="V13" s="1555" t="s">
        <v>8</v>
      </c>
      <c r="W13" s="1556" t="e">
        <f t="shared" si="2"/>
        <v>#N/A</v>
      </c>
      <c r="X13" s="1557"/>
      <c r="Y13" s="3341"/>
      <c r="Z13" s="1146" t="str">
        <f t="shared" si="7"/>
        <v>容积率</v>
      </c>
      <c r="AA13" s="1558" t="e">
        <f t="shared" si="3"/>
        <v>#N/A</v>
      </c>
      <c r="AB13" s="1558" t="e">
        <f t="shared" si="4"/>
        <v>#N/A</v>
      </c>
      <c r="AC13" s="1558" t="e">
        <f t="shared" si="5"/>
        <v>#N/A</v>
      </c>
    </row>
    <row r="14" spans="1:29" s="1216" customFormat="1" ht="15">
      <c r="A14" s="2757"/>
      <c r="B14" s="2763">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416"/>
      <c r="Q14" s="1147">
        <f t="shared" si="6"/>
        <v>111</v>
      </c>
      <c r="R14" s="1555" t="s">
        <v>8</v>
      </c>
      <c r="S14" s="1556">
        <f t="shared" si="0"/>
        <v>100</v>
      </c>
      <c r="T14" s="1555" t="s">
        <v>8</v>
      </c>
      <c r="U14" s="1556">
        <f t="shared" si="1"/>
        <v>100</v>
      </c>
      <c r="V14" s="1555" t="s">
        <v>8</v>
      </c>
      <c r="W14" s="1556">
        <f t="shared" si="2"/>
        <v>100</v>
      </c>
      <c r="X14" s="1557"/>
      <c r="Y14" s="3341"/>
      <c r="Z14" s="1146">
        <f t="shared" si="7"/>
        <v>111</v>
      </c>
      <c r="AA14" s="1558">
        <f>D14/F14</f>
        <v>1</v>
      </c>
      <c r="AB14" s="1558">
        <f>D14/H14</f>
        <v>1</v>
      </c>
      <c r="AC14" s="1558">
        <f>D14/J14</f>
        <v>1</v>
      </c>
    </row>
    <row r="15" spans="1:29" ht="15">
      <c r="A15" s="2757"/>
      <c r="B15" s="2763">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416"/>
      <c r="Q15" s="1147">
        <f t="shared" si="6"/>
        <v>111</v>
      </c>
      <c r="R15" s="1555" t="s">
        <v>8</v>
      </c>
      <c r="S15" s="1556">
        <f t="shared" si="0"/>
        <v>100</v>
      </c>
      <c r="T15" s="1555" t="s">
        <v>8</v>
      </c>
      <c r="U15" s="1556">
        <f t="shared" si="1"/>
        <v>100</v>
      </c>
      <c r="V15" s="1555" t="s">
        <v>8</v>
      </c>
      <c r="W15" s="1556">
        <f t="shared" si="2"/>
        <v>100</v>
      </c>
      <c r="X15" s="1557"/>
      <c r="Y15" s="3341"/>
      <c r="Z15" s="1146">
        <f t="shared" si="7"/>
        <v>111</v>
      </c>
      <c r="AA15" s="1558">
        <f t="shared" si="3"/>
        <v>1</v>
      </c>
      <c r="AB15" s="1558">
        <f t="shared" si="4"/>
        <v>1</v>
      </c>
      <c r="AC15" s="1558">
        <f t="shared" si="5"/>
        <v>1</v>
      </c>
    </row>
    <row r="16" spans="1:29" ht="15.75" thickBot="1">
      <c r="A16" s="2758"/>
      <c r="B16" s="2764">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416"/>
      <c r="Q16" s="1147">
        <f t="shared" si="6"/>
        <v>111</v>
      </c>
      <c r="R16" s="1555" t="s">
        <v>8</v>
      </c>
      <c r="S16" s="1556">
        <f t="shared" si="0"/>
        <v>100</v>
      </c>
      <c r="T16" s="1555" t="s">
        <v>8</v>
      </c>
      <c r="U16" s="1556">
        <f t="shared" si="1"/>
        <v>100</v>
      </c>
      <c r="V16" s="1555" t="s">
        <v>8</v>
      </c>
      <c r="W16" s="1556">
        <f t="shared" si="2"/>
        <v>100</v>
      </c>
      <c r="X16" s="1557"/>
      <c r="Y16" s="3341"/>
      <c r="Z16" s="1146">
        <f t="shared" si="7"/>
        <v>111</v>
      </c>
      <c r="AA16" s="1558">
        <f t="shared" si="3"/>
        <v>1</v>
      </c>
      <c r="AB16" s="1558">
        <f t="shared" si="4"/>
        <v>1</v>
      </c>
      <c r="AC16" s="1558">
        <f t="shared" si="5"/>
        <v>1</v>
      </c>
    </row>
    <row r="17" spans="1:29" ht="57">
      <c r="A17" s="2750" t="s">
        <v>2750</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450" t="s">
        <v>540</v>
      </c>
      <c r="Q17" s="1559" t="str">
        <f t="shared" si="6"/>
        <v>产业集聚程度</v>
      </c>
      <c r="R17" s="1560" t="s">
        <v>8</v>
      </c>
      <c r="S17" s="1561">
        <f t="shared" si="0"/>
        <v>100</v>
      </c>
      <c r="T17" s="1560" t="s">
        <v>8</v>
      </c>
      <c r="U17" s="1561">
        <f t="shared" si="1"/>
        <v>100</v>
      </c>
      <c r="V17" s="1560" t="s">
        <v>8</v>
      </c>
      <c r="W17" s="1561">
        <f t="shared" si="2"/>
        <v>100</v>
      </c>
      <c r="X17" s="1554"/>
      <c r="Y17" s="3450"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451"/>
      <c r="Q18" s="1559"/>
      <c r="R18" s="1560"/>
      <c r="S18" s="1561"/>
      <c r="T18" s="1560"/>
      <c r="U18" s="1561"/>
      <c r="V18" s="1560"/>
      <c r="W18" s="1561"/>
      <c r="X18" s="1554"/>
      <c r="Y18" s="3451"/>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451"/>
      <c r="Q19" s="1559" t="str">
        <f>B19</f>
        <v>交通便捷度</v>
      </c>
      <c r="R19" s="1560" t="s">
        <v>8</v>
      </c>
      <c r="S19" s="1561">
        <f>F19</f>
        <v>100</v>
      </c>
      <c r="T19" s="1560" t="s">
        <v>8</v>
      </c>
      <c r="U19" s="1561">
        <f>H19</f>
        <v>100</v>
      </c>
      <c r="V19" s="1560" t="s">
        <v>8</v>
      </c>
      <c r="W19" s="1561">
        <f>J19</f>
        <v>100</v>
      </c>
      <c r="X19" s="1554"/>
      <c r="Y19" s="3451"/>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451"/>
      <c r="Q20" s="1559"/>
      <c r="R20" s="1560"/>
      <c r="S20" s="1561"/>
      <c r="T20" s="1560"/>
      <c r="U20" s="1561"/>
      <c r="V20" s="1560"/>
      <c r="W20" s="1561"/>
      <c r="X20" s="1554"/>
      <c r="Y20" s="3451"/>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451"/>
      <c r="Q21" s="1559" t="str">
        <f t="shared" ref="Q21:Q35" si="8">B21</f>
        <v>区域土地利用方向</v>
      </c>
      <c r="R21" s="1560" t="s">
        <v>8</v>
      </c>
      <c r="S21" s="1561">
        <f>F21</f>
        <v>100</v>
      </c>
      <c r="T21" s="1560" t="s">
        <v>8</v>
      </c>
      <c r="U21" s="1561">
        <f>H21</f>
        <v>100</v>
      </c>
      <c r="V21" s="1560" t="s">
        <v>8</v>
      </c>
      <c r="W21" s="1561">
        <f>J21</f>
        <v>100</v>
      </c>
      <c r="X21" s="1554"/>
      <c r="Y21" s="3451"/>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451"/>
      <c r="Q22" s="1559"/>
      <c r="R22" s="1560"/>
      <c r="S22" s="1561"/>
      <c r="T22" s="1560"/>
      <c r="U22" s="1561"/>
      <c r="V22" s="1560"/>
      <c r="W22" s="1561"/>
      <c r="X22" s="1554"/>
      <c r="Y22" s="3451"/>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451"/>
      <c r="Q23" s="1559" t="str">
        <f t="shared" si="8"/>
        <v>环境状况</v>
      </c>
      <c r="R23" s="1560" t="s">
        <v>8</v>
      </c>
      <c r="S23" s="1561">
        <f>F23</f>
        <v>100</v>
      </c>
      <c r="T23" s="1560" t="s">
        <v>8</v>
      </c>
      <c r="U23" s="1561">
        <f>H23</f>
        <v>100</v>
      </c>
      <c r="V23" s="1560" t="s">
        <v>8</v>
      </c>
      <c r="W23" s="1561">
        <f>J23</f>
        <v>100</v>
      </c>
      <c r="X23" s="1554"/>
      <c r="Y23" s="3451"/>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451"/>
      <c r="Q24" s="1559"/>
      <c r="R24" s="1560"/>
      <c r="S24" s="1561"/>
      <c r="T24" s="1560"/>
      <c r="U24" s="1561"/>
      <c r="V24" s="1560"/>
      <c r="W24" s="1561"/>
      <c r="X24" s="1554"/>
      <c r="Y24" s="3451"/>
      <c r="Z24" s="1562"/>
      <c r="AA24" s="1563">
        <v>1</v>
      </c>
      <c r="AB24" s="1563">
        <v>1</v>
      </c>
      <c r="AC24" s="1563">
        <v>1</v>
      </c>
    </row>
    <row r="25" spans="1:29" s="1216" customFormat="1" ht="42.75">
      <c r="A25" s="577"/>
      <c r="B25" s="2558" t="s">
        <v>2545</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451"/>
      <c r="Q25" s="1147" t="str">
        <f t="shared" si="8"/>
        <v>公共配套设施</v>
      </c>
      <c r="R25" s="1555" t="s">
        <v>8</v>
      </c>
      <c r="S25" s="1556">
        <f>F25</f>
        <v>100</v>
      </c>
      <c r="T25" s="1555" t="s">
        <v>8</v>
      </c>
      <c r="U25" s="1556">
        <f>H25</f>
        <v>100</v>
      </c>
      <c r="V25" s="1555" t="s">
        <v>8</v>
      </c>
      <c r="W25" s="1556">
        <f>J25</f>
        <v>100</v>
      </c>
      <c r="X25" s="1557"/>
      <c r="Y25" s="3451"/>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451"/>
      <c r="Q26" s="1147"/>
      <c r="R26" s="1555"/>
      <c r="S26" s="1556"/>
      <c r="T26" s="1555"/>
      <c r="U26" s="1556"/>
      <c r="V26" s="1555"/>
      <c r="W26" s="1556"/>
      <c r="X26" s="1557"/>
      <c r="Y26" s="3451"/>
      <c r="Z26" s="1146"/>
      <c r="AA26" s="1558">
        <v>1</v>
      </c>
      <c r="AB26" s="1558">
        <v>1</v>
      </c>
      <c r="AC26" s="1558">
        <v>1</v>
      </c>
    </row>
    <row r="27" spans="1:29" s="1216" customFormat="1" ht="28.5">
      <c r="A27" s="577"/>
      <c r="B27" s="2558" t="s">
        <v>2546</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451"/>
      <c r="Q27" s="2543" t="str">
        <f t="shared" ref="Q27" si="9">B27</f>
        <v>基础设施水平</v>
      </c>
      <c r="R27" s="1555" t="s">
        <v>8</v>
      </c>
      <c r="S27" s="1556">
        <f>F27</f>
        <v>100</v>
      </c>
      <c r="T27" s="1555" t="s">
        <v>8</v>
      </c>
      <c r="U27" s="1556">
        <f>H27</f>
        <v>100</v>
      </c>
      <c r="V27" s="1555" t="s">
        <v>8</v>
      </c>
      <c r="W27" s="1556">
        <f>J27</f>
        <v>100</v>
      </c>
      <c r="X27" s="1557"/>
      <c r="Y27" s="3451"/>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451"/>
      <c r="Q28" s="2543"/>
      <c r="R28" s="1555"/>
      <c r="S28" s="1556"/>
      <c r="T28" s="1555"/>
      <c r="U28" s="1556"/>
      <c r="V28" s="1555"/>
      <c r="W28" s="1556"/>
      <c r="X28" s="1557"/>
      <c r="Y28" s="3451"/>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451"/>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451"/>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451"/>
      <c r="Q30" s="1559" t="str">
        <f t="shared" si="8"/>
        <v>毗邻道路的类型与等级</v>
      </c>
      <c r="R30" s="1560" t="s">
        <v>8</v>
      </c>
      <c r="S30" s="1561">
        <f t="shared" si="10"/>
        <v>100</v>
      </c>
      <c r="T30" s="1560" t="s">
        <v>8</v>
      </c>
      <c r="U30" s="1561">
        <f t="shared" si="11"/>
        <v>100</v>
      </c>
      <c r="V30" s="1560" t="s">
        <v>8</v>
      </c>
      <c r="W30" s="1561">
        <f t="shared" si="12"/>
        <v>100</v>
      </c>
      <c r="X30" s="1554"/>
      <c r="Y30" s="3451"/>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451"/>
      <c r="Q31" s="1559"/>
      <c r="R31" s="1560"/>
      <c r="S31" s="1561"/>
      <c r="T31" s="1560"/>
      <c r="U31" s="1561"/>
      <c r="V31" s="1560"/>
      <c r="W31" s="1561"/>
      <c r="X31" s="1554"/>
      <c r="Y31" s="3451"/>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451"/>
      <c r="Q32" s="1559" t="str">
        <f t="shared" si="8"/>
        <v>土地级别</v>
      </c>
      <c r="R32" s="1560" t="s">
        <v>8</v>
      </c>
      <c r="S32" s="1561">
        <f t="shared" si="10"/>
        <v>100</v>
      </c>
      <c r="T32" s="1560" t="s">
        <v>8</v>
      </c>
      <c r="U32" s="1561">
        <f t="shared" si="11"/>
        <v>100</v>
      </c>
      <c r="V32" s="1560" t="s">
        <v>8</v>
      </c>
      <c r="W32" s="1561">
        <f t="shared" si="12"/>
        <v>100</v>
      </c>
      <c r="X32" s="1554"/>
      <c r="Y32" s="3451"/>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451"/>
      <c r="Q33" s="1559">
        <f t="shared" si="8"/>
        <v>111</v>
      </c>
      <c r="R33" s="1560" t="s">
        <v>8</v>
      </c>
      <c r="S33" s="1561">
        <f t="shared" si="10"/>
        <v>100</v>
      </c>
      <c r="T33" s="1560" t="s">
        <v>8</v>
      </c>
      <c r="U33" s="1561">
        <f t="shared" si="11"/>
        <v>100</v>
      </c>
      <c r="V33" s="1560" t="s">
        <v>8</v>
      </c>
      <c r="W33" s="1561">
        <f t="shared" si="12"/>
        <v>100</v>
      </c>
      <c r="X33" s="1554"/>
      <c r="Y33" s="3451"/>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452" t="s">
        <v>550</v>
      </c>
      <c r="Q34" s="1559">
        <f t="shared" si="8"/>
        <v>111</v>
      </c>
      <c r="R34" s="1560" t="s">
        <v>8</v>
      </c>
      <c r="S34" s="1561">
        <f t="shared" si="10"/>
        <v>100</v>
      </c>
      <c r="T34" s="1560" t="s">
        <v>8</v>
      </c>
      <c r="U34" s="1561">
        <f t="shared" si="11"/>
        <v>100</v>
      </c>
      <c r="V34" s="1560" t="s">
        <v>8</v>
      </c>
      <c r="W34" s="1561">
        <f t="shared" si="12"/>
        <v>100</v>
      </c>
      <c r="X34" s="1554"/>
      <c r="Y34" s="3453"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453"/>
      <c r="Q35" s="1559">
        <f t="shared" si="8"/>
        <v>111</v>
      </c>
      <c r="R35" s="1564" t="s">
        <v>8</v>
      </c>
      <c r="S35" s="1565">
        <f t="shared" si="10"/>
        <v>100</v>
      </c>
      <c r="T35" s="1564" t="s">
        <v>8</v>
      </c>
      <c r="U35" s="1565">
        <f t="shared" si="11"/>
        <v>100</v>
      </c>
      <c r="V35" s="1564" t="s">
        <v>8</v>
      </c>
      <c r="W35" s="1565">
        <f t="shared" si="12"/>
        <v>100</v>
      </c>
      <c r="X35" s="1566"/>
      <c r="Y35" s="3453"/>
      <c r="Z35" s="1567">
        <f t="shared" si="13"/>
        <v>111</v>
      </c>
      <c r="AA35" s="1563">
        <f t="shared" si="3"/>
        <v>1</v>
      </c>
      <c r="AB35" s="1563">
        <f t="shared" si="4"/>
        <v>1</v>
      </c>
      <c r="AC35" s="1563">
        <f t="shared" si="5"/>
        <v>1</v>
      </c>
    </row>
    <row r="36" spans="1:29" ht="15">
      <c r="A36" s="2747" t="s">
        <v>2751</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453"/>
      <c r="Q36" s="1559" t="str">
        <f>B36</f>
        <v>宗地面积</v>
      </c>
      <c r="R36" s="1560" t="s">
        <v>8</v>
      </c>
      <c r="S36" s="1561" t="e">
        <f t="shared" si="10"/>
        <v>#N/A</v>
      </c>
      <c r="T36" s="1560" t="s">
        <v>8</v>
      </c>
      <c r="U36" s="1561" t="e">
        <f t="shared" si="11"/>
        <v>#N/A</v>
      </c>
      <c r="V36" s="1560" t="s">
        <v>8</v>
      </c>
      <c r="W36" s="1561" t="e">
        <f t="shared" si="12"/>
        <v>#N/A</v>
      </c>
      <c r="X36" s="1554"/>
      <c r="Y36" s="3453"/>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453"/>
      <c r="Q37" s="1559" t="str">
        <f t="shared" ref="Q37:Q42" si="14">B37</f>
        <v>宗地形状</v>
      </c>
      <c r="R37" s="1560" t="s">
        <v>8</v>
      </c>
      <c r="S37" s="1561">
        <f t="shared" si="10"/>
        <v>100</v>
      </c>
      <c r="T37" s="1560" t="s">
        <v>8</v>
      </c>
      <c r="U37" s="1561">
        <f t="shared" si="11"/>
        <v>100</v>
      </c>
      <c r="V37" s="1560" t="s">
        <v>8</v>
      </c>
      <c r="W37" s="1561">
        <f t="shared" si="12"/>
        <v>100</v>
      </c>
      <c r="X37" s="1554"/>
      <c r="Y37" s="3453"/>
      <c r="Z37" s="1562" t="str">
        <f t="shared" si="13"/>
        <v>宗地形状</v>
      </c>
      <c r="AA37" s="1563">
        <f t="shared" si="3"/>
        <v>1</v>
      </c>
      <c r="AB37" s="1563">
        <f t="shared" si="4"/>
        <v>1</v>
      </c>
      <c r="AC37" s="1563">
        <f t="shared" si="5"/>
        <v>1</v>
      </c>
    </row>
    <row r="38" spans="1:29" s="1216" customFormat="1" ht="15">
      <c r="A38" s="600"/>
      <c r="B38" s="1881" t="s">
        <v>2421</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453"/>
      <c r="Q38" s="1559" t="str">
        <f t="shared" si="14"/>
        <v>宗地开发程度</v>
      </c>
      <c r="R38" s="1555" t="s">
        <v>8</v>
      </c>
      <c r="S38" s="1556">
        <f t="shared" si="10"/>
        <v>100</v>
      </c>
      <c r="T38" s="1555" t="s">
        <v>8</v>
      </c>
      <c r="U38" s="1556">
        <f t="shared" si="11"/>
        <v>100</v>
      </c>
      <c r="V38" s="1555" t="s">
        <v>8</v>
      </c>
      <c r="W38" s="1556">
        <f t="shared" si="12"/>
        <v>100</v>
      </c>
      <c r="X38" s="1557"/>
      <c r="Y38" s="3453"/>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53" t="s">
        <v>601</v>
      </c>
      <c r="Q39" s="1559" t="str">
        <f t="shared" si="14"/>
        <v>工程地质条件</v>
      </c>
      <c r="R39" s="1560" t="s">
        <v>8</v>
      </c>
      <c r="S39" s="1561">
        <f t="shared" si="10"/>
        <v>100</v>
      </c>
      <c r="T39" s="1560" t="s">
        <v>8</v>
      </c>
      <c r="U39" s="1561">
        <f t="shared" si="11"/>
        <v>100</v>
      </c>
      <c r="V39" s="1560" t="s">
        <v>8</v>
      </c>
      <c r="W39" s="1561">
        <f t="shared" si="12"/>
        <v>100</v>
      </c>
      <c r="X39" s="1554"/>
      <c r="Y39" s="3453"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453"/>
      <c r="Q40" s="1559">
        <f t="shared" si="14"/>
        <v>111</v>
      </c>
      <c r="R40" s="1560" t="s">
        <v>8</v>
      </c>
      <c r="S40" s="1561">
        <f t="shared" si="10"/>
        <v>100</v>
      </c>
      <c r="T40" s="1560" t="s">
        <v>8</v>
      </c>
      <c r="U40" s="1561">
        <f t="shared" si="11"/>
        <v>100</v>
      </c>
      <c r="V40" s="1560" t="s">
        <v>8</v>
      </c>
      <c r="W40" s="1561">
        <f t="shared" si="12"/>
        <v>100</v>
      </c>
      <c r="X40" s="1554"/>
      <c r="Y40" s="3453"/>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453"/>
      <c r="Q41" s="1559">
        <f t="shared" si="14"/>
        <v>111</v>
      </c>
      <c r="R41" s="1560" t="s">
        <v>8</v>
      </c>
      <c r="S41" s="1561">
        <f t="shared" si="10"/>
        <v>100</v>
      </c>
      <c r="T41" s="1560" t="s">
        <v>8</v>
      </c>
      <c r="U41" s="1561">
        <f t="shared" si="11"/>
        <v>100</v>
      </c>
      <c r="V41" s="1560" t="s">
        <v>8</v>
      </c>
      <c r="W41" s="1561">
        <f t="shared" si="12"/>
        <v>100</v>
      </c>
      <c r="X41" s="1554"/>
      <c r="Y41" s="3453"/>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453"/>
      <c r="Q42" s="1559">
        <f t="shared" si="14"/>
        <v>111</v>
      </c>
      <c r="R42" s="1564" t="s">
        <v>8</v>
      </c>
      <c r="S42" s="1565">
        <f t="shared" si="10"/>
        <v>100</v>
      </c>
      <c r="T42" s="1564" t="s">
        <v>8</v>
      </c>
      <c r="U42" s="1565">
        <f t="shared" si="11"/>
        <v>100</v>
      </c>
      <c r="V42" s="1564" t="s">
        <v>8</v>
      </c>
      <c r="W42" s="1565">
        <f t="shared" si="12"/>
        <v>100</v>
      </c>
      <c r="X42" s="1566"/>
      <c r="Y42" s="3453"/>
      <c r="Z42" s="1567">
        <f t="shared" si="13"/>
        <v>111</v>
      </c>
      <c r="AA42" s="1563">
        <f t="shared" si="3"/>
        <v>1</v>
      </c>
      <c r="AB42" s="1563">
        <f t="shared" si="4"/>
        <v>1</v>
      </c>
      <c r="AC42" s="1563">
        <f t="shared" si="5"/>
        <v>1</v>
      </c>
    </row>
    <row r="43" spans="1:29" ht="15">
      <c r="A43" s="607" t="s">
        <v>556</v>
      </c>
      <c r="B43" s="608" t="s">
        <v>2931</v>
      </c>
      <c r="C43" s="609" t="s">
        <v>1</v>
      </c>
      <c r="D43" s="610"/>
      <c r="E43" s="611"/>
      <c r="F43" s="612"/>
      <c r="G43" s="613"/>
      <c r="H43" s="614"/>
      <c r="I43" s="611"/>
      <c r="J43" s="614"/>
      <c r="K43" s="1336"/>
      <c r="L43" s="2130"/>
      <c r="M43" s="2120"/>
      <c r="N43" s="2120"/>
      <c r="O43" s="2131"/>
      <c r="P43" s="3416" t="str">
        <f>A43</f>
        <v>成交单价</v>
      </c>
      <c r="Q43" s="3416"/>
      <c r="R43" s="3417">
        <f>E43</f>
        <v>0</v>
      </c>
      <c r="S43" s="3417"/>
      <c r="T43" s="3417">
        <f>G43</f>
        <v>0</v>
      </c>
      <c r="U43" s="3417"/>
      <c r="V43" s="3417">
        <f>I43</f>
        <v>0</v>
      </c>
      <c r="W43" s="3417"/>
      <c r="X43" s="1546"/>
      <c r="Y43" s="1568"/>
      <c r="Z43" s="1546"/>
      <c r="AA43" s="1546"/>
      <c r="AB43" s="1546"/>
      <c r="AC43" s="1546"/>
    </row>
    <row r="44" spans="1:29" ht="15.75" thickBot="1">
      <c r="A44" s="615" t="s">
        <v>2689</v>
      </c>
      <c r="B44" s="616"/>
      <c r="C44" s="617" t="e">
        <f>R45</f>
        <v>#DIV/0!</v>
      </c>
      <c r="D44" s="618"/>
      <c r="E44" s="617" t="e">
        <f>R44</f>
        <v>#DIV/0!</v>
      </c>
      <c r="F44" s="619"/>
      <c r="G44" s="620" t="e">
        <f>T44</f>
        <v>#DIV/0!</v>
      </c>
      <c r="H44" s="618"/>
      <c r="I44" s="617" t="e">
        <f>V44</f>
        <v>#DIV/0!</v>
      </c>
      <c r="J44" s="618"/>
      <c r="K44" s="1337"/>
      <c r="L44" s="2130"/>
      <c r="M44" s="2120"/>
      <c r="N44" s="2120"/>
      <c r="O44" s="2131"/>
      <c r="P44" s="3416" t="str">
        <f>A44</f>
        <v>比较价格（元/平方米）</v>
      </c>
      <c r="Q44" s="3416"/>
      <c r="R44" s="3418" t="e">
        <f>ROUND(PRODUCT(R43,AA9:AA42),0)</f>
        <v>#DIV/0!</v>
      </c>
      <c r="S44" s="3418"/>
      <c r="T44" s="3418" t="e">
        <f>ROUND(PRODUCT(T43,AB9:AB42),0)</f>
        <v>#DIV/0!</v>
      </c>
      <c r="U44" s="3418"/>
      <c r="V44" s="3418" t="e">
        <f>ROUND(PRODUCT(V43,AC9:AC42),0)</f>
        <v>#DIV/0!</v>
      </c>
      <c r="W44" s="3418"/>
      <c r="X44" s="1546"/>
      <c r="Y44" s="1546"/>
      <c r="Z44" s="1546"/>
      <c r="AA44" s="1546"/>
      <c r="AB44" s="1546"/>
      <c r="AC44" s="1546"/>
    </row>
    <row r="45" spans="1:29" ht="15.75" thickBot="1">
      <c r="A45" s="621" t="s">
        <v>2932</v>
      </c>
      <c r="B45" s="622"/>
      <c r="C45" s="623" t="e">
        <f>R45</f>
        <v>#DIV/0!</v>
      </c>
      <c r="D45" s="623"/>
      <c r="E45" s="623"/>
      <c r="F45" s="623"/>
      <c r="G45" s="623"/>
      <c r="H45" s="623"/>
      <c r="I45" s="623"/>
      <c r="J45" s="623"/>
      <c r="K45" s="1338"/>
      <c r="L45" s="2130"/>
      <c r="M45" s="2120"/>
      <c r="N45" s="2120"/>
      <c r="O45" s="2131"/>
      <c r="P45" s="3413" t="str">
        <f>A45</f>
        <v>估价对象XX用房的比较价格（楼面单价，元/平方米）</v>
      </c>
      <c r="Q45" s="3414"/>
      <c r="R45" s="3415" t="e">
        <f>ROUND(AVERAGE(R44:V44),0)</f>
        <v>#DIV/0!</v>
      </c>
      <c r="S45" s="3415"/>
      <c r="T45" s="3415"/>
      <c r="U45" s="3415"/>
      <c r="V45" s="3415"/>
      <c r="W45" s="3415"/>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2290</v>
      </c>
      <c r="E52" s="631" t="s">
        <v>562</v>
      </c>
      <c r="F52" s="1937" t="s">
        <v>563</v>
      </c>
      <c r="G52" s="3460" t="s">
        <v>2282</v>
      </c>
      <c r="H52" s="3461"/>
      <c r="I52" s="1938" t="s">
        <v>1943</v>
      </c>
      <c r="J52" s="1542">
        <f>项目基本情况!F41</f>
        <v>0</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17100</v>
      </c>
      <c r="F53" s="1936" t="e">
        <f t="shared" ref="F53:F62" si="15">ROUND(B53*E53/10000,0)</f>
        <v>#DIV/0!</v>
      </c>
      <c r="G53" s="3462"/>
      <c r="H53" s="3463"/>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64" t="s">
        <v>2283</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64"/>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64"/>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64"/>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2325</v>
      </c>
      <c r="B58" s="638" t="e">
        <f t="shared" si="17"/>
        <v>#DIV/0!</v>
      </c>
      <c r="C58" s="378">
        <f t="shared" si="16"/>
        <v>0.2</v>
      </c>
      <c r="D58" s="2215">
        <v>0.25</v>
      </c>
      <c r="E58" s="641">
        <f>'数据-汇总表'!E11</f>
        <v>0</v>
      </c>
      <c r="F58" s="1936" t="e">
        <f t="shared" si="15"/>
        <v>#DIV/0!</v>
      </c>
      <c r="G58" s="1942" t="s">
        <v>2284</v>
      </c>
      <c r="H58" s="1941" t="str">
        <f>项目基本情况!C43</f>
        <v>八级</v>
      </c>
      <c r="I58" s="1939">
        <f>SUMIF(修正!$A$45:$A$56,H58,修正!F45:F56)</f>
        <v>0.2</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0.2</v>
      </c>
      <c r="D59" s="2215">
        <v>0.25</v>
      </c>
      <c r="E59" s="641">
        <f>'数据-汇总表'!E12</f>
        <v>0</v>
      </c>
      <c r="F59" s="1936" t="e">
        <f t="shared" si="15"/>
        <v>#DIV/0!</v>
      </c>
      <c r="G59" s="1932" t="s">
        <v>1677</v>
      </c>
      <c r="H59" s="1940" t="str">
        <f>IF(G59="商业",项目基本情况!B43,IF(G59="办公",项目基本情况!C43,IF(G59="住宅",项目基本情况!D43,项目基本情况!E43)))</f>
        <v>八级</v>
      </c>
      <c r="I59" s="1939">
        <f>SUMIF(修正!$A$45:$A$56,H59,修正!G45:G56)</f>
        <v>0.2</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2283</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0.15</v>
      </c>
      <c r="D62" s="2215">
        <v>0.25</v>
      </c>
      <c r="E62" s="641">
        <f>'数据-汇总表'!E15</f>
        <v>0</v>
      </c>
      <c r="F62" s="1936" t="e">
        <f t="shared" si="15"/>
        <v>#DIV/0!</v>
      </c>
      <c r="G62" s="1943" t="s">
        <v>2284</v>
      </c>
      <c r="H62" s="1944" t="str">
        <f>项目基本情况!C43</f>
        <v>八级</v>
      </c>
      <c r="I62" s="1939">
        <f>SUMIF(修正!$A$45:$A$56,H62,修正!H45:H56)</f>
        <v>0.15</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2291</v>
      </c>
      <c r="E63" s="643">
        <f>IF(B43="楼面地价",SUM(E53:E62),'数据-汇总表'!D3)</f>
        <v>5500</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640" t="str">
        <f>YEAR(C9)&amp;"-"&amp;MONTH(C9)&amp;"-1"</f>
        <v>2020-6-1</v>
      </c>
      <c r="D65" s="2639">
        <f>EDATE(C65,-3)</f>
        <v>43891</v>
      </c>
      <c r="E65" s="2639">
        <f t="shared" ref="E65:N65" si="18">EDATE(D65,-3)</f>
        <v>43800</v>
      </c>
      <c r="F65" s="2639">
        <f t="shared" si="18"/>
        <v>43709</v>
      </c>
      <c r="G65" s="2639">
        <f t="shared" si="18"/>
        <v>43617</v>
      </c>
      <c r="H65" s="2639">
        <f t="shared" si="18"/>
        <v>43525</v>
      </c>
      <c r="I65" s="2639">
        <f t="shared" si="18"/>
        <v>43435</v>
      </c>
      <c r="J65" s="2639">
        <f t="shared" si="18"/>
        <v>43344</v>
      </c>
      <c r="K65" s="2639">
        <f t="shared" si="18"/>
        <v>43252</v>
      </c>
      <c r="L65" s="2639">
        <f t="shared" si="18"/>
        <v>43160</v>
      </c>
      <c r="M65" s="2639">
        <f t="shared" si="18"/>
        <v>43070</v>
      </c>
      <c r="N65" s="2639">
        <f t="shared" si="18"/>
        <v>42979</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2530</v>
      </c>
      <c r="B67" s="646"/>
      <c r="C67" s="2636" t="str">
        <f>YEAR(C65)&amp;"-"&amp;ROUNDUP(MONTH(C65)/3,0)</f>
        <v>2020-2</v>
      </c>
      <c r="D67" s="2641" t="str">
        <f t="shared" ref="D67:N67" si="19">YEAR(D65)&amp;"-"&amp;ROUNDUP(MONTH(D65)/3,0)</f>
        <v>2020-1</v>
      </c>
      <c r="E67" s="2641" t="str">
        <f t="shared" si="19"/>
        <v>2019-4</v>
      </c>
      <c r="F67" s="2641" t="str">
        <f t="shared" si="19"/>
        <v>2019-3</v>
      </c>
      <c r="G67" s="2641" t="str">
        <f t="shared" si="19"/>
        <v>2019-2</v>
      </c>
      <c r="H67" s="2641" t="str">
        <f t="shared" si="19"/>
        <v>2019-1</v>
      </c>
      <c r="I67" s="2641" t="str">
        <f t="shared" si="19"/>
        <v>2018-4</v>
      </c>
      <c r="J67" s="2641" t="str">
        <f t="shared" si="19"/>
        <v>2018-3</v>
      </c>
      <c r="K67" s="2641" t="str">
        <f t="shared" si="19"/>
        <v>2018-2</v>
      </c>
      <c r="L67" s="2641" t="str">
        <f t="shared" si="19"/>
        <v>2018-1</v>
      </c>
      <c r="M67" s="2641" t="str">
        <f t="shared" si="19"/>
        <v>2017-4</v>
      </c>
      <c r="N67" s="2641" t="str">
        <f t="shared" si="19"/>
        <v>2017-3</v>
      </c>
      <c r="O67" s="2145"/>
      <c r="P67" s="2146"/>
      <c r="Q67" s="2147"/>
      <c r="R67" s="2147"/>
      <c r="S67" s="2147"/>
      <c r="T67" s="2147"/>
      <c r="U67" s="2147"/>
      <c r="V67" s="2147"/>
      <c r="W67" s="2147"/>
      <c r="X67" s="2147"/>
      <c r="Y67" s="2147"/>
      <c r="Z67" s="2147"/>
      <c r="AA67" s="2147"/>
      <c r="AB67" s="2147"/>
      <c r="AC67" s="2147"/>
    </row>
    <row r="68" spans="1:29" s="1216" customFormat="1" ht="27.75" customHeight="1">
      <c r="A68" s="2638" t="s">
        <v>2645</v>
      </c>
      <c r="B68" s="479" t="str">
        <f>"北京市平均增长率"&amp;TEXT(基准地价!P24,"0.00%")</f>
        <v>北京市平均增长率1.32%</v>
      </c>
      <c r="C68" s="894">
        <v>100</v>
      </c>
      <c r="D68" s="730"/>
      <c r="E68" s="730"/>
      <c r="F68" s="730"/>
      <c r="G68" s="730"/>
      <c r="H68" s="730"/>
      <c r="I68" s="730"/>
      <c r="J68" s="730"/>
      <c r="K68" s="730"/>
      <c r="L68" s="730"/>
      <c r="M68" s="2634"/>
      <c r="N68" s="2635"/>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632"/>
      <c r="D69" s="2633"/>
      <c r="E69" s="2633"/>
      <c r="F69" s="2633"/>
      <c r="G69" s="2633"/>
      <c r="H69" s="2633"/>
      <c r="I69" s="2633"/>
      <c r="J69" s="2633"/>
      <c r="K69" s="2633"/>
      <c r="L69" s="2633"/>
      <c r="M69" s="2633"/>
      <c r="N69" s="2633"/>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2545</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2547</v>
      </c>
      <c r="C95" s="2563" t="s">
        <v>2548</v>
      </c>
      <c r="D95" s="2563" t="s">
        <v>2549</v>
      </c>
      <c r="E95" s="2563" t="s">
        <v>2550</v>
      </c>
      <c r="F95" s="2563" t="s">
        <v>2551</v>
      </c>
      <c r="G95" s="2563" t="s">
        <v>2552</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2922" t="str">
        <f t="shared" si="25"/>
        <v>(含)-</v>
      </c>
      <c r="L109" s="2923" t="str">
        <f t="shared" si="25"/>
        <v>(含)-</v>
      </c>
      <c r="M109" s="2924"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2422</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30" priority="14" stopIfTrue="1" operator="containsText" text="超过">
      <formula>NOT(ISERROR(SEARCH("超过",F48)))</formula>
    </cfRule>
  </conditionalFormatting>
  <conditionalFormatting sqref="J50">
    <cfRule type="containsText" dxfId="129" priority="13" stopIfTrue="1" operator="containsText" text="超过">
      <formula>NOT(ISERROR(SEARCH("超过",J50)))</formula>
    </cfRule>
  </conditionalFormatting>
  <conditionalFormatting sqref="H50">
    <cfRule type="containsText" dxfId="128" priority="12" stopIfTrue="1" operator="containsText" text="超过">
      <formula>NOT(ISERROR(SEARCH("超过",H50)))</formula>
    </cfRule>
  </conditionalFormatting>
  <conditionalFormatting sqref="F50">
    <cfRule type="containsText" dxfId="127" priority="11" stopIfTrue="1" operator="containsText" text="超过">
      <formula>NOT(ISERROR(SEARCH("超过",F50)))</formula>
    </cfRule>
  </conditionalFormatting>
  <conditionalFormatting sqref="F49 H49 J49">
    <cfRule type="containsText" dxfId="126" priority="10" stopIfTrue="1" operator="containsText" text="超过">
      <formula>NOT(ISERROR(SEARCH("超过",F49)))</formula>
    </cfRule>
  </conditionalFormatting>
  <conditionalFormatting sqref="E48">
    <cfRule type="expression" dxfId="125" priority="9" stopIfTrue="1">
      <formula>$F$48="超过30%"</formula>
    </cfRule>
  </conditionalFormatting>
  <conditionalFormatting sqref="G50">
    <cfRule type="expression" dxfId="124" priority="8" stopIfTrue="1">
      <formula>$H$50="超过30%"</formula>
    </cfRule>
  </conditionalFormatting>
  <conditionalFormatting sqref="E50">
    <cfRule type="expression" dxfId="123" priority="6" stopIfTrue="1">
      <formula>$F$50="超过30%"</formula>
    </cfRule>
  </conditionalFormatting>
  <conditionalFormatting sqref="G48">
    <cfRule type="expression" dxfId="122" priority="5" stopIfTrue="1">
      <formula>$H$48="超过30%"</formula>
    </cfRule>
  </conditionalFormatting>
  <conditionalFormatting sqref="G49">
    <cfRule type="expression" dxfId="121" priority="4" stopIfTrue="1">
      <formula>$H$49="超过20%"</formula>
    </cfRule>
  </conditionalFormatting>
  <conditionalFormatting sqref="I48">
    <cfRule type="expression" dxfId="120" priority="3" stopIfTrue="1">
      <formula>$J$48="超过30%"</formula>
    </cfRule>
  </conditionalFormatting>
  <conditionalFormatting sqref="I49">
    <cfRule type="expression" dxfId="119" priority="2" stopIfTrue="1">
      <formula>$J$49="超过20%"</formula>
    </cfRule>
  </conditionalFormatting>
  <conditionalFormatting sqref="I50">
    <cfRule type="expression" dxfId="118" priority="1" stopIfTrue="1">
      <formula>$J$50="超过30%"</formula>
    </cfRule>
  </conditionalFormatting>
  <conditionalFormatting sqref="E49">
    <cfRule type="expression" dxfId="117"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020" t="s">
        <v>2984</v>
      </c>
      <c r="B15" s="2941">
        <f>SUM(B6:B13)</f>
        <v>375</v>
      </c>
      <c r="C15" s="2941">
        <f t="shared" ref="C15:H15" si="0">SUM(C6:C13)</f>
        <v>375</v>
      </c>
      <c r="D15" s="2941">
        <f t="shared" si="0"/>
        <v>300</v>
      </c>
      <c r="E15" s="2941">
        <f t="shared" si="0"/>
        <v>300</v>
      </c>
      <c r="F15" s="2941">
        <f t="shared" si="0"/>
        <v>300</v>
      </c>
      <c r="G15" s="2941">
        <f t="shared" si="0"/>
        <v>300</v>
      </c>
      <c r="H15" s="2941">
        <f t="shared" si="0"/>
        <v>300</v>
      </c>
      <c r="I15" s="2941">
        <f>SUM(I6:I10,I13)</f>
        <v>155</v>
      </c>
      <c r="J15" s="2941">
        <f t="shared" ref="J15:M15" si="1">SUM(J6:J10,J13)</f>
        <v>155</v>
      </c>
      <c r="K15" s="2941">
        <f t="shared" si="1"/>
        <v>155</v>
      </c>
      <c r="L15" s="2941">
        <f t="shared" si="1"/>
        <v>155</v>
      </c>
      <c r="M15" s="2941">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09" t="s">
        <v>1007</v>
      </c>
      <c r="B18" s="1150" t="s">
        <v>1446</v>
      </c>
      <c r="C18" s="1127" t="s">
        <v>1447</v>
      </c>
      <c r="D18" s="1128"/>
      <c r="E18" s="1150">
        <v>1</v>
      </c>
      <c r="F18" s="1129" t="s">
        <v>1448</v>
      </c>
      <c r="G18" s="1130"/>
      <c r="H18" s="1101"/>
      <c r="I18" s="1101"/>
    </row>
    <row r="19" spans="1:9" s="1585" customFormat="1" ht="19.5" customHeight="1">
      <c r="A19" s="3409"/>
      <c r="B19" s="3409" t="s">
        <v>1449</v>
      </c>
      <c r="C19" s="1127" t="s">
        <v>1450</v>
      </c>
      <c r="D19" s="1128"/>
      <c r="E19" s="1150">
        <v>0.9</v>
      </c>
      <c r="F19" s="1129" t="s">
        <v>1451</v>
      </c>
      <c r="G19" s="1130"/>
      <c r="H19" s="1101"/>
      <c r="I19" s="1101"/>
    </row>
    <row r="20" spans="1:9" s="1585" customFormat="1" ht="19.5" customHeight="1">
      <c r="A20" s="3409"/>
      <c r="B20" s="3409"/>
      <c r="C20" s="1127" t="s">
        <v>1452</v>
      </c>
      <c r="D20" s="1128"/>
      <c r="E20" s="1150">
        <v>1.1000000000000001</v>
      </c>
      <c r="F20" s="1129" t="s">
        <v>1453</v>
      </c>
      <c r="G20" s="1130"/>
      <c r="H20" s="1101"/>
      <c r="I20" s="1101"/>
    </row>
    <row r="21" spans="1:9" s="1585" customFormat="1" ht="19.5" customHeight="1">
      <c r="A21" s="3409"/>
      <c r="B21" s="3409"/>
      <c r="C21" s="1127" t="s">
        <v>1454</v>
      </c>
      <c r="D21" s="1128"/>
      <c r="E21" s="1150">
        <v>0.8</v>
      </c>
      <c r="F21" s="1129" t="s">
        <v>1455</v>
      </c>
      <c r="G21" s="1130"/>
      <c r="H21" s="1101"/>
      <c r="I21" s="1101"/>
    </row>
    <row r="22" spans="1:9" s="1585" customFormat="1" ht="19.5" customHeight="1">
      <c r="A22" s="3409"/>
      <c r="B22" s="3409"/>
      <c r="C22" s="1127" t="s">
        <v>1456</v>
      </c>
      <c r="D22" s="1128"/>
      <c r="E22" s="1150">
        <v>0.5</v>
      </c>
      <c r="F22" s="1129"/>
      <c r="G22" s="1130"/>
      <c r="H22" s="1101"/>
      <c r="I22" s="1101"/>
    </row>
    <row r="23" spans="1:9" s="1585" customFormat="1" ht="19.5" customHeight="1">
      <c r="A23" s="3409" t="s">
        <v>1029</v>
      </c>
      <c r="B23" s="1150" t="s">
        <v>1446</v>
      </c>
      <c r="C23" s="1127" t="s">
        <v>1457</v>
      </c>
      <c r="D23" s="1128"/>
      <c r="E23" s="1150">
        <v>1</v>
      </c>
      <c r="F23" s="1129" t="s">
        <v>1458</v>
      </c>
      <c r="G23" s="1130"/>
      <c r="H23" s="1101"/>
      <c r="I23" s="1101"/>
    </row>
    <row r="24" spans="1:9" s="1585" customFormat="1" ht="19.5" customHeight="1">
      <c r="A24" s="3409"/>
      <c r="B24" s="3409" t="s">
        <v>1449</v>
      </c>
      <c r="C24" s="1127" t="s">
        <v>1459</v>
      </c>
      <c r="D24" s="1128"/>
      <c r="E24" s="1150">
        <v>0.5</v>
      </c>
      <c r="F24" s="1129"/>
      <c r="G24" s="1130"/>
      <c r="H24" s="1101"/>
      <c r="I24" s="1101"/>
    </row>
    <row r="25" spans="1:9" s="1585" customFormat="1" ht="19.5" customHeight="1">
      <c r="A25" s="3409"/>
      <c r="B25" s="3409"/>
      <c r="C25" s="1127" t="s">
        <v>1460</v>
      </c>
      <c r="D25" s="1128"/>
      <c r="E25" s="1150">
        <v>1.1000000000000001</v>
      </c>
      <c r="F25" s="1129"/>
      <c r="G25" s="1130"/>
      <c r="H25" s="1101"/>
      <c r="I25" s="1101"/>
    </row>
    <row r="26" spans="1:9" s="1585" customFormat="1" ht="19.5" customHeight="1">
      <c r="A26" s="3409"/>
      <c r="B26" s="3409"/>
      <c r="C26" s="1127" t="s">
        <v>1461</v>
      </c>
      <c r="D26" s="1128"/>
      <c r="E26" s="1150">
        <v>1.1000000000000001</v>
      </c>
      <c r="F26" s="1129"/>
      <c r="G26" s="1130"/>
      <c r="H26" s="1101"/>
      <c r="I26" s="1101"/>
    </row>
    <row r="27" spans="1:9" s="1585" customFormat="1" ht="19.5" customHeight="1">
      <c r="A27" s="3409"/>
      <c r="B27" s="3409"/>
      <c r="C27" s="1127" t="s">
        <v>1462</v>
      </c>
      <c r="D27" s="1128"/>
      <c r="E27" s="1150">
        <v>0.9</v>
      </c>
      <c r="F27" s="1129" t="s">
        <v>1463</v>
      </c>
      <c r="G27" s="1130"/>
      <c r="H27" s="1101"/>
      <c r="I27" s="1101"/>
    </row>
    <row r="28" spans="1:9" s="1585" customFormat="1" ht="19.5" customHeight="1">
      <c r="A28" s="3409"/>
      <c r="B28" s="3409"/>
      <c r="C28" s="1127" t="s">
        <v>1464</v>
      </c>
      <c r="D28" s="1128"/>
      <c r="E28" s="1150">
        <v>0.9</v>
      </c>
      <c r="F28" s="1129" t="s">
        <v>1465</v>
      </c>
      <c r="G28" s="1130"/>
      <c r="H28" s="1101"/>
      <c r="I28" s="1101"/>
    </row>
    <row r="29" spans="1:9" s="1585" customFormat="1" ht="19.5" customHeight="1">
      <c r="A29" s="3409"/>
      <c r="B29" s="3409"/>
      <c r="C29" s="1127" t="s">
        <v>1466</v>
      </c>
      <c r="D29" s="1128"/>
      <c r="E29" s="1150">
        <v>0.9</v>
      </c>
      <c r="F29" s="1129" t="s">
        <v>1467</v>
      </c>
      <c r="G29" s="1130"/>
      <c r="H29" s="1101"/>
      <c r="I29" s="1101"/>
    </row>
    <row r="30" spans="1:9" s="1585" customFormat="1" ht="19.5" customHeight="1">
      <c r="A30" s="3409"/>
      <c r="B30" s="3409"/>
      <c r="C30" s="1127" t="s">
        <v>1468</v>
      </c>
      <c r="D30" s="1128"/>
      <c r="E30" s="1150">
        <v>0.9</v>
      </c>
      <c r="F30" s="1129" t="s">
        <v>1469</v>
      </c>
      <c r="G30" s="1130"/>
      <c r="H30" s="1101"/>
      <c r="I30" s="1101"/>
    </row>
    <row r="31" spans="1:9" s="1585" customFormat="1" ht="19.5" customHeight="1">
      <c r="A31" s="3409"/>
      <c r="B31" s="3409"/>
      <c r="C31" s="1127" t="s">
        <v>1470</v>
      </c>
      <c r="D31" s="1128"/>
      <c r="E31" s="1150">
        <v>0.8</v>
      </c>
      <c r="F31" s="1129" t="s">
        <v>1471</v>
      </c>
      <c r="G31" s="1130"/>
      <c r="H31" s="1101"/>
      <c r="I31" s="1101"/>
    </row>
    <row r="32" spans="1:9" s="1585" customFormat="1" ht="19.5" customHeight="1">
      <c r="A32" s="3409"/>
      <c r="B32" s="3409"/>
      <c r="C32" s="1127" t="s">
        <v>1472</v>
      </c>
      <c r="D32" s="1128"/>
      <c r="E32" s="1150">
        <v>0.8</v>
      </c>
      <c r="F32" s="1129" t="s">
        <v>1473</v>
      </c>
      <c r="G32" s="1130"/>
      <c r="H32" s="1101"/>
      <c r="I32" s="1101"/>
    </row>
    <row r="33" spans="1:9" s="1585" customFormat="1" ht="19.5" customHeight="1">
      <c r="A33" s="3409" t="s">
        <v>1474</v>
      </c>
      <c r="B33" s="1150" t="s">
        <v>1446</v>
      </c>
      <c r="C33" s="1127" t="s">
        <v>1475</v>
      </c>
      <c r="D33" s="1128"/>
      <c r="E33" s="1150">
        <v>1</v>
      </c>
      <c r="F33" s="1129" t="s">
        <v>1476</v>
      </c>
      <c r="G33" s="1130"/>
      <c r="H33" s="1101"/>
      <c r="I33" s="1101"/>
    </row>
    <row r="34" spans="1:9" s="1585" customFormat="1" ht="19.5" customHeight="1">
      <c r="A34" s="3409"/>
      <c r="B34" s="1150" t="s">
        <v>1449</v>
      </c>
      <c r="C34" s="1127" t="s">
        <v>1477</v>
      </c>
      <c r="D34" s="1128"/>
      <c r="E34" s="1150">
        <v>1.5</v>
      </c>
      <c r="F34" s="1129" t="s">
        <v>1478</v>
      </c>
      <c r="G34" s="1130"/>
      <c r="H34" s="1101"/>
      <c r="I34" s="1101"/>
    </row>
    <row r="35" spans="1:9" s="1585" customFormat="1" ht="19.5" customHeight="1">
      <c r="A35" s="3409" t="s">
        <v>1432</v>
      </c>
      <c r="B35" s="1150" t="s">
        <v>1446</v>
      </c>
      <c r="C35" s="1127" t="s">
        <v>1479</v>
      </c>
      <c r="D35" s="1128"/>
      <c r="E35" s="1150">
        <v>1</v>
      </c>
      <c r="F35" s="1129" t="s">
        <v>1480</v>
      </c>
      <c r="G35" s="1130"/>
      <c r="H35" s="1101"/>
      <c r="I35" s="1101"/>
    </row>
    <row r="36" spans="1:9" s="1585" customFormat="1" ht="19.5" customHeight="1">
      <c r="A36" s="3409"/>
      <c r="B36" s="3409" t="s">
        <v>1449</v>
      </c>
      <c r="C36" s="1127" t="s">
        <v>1481</v>
      </c>
      <c r="D36" s="1128"/>
      <c r="E36" s="1150">
        <v>1</v>
      </c>
      <c r="F36" s="1129" t="s">
        <v>1482</v>
      </c>
      <c r="G36" s="1130"/>
      <c r="H36" s="1101"/>
      <c r="I36" s="1101"/>
    </row>
    <row r="37" spans="1:9" s="1585" customFormat="1" ht="19.5" customHeight="1">
      <c r="A37" s="3409"/>
      <c r="B37" s="3409"/>
      <c r="C37" s="1127" t="s">
        <v>1483</v>
      </c>
      <c r="D37" s="1128"/>
      <c r="E37" s="1150">
        <v>1.5</v>
      </c>
      <c r="F37" s="1129" t="s">
        <v>1484</v>
      </c>
      <c r="G37" s="1130"/>
      <c r="H37" s="1101"/>
      <c r="I37" s="1101"/>
    </row>
    <row r="38" spans="1:9" s="1585" customFormat="1" ht="19.5" customHeight="1">
      <c r="A38" s="3409"/>
      <c r="B38" s="3409"/>
      <c r="C38" s="1127" t="s">
        <v>1485</v>
      </c>
      <c r="D38" s="1128"/>
      <c r="E38" s="1150">
        <v>1</v>
      </c>
      <c r="F38" s="1129" t="s">
        <v>1486</v>
      </c>
      <c r="G38" s="1130"/>
      <c r="H38" s="1101"/>
      <c r="I38" s="1101"/>
    </row>
    <row r="39" spans="1:9" s="1585" customFormat="1" ht="19.5" customHeight="1">
      <c r="A39" s="3409"/>
      <c r="B39" s="3409"/>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09" t="s">
        <v>1501</v>
      </c>
      <c r="C61" s="1064" t="s">
        <v>1502</v>
      </c>
      <c r="D61" s="1064" t="s">
        <v>1503</v>
      </c>
      <c r="E61" s="1135">
        <v>0.5</v>
      </c>
      <c r="F61" s="1150">
        <v>80</v>
      </c>
      <c r="H61" s="1101">
        <f>SUMIF(C59:C119,基准地价!C8,E59:E119)</f>
        <v>0</v>
      </c>
    </row>
    <row r="62" spans="1:8" s="1101" customFormat="1" ht="24">
      <c r="A62" s="1150">
        <v>2</v>
      </c>
      <c r="B62" s="3409"/>
      <c r="C62" s="1064" t="s">
        <v>1504</v>
      </c>
      <c r="D62" s="1064" t="s">
        <v>1505</v>
      </c>
      <c r="E62" s="1135">
        <v>0.5</v>
      </c>
      <c r="F62" s="1150">
        <v>80</v>
      </c>
    </row>
    <row r="63" spans="1:8" s="1101" customFormat="1" ht="36">
      <c r="A63" s="1150">
        <v>3</v>
      </c>
      <c r="B63" s="3409"/>
      <c r="C63" s="1064" t="s">
        <v>1506</v>
      </c>
      <c r="D63" s="1064" t="s">
        <v>1507</v>
      </c>
      <c r="E63" s="1135">
        <v>0.5</v>
      </c>
      <c r="F63" s="1150">
        <v>80</v>
      </c>
    </row>
    <row r="64" spans="1:8" s="1101" customFormat="1" ht="36">
      <c r="A64" s="1150">
        <v>4</v>
      </c>
      <c r="B64" s="3409"/>
      <c r="C64" s="1064" t="s">
        <v>1508</v>
      </c>
      <c r="D64" s="1064" t="s">
        <v>1509</v>
      </c>
      <c r="E64" s="1135">
        <v>0.4</v>
      </c>
      <c r="F64" s="1150">
        <v>60</v>
      </c>
    </row>
    <row r="65" spans="1:6" s="1101" customFormat="1" ht="36">
      <c r="A65" s="1150">
        <v>5</v>
      </c>
      <c r="B65" s="3409"/>
      <c r="C65" s="1064" t="s">
        <v>1510</v>
      </c>
      <c r="D65" s="1064" t="s">
        <v>1511</v>
      </c>
      <c r="E65" s="1135">
        <v>0.2</v>
      </c>
      <c r="F65" s="1150">
        <v>30</v>
      </c>
    </row>
    <row r="66" spans="1:6" s="1101" customFormat="1" ht="36">
      <c r="A66" s="1150">
        <v>6</v>
      </c>
      <c r="B66" s="3409"/>
      <c r="C66" s="1064" t="s">
        <v>1512</v>
      </c>
      <c r="D66" s="1064" t="s">
        <v>1513</v>
      </c>
      <c r="E66" s="1135">
        <v>0.3</v>
      </c>
      <c r="F66" s="1150">
        <v>50</v>
      </c>
    </row>
    <row r="67" spans="1:6" s="1101" customFormat="1" ht="36">
      <c r="A67" s="1150">
        <v>7</v>
      </c>
      <c r="B67" s="3409"/>
      <c r="C67" s="1064" t="s">
        <v>1514</v>
      </c>
      <c r="D67" s="1064" t="s">
        <v>1515</v>
      </c>
      <c r="E67" s="1135">
        <v>0.2</v>
      </c>
      <c r="F67" s="1150">
        <v>30</v>
      </c>
    </row>
    <row r="68" spans="1:6" s="1101" customFormat="1" ht="36">
      <c r="A68" s="1150">
        <v>8</v>
      </c>
      <c r="B68" s="3409"/>
      <c r="C68" s="1064" t="s">
        <v>1516</v>
      </c>
      <c r="D68" s="1064" t="s">
        <v>1517</v>
      </c>
      <c r="E68" s="1135">
        <v>0.2</v>
      </c>
      <c r="F68" s="1150">
        <v>30</v>
      </c>
    </row>
    <row r="69" spans="1:6" s="1101" customFormat="1" ht="36">
      <c r="A69" s="1150">
        <v>9</v>
      </c>
      <c r="B69" s="3409"/>
      <c r="C69" s="1064" t="s">
        <v>1518</v>
      </c>
      <c r="D69" s="1064" t="s">
        <v>1519</v>
      </c>
      <c r="E69" s="1135">
        <v>0.2</v>
      </c>
      <c r="F69" s="1150">
        <v>30</v>
      </c>
    </row>
    <row r="70" spans="1:6" s="1101" customFormat="1" ht="48">
      <c r="A70" s="1150">
        <v>10</v>
      </c>
      <c r="B70" s="3409"/>
      <c r="C70" s="1064" t="s">
        <v>1520</v>
      </c>
      <c r="D70" s="1064" t="s">
        <v>1521</v>
      </c>
      <c r="E70" s="1135">
        <v>0.2</v>
      </c>
      <c r="F70" s="1150">
        <v>30</v>
      </c>
    </row>
    <row r="71" spans="1:6" s="1101" customFormat="1" ht="48">
      <c r="A71" s="1150">
        <v>11</v>
      </c>
      <c r="B71" s="3409"/>
      <c r="C71" s="1064" t="s">
        <v>1522</v>
      </c>
      <c r="D71" s="1064" t="s">
        <v>1523</v>
      </c>
      <c r="E71" s="1135">
        <v>0.2</v>
      </c>
      <c r="F71" s="1150">
        <v>30</v>
      </c>
    </row>
    <row r="72" spans="1:6" s="1101" customFormat="1" ht="36">
      <c r="A72" s="1150">
        <v>12</v>
      </c>
      <c r="B72" s="3409"/>
      <c r="C72" s="1064" t="s">
        <v>1524</v>
      </c>
      <c r="D72" s="1064" t="s">
        <v>1525</v>
      </c>
      <c r="E72" s="1135">
        <v>0.5</v>
      </c>
      <c r="F72" s="1150">
        <v>80</v>
      </c>
    </row>
    <row r="73" spans="1:6" s="1101" customFormat="1" ht="24">
      <c r="A73" s="1150">
        <v>13</v>
      </c>
      <c r="B73" s="3409"/>
      <c r="C73" s="1064" t="s">
        <v>1526</v>
      </c>
      <c r="D73" s="1064" t="s">
        <v>1527</v>
      </c>
      <c r="E73" s="1135">
        <v>0.4</v>
      </c>
      <c r="F73" s="1150">
        <v>60</v>
      </c>
    </row>
    <row r="74" spans="1:6" s="1101" customFormat="1" ht="24">
      <c r="A74" s="1150">
        <v>14</v>
      </c>
      <c r="B74" s="3409"/>
      <c r="C74" s="1064" t="s">
        <v>1528</v>
      </c>
      <c r="D74" s="1064" t="s">
        <v>1529</v>
      </c>
      <c r="E74" s="1135">
        <v>0.2</v>
      </c>
      <c r="F74" s="1150">
        <v>30</v>
      </c>
    </row>
    <row r="75" spans="1:6" s="1101" customFormat="1" ht="24">
      <c r="A75" s="1150">
        <v>15</v>
      </c>
      <c r="B75" s="3409"/>
      <c r="C75" s="1064" t="s">
        <v>1530</v>
      </c>
      <c r="D75" s="1064" t="s">
        <v>1531</v>
      </c>
      <c r="E75" s="1135">
        <v>0.2</v>
      </c>
      <c r="F75" s="1150">
        <v>30</v>
      </c>
    </row>
    <row r="76" spans="1:6" s="1101" customFormat="1" ht="24">
      <c r="A76" s="1150">
        <v>16</v>
      </c>
      <c r="B76" s="3409" t="s">
        <v>1532</v>
      </c>
      <c r="C76" s="1064" t="s">
        <v>1533</v>
      </c>
      <c r="D76" s="1064" t="s">
        <v>1534</v>
      </c>
      <c r="E76" s="1135">
        <v>0.5</v>
      </c>
      <c r="F76" s="1150">
        <v>80</v>
      </c>
    </row>
    <row r="77" spans="1:6" s="1101" customFormat="1" ht="24">
      <c r="A77" s="1150">
        <v>17</v>
      </c>
      <c r="B77" s="3409"/>
      <c r="C77" s="1064" t="s">
        <v>1535</v>
      </c>
      <c r="D77" s="1064" t="s">
        <v>1536</v>
      </c>
      <c r="E77" s="1135">
        <v>0.5</v>
      </c>
      <c r="F77" s="1150">
        <v>80</v>
      </c>
    </row>
    <row r="78" spans="1:6" s="1101" customFormat="1" ht="24">
      <c r="A78" s="1150">
        <v>18</v>
      </c>
      <c r="B78" s="3409"/>
      <c r="C78" s="1064" t="s">
        <v>1537</v>
      </c>
      <c r="D78" s="1064" t="s">
        <v>1538</v>
      </c>
      <c r="E78" s="1135">
        <v>0.2</v>
      </c>
      <c r="F78" s="1150">
        <v>30</v>
      </c>
    </row>
    <row r="79" spans="1:6" s="1101" customFormat="1" ht="24">
      <c r="A79" s="1150">
        <v>19</v>
      </c>
      <c r="B79" s="3409"/>
      <c r="C79" s="1064" t="s">
        <v>1539</v>
      </c>
      <c r="D79" s="1064" t="s">
        <v>1540</v>
      </c>
      <c r="E79" s="1135">
        <v>0.5</v>
      </c>
      <c r="F79" s="1150">
        <v>80</v>
      </c>
    </row>
    <row r="80" spans="1:6" s="1101" customFormat="1" ht="36">
      <c r="A80" s="1150">
        <v>20</v>
      </c>
      <c r="B80" s="3409"/>
      <c r="C80" s="1064" t="s">
        <v>1541</v>
      </c>
      <c r="D80" s="1064" t="s">
        <v>1542</v>
      </c>
      <c r="E80" s="1135">
        <v>0.2</v>
      </c>
      <c r="F80" s="1150">
        <v>30</v>
      </c>
    </row>
    <row r="81" spans="1:6" s="1101" customFormat="1" ht="36">
      <c r="A81" s="1150">
        <v>21</v>
      </c>
      <c r="B81" s="3409"/>
      <c r="C81" s="1064" t="s">
        <v>1543</v>
      </c>
      <c r="D81" s="1064" t="s">
        <v>1544</v>
      </c>
      <c r="E81" s="1135">
        <v>0.2</v>
      </c>
      <c r="F81" s="1150">
        <v>30</v>
      </c>
    </row>
    <row r="82" spans="1:6" s="1101" customFormat="1" ht="48">
      <c r="A82" s="1150">
        <v>22</v>
      </c>
      <c r="B82" s="3409"/>
      <c r="C82" s="1064" t="s">
        <v>1545</v>
      </c>
      <c r="D82" s="1064" t="s">
        <v>1546</v>
      </c>
      <c r="E82" s="1135">
        <v>0.2</v>
      </c>
      <c r="F82" s="1150">
        <v>30</v>
      </c>
    </row>
    <row r="83" spans="1:6" s="1101" customFormat="1" ht="48">
      <c r="A83" s="1150">
        <v>23</v>
      </c>
      <c r="B83" s="3409"/>
      <c r="C83" s="1064" t="s">
        <v>1547</v>
      </c>
      <c r="D83" s="1064" t="s">
        <v>1548</v>
      </c>
      <c r="E83" s="1135">
        <v>0.2</v>
      </c>
      <c r="F83" s="1150">
        <v>30</v>
      </c>
    </row>
    <row r="84" spans="1:6" s="1101" customFormat="1" ht="36">
      <c r="A84" s="1150">
        <v>24</v>
      </c>
      <c r="B84" s="3409"/>
      <c r="C84" s="1064" t="s">
        <v>1549</v>
      </c>
      <c r="D84" s="1064" t="s">
        <v>1550</v>
      </c>
      <c r="E84" s="1135">
        <v>0.2</v>
      </c>
      <c r="F84" s="1150">
        <v>30</v>
      </c>
    </row>
    <row r="85" spans="1:6" s="1101" customFormat="1" ht="36">
      <c r="A85" s="1150">
        <v>25</v>
      </c>
      <c r="B85" s="3409"/>
      <c r="C85" s="1064" t="s">
        <v>1551</v>
      </c>
      <c r="D85" s="1064" t="s">
        <v>1552</v>
      </c>
      <c r="E85" s="1135">
        <v>0.5</v>
      </c>
      <c r="F85" s="1150">
        <v>80</v>
      </c>
    </row>
    <row r="86" spans="1:6" s="1101" customFormat="1" ht="36">
      <c r="A86" s="1150">
        <v>26</v>
      </c>
      <c r="B86" s="3409"/>
      <c r="C86" s="1064" t="s">
        <v>1553</v>
      </c>
      <c r="D86" s="1064" t="s">
        <v>1554</v>
      </c>
      <c r="E86" s="1135">
        <v>0.2</v>
      </c>
      <c r="F86" s="1150">
        <v>30</v>
      </c>
    </row>
    <row r="87" spans="1:6" s="1101" customFormat="1" ht="36">
      <c r="A87" s="1150">
        <v>27</v>
      </c>
      <c r="B87" s="3409"/>
      <c r="C87" s="1064" t="s">
        <v>1555</v>
      </c>
      <c r="D87" s="1064" t="s">
        <v>1556</v>
      </c>
      <c r="E87" s="1135">
        <v>0.2</v>
      </c>
      <c r="F87" s="1150">
        <v>30</v>
      </c>
    </row>
    <row r="88" spans="1:6" s="1101" customFormat="1" ht="36">
      <c r="A88" s="1150">
        <v>28</v>
      </c>
      <c r="B88" s="3409"/>
      <c r="C88" s="1064" t="s">
        <v>1557</v>
      </c>
      <c r="D88" s="1064" t="s">
        <v>1558</v>
      </c>
      <c r="E88" s="1135">
        <v>0.2</v>
      </c>
      <c r="F88" s="1150">
        <v>30</v>
      </c>
    </row>
    <row r="89" spans="1:6" s="1101" customFormat="1" ht="24">
      <c r="A89" s="1150">
        <v>29</v>
      </c>
      <c r="B89" s="3409"/>
      <c r="C89" s="1064" t="s">
        <v>1559</v>
      </c>
      <c r="D89" s="1064" t="s">
        <v>1560</v>
      </c>
      <c r="E89" s="1135">
        <v>0.2</v>
      </c>
      <c r="F89" s="1150">
        <v>30</v>
      </c>
    </row>
    <row r="90" spans="1:6" s="1101" customFormat="1" ht="24">
      <c r="A90" s="1150">
        <v>30</v>
      </c>
      <c r="B90" s="3409"/>
      <c r="C90" s="1064" t="s">
        <v>1561</v>
      </c>
      <c r="D90" s="1064" t="s">
        <v>1562</v>
      </c>
      <c r="E90" s="1135">
        <v>0.2</v>
      </c>
      <c r="F90" s="1150">
        <v>30</v>
      </c>
    </row>
    <row r="91" spans="1:6" s="1101" customFormat="1" ht="36">
      <c r="A91" s="1150">
        <v>31</v>
      </c>
      <c r="B91" s="3409"/>
      <c r="C91" s="1064" t="s">
        <v>1563</v>
      </c>
      <c r="D91" s="1064" t="s">
        <v>1564</v>
      </c>
      <c r="E91" s="1135">
        <v>0.2</v>
      </c>
      <c r="F91" s="1150">
        <v>30</v>
      </c>
    </row>
    <row r="92" spans="1:6" s="1101" customFormat="1" ht="24">
      <c r="A92" s="1150">
        <v>32</v>
      </c>
      <c r="B92" s="3409" t="s">
        <v>1565</v>
      </c>
      <c r="C92" s="1150" t="s">
        <v>1566</v>
      </c>
      <c r="D92" s="1064" t="s">
        <v>1567</v>
      </c>
      <c r="E92" s="1135">
        <v>0.2</v>
      </c>
      <c r="F92" s="1150">
        <v>30</v>
      </c>
    </row>
    <row r="93" spans="1:6" s="1101" customFormat="1" ht="36">
      <c r="A93" s="1150">
        <v>33</v>
      </c>
      <c r="B93" s="3409"/>
      <c r="C93" s="1150" t="s">
        <v>1568</v>
      </c>
      <c r="D93" s="1064" t="s">
        <v>1569</v>
      </c>
      <c r="E93" s="1135">
        <v>0.2</v>
      </c>
      <c r="F93" s="1150">
        <v>30</v>
      </c>
    </row>
    <row r="94" spans="1:6" s="1101" customFormat="1" ht="48">
      <c r="A94" s="1150">
        <v>34</v>
      </c>
      <c r="B94" s="3409"/>
      <c r="C94" s="1150" t="s">
        <v>1570</v>
      </c>
      <c r="D94" s="1064" t="s">
        <v>1571</v>
      </c>
      <c r="E94" s="1135">
        <v>0.2</v>
      </c>
      <c r="F94" s="1150">
        <v>30</v>
      </c>
    </row>
    <row r="95" spans="1:6" s="1101" customFormat="1" ht="36">
      <c r="A95" s="1150">
        <v>35</v>
      </c>
      <c r="B95" s="3409"/>
      <c r="C95" s="1150" t="s">
        <v>1572</v>
      </c>
      <c r="D95" s="1064" t="s">
        <v>1573</v>
      </c>
      <c r="E95" s="1135">
        <v>0.2</v>
      </c>
      <c r="F95" s="1150">
        <v>30</v>
      </c>
    </row>
    <row r="96" spans="1:6" s="1101" customFormat="1" ht="48">
      <c r="A96" s="1150">
        <v>36</v>
      </c>
      <c r="B96" s="3409"/>
      <c r="C96" s="1064" t="s">
        <v>1574</v>
      </c>
      <c r="D96" s="1064" t="s">
        <v>1575</v>
      </c>
      <c r="E96" s="1135">
        <v>0.2</v>
      </c>
      <c r="F96" s="1150">
        <v>30</v>
      </c>
    </row>
    <row r="97" spans="1:6" s="1101" customFormat="1" ht="36">
      <c r="A97" s="1150">
        <v>37</v>
      </c>
      <c r="B97" s="3409"/>
      <c r="C97" s="1150" t="s">
        <v>1576</v>
      </c>
      <c r="D97" s="1064" t="s">
        <v>1577</v>
      </c>
      <c r="E97" s="1135">
        <v>0.2</v>
      </c>
      <c r="F97" s="1150">
        <v>30</v>
      </c>
    </row>
    <row r="98" spans="1:6" s="1101" customFormat="1" ht="36">
      <c r="A98" s="1150">
        <v>38</v>
      </c>
      <c r="B98" s="3409"/>
      <c r="C98" s="1150" t="s">
        <v>1578</v>
      </c>
      <c r="D98" s="1064" t="s">
        <v>1579</v>
      </c>
      <c r="E98" s="1135">
        <v>0.2</v>
      </c>
      <c r="F98" s="1150">
        <v>30</v>
      </c>
    </row>
    <row r="99" spans="1:6" s="1101" customFormat="1" ht="36">
      <c r="A99" s="1150">
        <v>39</v>
      </c>
      <c r="B99" s="3409" t="s">
        <v>1580</v>
      </c>
      <c r="C99" s="1150" t="s">
        <v>1581</v>
      </c>
      <c r="D99" s="1064" t="s">
        <v>1582</v>
      </c>
      <c r="E99" s="1135">
        <v>0.3</v>
      </c>
      <c r="F99" s="1150">
        <v>50</v>
      </c>
    </row>
    <row r="100" spans="1:6" s="1101" customFormat="1" ht="24">
      <c r="A100" s="1150">
        <v>40</v>
      </c>
      <c r="B100" s="3409"/>
      <c r="C100" s="1150" t="s">
        <v>1583</v>
      </c>
      <c r="D100" s="1064" t="s">
        <v>1584</v>
      </c>
      <c r="E100" s="1135">
        <v>0.2</v>
      </c>
      <c r="F100" s="1150">
        <v>30</v>
      </c>
    </row>
    <row r="101" spans="1:6" s="1101" customFormat="1" ht="36">
      <c r="A101" s="1150">
        <v>41</v>
      </c>
      <c r="B101" s="3409"/>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09" t="s">
        <v>1595</v>
      </c>
      <c r="C105" s="1150" t="s">
        <v>1596</v>
      </c>
      <c r="D105" s="1064" t="s">
        <v>1597</v>
      </c>
      <c r="E105" s="1135">
        <v>0.2</v>
      </c>
      <c r="F105" s="1150">
        <v>30</v>
      </c>
    </row>
    <row r="106" spans="1:6" s="1101" customFormat="1" ht="36">
      <c r="A106" s="1150">
        <v>46</v>
      </c>
      <c r="B106" s="3409"/>
      <c r="C106" s="1150" t="s">
        <v>1598</v>
      </c>
      <c r="D106" s="1064" t="s">
        <v>1599</v>
      </c>
      <c r="E106" s="1135">
        <v>0.2</v>
      </c>
      <c r="F106" s="1150">
        <v>30</v>
      </c>
    </row>
    <row r="107" spans="1:6" s="1101" customFormat="1" ht="36">
      <c r="A107" s="1150">
        <v>47</v>
      </c>
      <c r="B107" s="3409" t="s">
        <v>1600</v>
      </c>
      <c r="C107" s="1150" t="s">
        <v>1601</v>
      </c>
      <c r="D107" s="1064" t="s">
        <v>1602</v>
      </c>
      <c r="E107" s="1135">
        <v>0.3</v>
      </c>
      <c r="F107" s="1150">
        <v>50</v>
      </c>
    </row>
    <row r="108" spans="1:6" s="1101" customFormat="1" ht="36">
      <c r="A108" s="1150">
        <v>48</v>
      </c>
      <c r="B108" s="3409"/>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09" t="s">
        <v>1611</v>
      </c>
      <c r="C111" s="1150" t="s">
        <v>1612</v>
      </c>
      <c r="D111" s="1064" t="s">
        <v>1613</v>
      </c>
      <c r="E111" s="1135">
        <v>0.2</v>
      </c>
      <c r="F111" s="1150">
        <v>30</v>
      </c>
    </row>
    <row r="112" spans="1:6" s="1101" customFormat="1" ht="24">
      <c r="A112" s="1150">
        <v>52</v>
      </c>
      <c r="B112" s="3409"/>
      <c r="C112" s="1150" t="s">
        <v>1614</v>
      </c>
      <c r="D112" s="1064" t="s">
        <v>1615</v>
      </c>
      <c r="E112" s="1135">
        <v>0.2</v>
      </c>
      <c r="F112" s="1150">
        <v>30</v>
      </c>
    </row>
    <row r="113" spans="1:14" s="1101" customFormat="1" ht="24">
      <c r="A113" s="1150">
        <v>53</v>
      </c>
      <c r="B113" s="3409"/>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09" t="s">
        <v>1624</v>
      </c>
      <c r="C116" s="1150" t="s">
        <v>1625</v>
      </c>
      <c r="D116" s="1064" t="s">
        <v>1626</v>
      </c>
      <c r="E116" s="1135">
        <v>0.2</v>
      </c>
      <c r="F116" s="1150">
        <v>30</v>
      </c>
    </row>
    <row r="117" spans="1:14" ht="36">
      <c r="A117" s="1150">
        <v>57</v>
      </c>
      <c r="B117" s="3409"/>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08" t="s">
        <v>1633</v>
      </c>
      <c r="B121" s="3408"/>
      <c r="C121" s="3408"/>
      <c r="D121" s="3408"/>
      <c r="E121" s="3408"/>
      <c r="F121" s="3408"/>
      <c r="G121" s="3408"/>
      <c r="H121" s="3408"/>
      <c r="I121" s="3408"/>
      <c r="J121" s="3408"/>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65" t="s">
        <v>1039</v>
      </c>
      <c r="B1" s="3465"/>
      <c r="C1" s="3465"/>
      <c r="D1" s="3465"/>
      <c r="E1" s="3465"/>
      <c r="F1" s="3465"/>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66" t="s">
        <v>1052</v>
      </c>
      <c r="B2" s="3466"/>
      <c r="C2" s="3466"/>
      <c r="D2" s="3466"/>
      <c r="E2" s="3466"/>
      <c r="F2" s="3466"/>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67"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68"/>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5250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2419</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2420</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0.85970000000000002</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6" customWidth="1"/>
    <col min="2" max="2" width="10.25" style="1867" customWidth="1"/>
  </cols>
  <sheetData>
    <row r="1" spans="1:6">
      <c r="A1" s="3469" t="s">
        <v>2077</v>
      </c>
      <c r="B1" s="3469"/>
    </row>
    <row r="2" spans="1:6" ht="14.25" thickBot="1">
      <c r="A2" s="1837"/>
      <c r="B2" s="1837"/>
    </row>
    <row r="3" spans="1:6" ht="14.25" thickBot="1">
      <c r="A3" s="1837"/>
      <c r="B3" s="1837"/>
      <c r="C3" s="1838" t="s">
        <v>2078</v>
      </c>
      <c r="D3" s="1838" t="s">
        <v>2079</v>
      </c>
      <c r="E3" s="1838" t="s">
        <v>2080</v>
      </c>
      <c r="F3" s="1838" t="s">
        <v>2081</v>
      </c>
    </row>
    <row r="4" spans="1:6" ht="14.25" thickBot="1">
      <c r="A4" s="1839" t="s">
        <v>2082</v>
      </c>
      <c r="B4" s="1840" t="s">
        <v>2083</v>
      </c>
      <c r="C4" s="1838"/>
      <c r="D4" s="1838"/>
      <c r="E4" s="1838"/>
      <c r="F4" s="1838"/>
    </row>
    <row r="5" spans="1:6" ht="14.25" thickBot="1">
      <c r="A5" s="1841" t="s">
        <v>2084</v>
      </c>
      <c r="B5" s="1842" t="s">
        <v>2085</v>
      </c>
      <c r="C5" s="1843">
        <v>8.8999999999999996E-2</v>
      </c>
      <c r="D5" s="1843">
        <v>7.3999999999999996E-2</v>
      </c>
      <c r="E5" s="1843">
        <v>7.4999999999999997E-2</v>
      </c>
      <c r="F5" s="1844">
        <v>0.1</v>
      </c>
    </row>
    <row r="6" spans="1:6" ht="14.25" thickBot="1">
      <c r="A6" s="1841" t="s">
        <v>1096</v>
      </c>
      <c r="B6" s="1845" t="s">
        <v>2086</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2087</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2088</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2089</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2090</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14.25" thickBot="1">
      <c r="A72" s="1841" t="s">
        <v>925</v>
      </c>
      <c r="B72" s="1845" t="s">
        <v>2091</v>
      </c>
      <c r="C72" s="1855"/>
      <c r="D72" s="1855"/>
      <c r="E72" s="1855"/>
      <c r="F72" s="1847">
        <v>0.05</v>
      </c>
    </row>
    <row r="73" spans="1:6" ht="14.25" thickBot="1">
      <c r="A73" s="1841" t="s">
        <v>925</v>
      </c>
      <c r="B73" s="1845" t="s">
        <v>2092</v>
      </c>
      <c r="C73" s="1855"/>
      <c r="D73" s="1855"/>
      <c r="E73" s="1855"/>
      <c r="F73" s="1847">
        <v>0.05</v>
      </c>
    </row>
    <row r="74" spans="1:6" ht="14.25" thickBot="1">
      <c r="A74" s="1841" t="s">
        <v>925</v>
      </c>
      <c r="B74" s="1845" t="s">
        <v>2093</v>
      </c>
      <c r="C74" s="1855"/>
      <c r="D74" s="1855"/>
      <c r="E74" s="1855"/>
      <c r="F74" s="1847">
        <v>0.05</v>
      </c>
    </row>
    <row r="75" spans="1:6" ht="14.25" thickBot="1">
      <c r="A75" s="1849" t="s">
        <v>925</v>
      </c>
      <c r="B75" s="1856" t="s">
        <v>2094</v>
      </c>
      <c r="C75" s="1852"/>
      <c r="D75" s="1852"/>
      <c r="E75" s="1852"/>
      <c r="F75" s="1857">
        <v>0.05</v>
      </c>
    </row>
    <row r="76" spans="1:6" ht="14.25" thickBot="1">
      <c r="A76" s="1841" t="s">
        <v>1407</v>
      </c>
      <c r="B76" s="1842" t="s">
        <v>2095</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14.25" thickBot="1">
      <c r="A102" s="1841" t="s">
        <v>1407</v>
      </c>
      <c r="B102" s="1845" t="s">
        <v>2096</v>
      </c>
      <c r="C102" s="1855"/>
      <c r="D102" s="1855"/>
      <c r="E102" s="1855"/>
      <c r="F102" s="1847">
        <v>0.05</v>
      </c>
    </row>
    <row r="103" spans="1:6" ht="24.75" thickBot="1">
      <c r="A103" s="1841" t="s">
        <v>1407</v>
      </c>
      <c r="B103" s="1845" t="s">
        <v>2097</v>
      </c>
      <c r="C103" s="1855"/>
      <c r="D103" s="1855"/>
      <c r="E103" s="1855"/>
      <c r="F103" s="1847">
        <v>0.05</v>
      </c>
    </row>
    <row r="104" spans="1:6" ht="14.25" thickBot="1">
      <c r="A104" s="1841" t="s">
        <v>1407</v>
      </c>
      <c r="B104" s="1845" t="s">
        <v>2098</v>
      </c>
      <c r="C104" s="1855"/>
      <c r="D104" s="1855"/>
      <c r="E104" s="1855"/>
      <c r="F104" s="1847">
        <v>0.05</v>
      </c>
    </row>
    <row r="105" spans="1:6" ht="14.25" thickBot="1">
      <c r="A105" s="1841" t="s">
        <v>1407</v>
      </c>
      <c r="B105" s="1845" t="s">
        <v>2099</v>
      </c>
      <c r="C105" s="1855"/>
      <c r="D105" s="1855"/>
      <c r="E105" s="1855"/>
      <c r="F105" s="1847">
        <v>0.05</v>
      </c>
    </row>
    <row r="106" spans="1:6" ht="14.25" thickBot="1">
      <c r="A106" s="1841" t="s">
        <v>1407</v>
      </c>
      <c r="B106" s="1845" t="s">
        <v>2100</v>
      </c>
      <c r="C106" s="1855"/>
      <c r="D106" s="1855"/>
      <c r="E106" s="1855"/>
      <c r="F106" s="1847">
        <v>0.05</v>
      </c>
    </row>
    <row r="107" spans="1:6" ht="24.75" thickBot="1">
      <c r="A107" s="1841" t="s">
        <v>1407</v>
      </c>
      <c r="B107" s="1845" t="s">
        <v>2101</v>
      </c>
      <c r="C107" s="1855"/>
      <c r="D107" s="1855"/>
      <c r="E107" s="1855"/>
      <c r="F107" s="1847">
        <v>0.05</v>
      </c>
    </row>
    <row r="108" spans="1:6" ht="24.75" thickBot="1">
      <c r="A108" s="1841" t="s">
        <v>1407</v>
      </c>
      <c r="B108" s="1845" t="s">
        <v>2102</v>
      </c>
      <c r="C108" s="1855"/>
      <c r="D108" s="1855"/>
      <c r="E108" s="1855"/>
      <c r="F108" s="1847">
        <v>0.05</v>
      </c>
    </row>
    <row r="109" spans="1:6" ht="24.75" thickBot="1">
      <c r="A109" s="1849" t="s">
        <v>1407</v>
      </c>
      <c r="B109" s="1856" t="s">
        <v>2103</v>
      </c>
      <c r="C109" s="1852"/>
      <c r="D109" s="1852"/>
      <c r="E109" s="1852"/>
      <c r="F109" s="1857">
        <v>0.05</v>
      </c>
    </row>
    <row r="110" spans="1:6" ht="14.25" thickBot="1">
      <c r="A110" s="1841" t="s">
        <v>1409</v>
      </c>
      <c r="B110" s="1842" t="s">
        <v>2104</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2105</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2106</v>
      </c>
      <c r="C138" s="1846">
        <v>0.105</v>
      </c>
      <c r="D138" s="1846">
        <v>0.125</v>
      </c>
      <c r="E138" s="1846">
        <v>0.112</v>
      </c>
      <c r="F138" s="1854"/>
    </row>
    <row r="139" spans="1:6" ht="14.25" thickBot="1">
      <c r="A139" s="1841" t="s">
        <v>1409</v>
      </c>
      <c r="B139" s="1845" t="s">
        <v>2107</v>
      </c>
      <c r="C139" s="1846">
        <v>0.127</v>
      </c>
      <c r="D139" s="1846">
        <v>0.127</v>
      </c>
      <c r="E139" s="1846">
        <v>0.122</v>
      </c>
      <c r="F139" s="1847">
        <v>0.13</v>
      </c>
    </row>
    <row r="140" spans="1:6" ht="14.25" thickBot="1">
      <c r="A140" s="1841" t="s">
        <v>1409</v>
      </c>
      <c r="B140" s="1845" t="s">
        <v>2108</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2109</v>
      </c>
      <c r="C144" s="1859">
        <v>0.126</v>
      </c>
      <c r="D144" s="1859">
        <v>0.126</v>
      </c>
      <c r="E144" s="1859">
        <v>0.121</v>
      </c>
      <c r="F144" s="1854"/>
    </row>
    <row r="145" spans="1:6" ht="14.25" thickBot="1">
      <c r="A145" s="1849" t="s">
        <v>1409</v>
      </c>
      <c r="B145" s="1860" t="s">
        <v>2110</v>
      </c>
      <c r="C145" s="1861"/>
      <c r="D145" s="1861"/>
      <c r="E145" s="1861"/>
      <c r="F145" s="1862">
        <v>0.05</v>
      </c>
    </row>
    <row r="146" spans="1:6" ht="24.75" thickBot="1">
      <c r="A146" s="1863" t="s">
        <v>1409</v>
      </c>
      <c r="B146" s="1848" t="s">
        <v>2111</v>
      </c>
      <c r="C146" s="1855"/>
      <c r="D146" s="1855"/>
      <c r="E146" s="1855"/>
      <c r="F146" s="1864">
        <v>0.05</v>
      </c>
    </row>
    <row r="147" spans="1:6" ht="24.75" thickBot="1">
      <c r="A147" s="1841" t="s">
        <v>1409</v>
      </c>
      <c r="B147" s="1845" t="s">
        <v>2112</v>
      </c>
      <c r="C147" s="1855"/>
      <c r="D147" s="1855"/>
      <c r="E147" s="1855"/>
      <c r="F147" s="1847">
        <v>0.05</v>
      </c>
    </row>
    <row r="148" spans="1:6" ht="24.75" thickBot="1">
      <c r="A148" s="1841" t="s">
        <v>1409</v>
      </c>
      <c r="B148" s="1845" t="s">
        <v>2113</v>
      </c>
      <c r="C148" s="1855"/>
      <c r="D148" s="1855"/>
      <c r="E148" s="1855"/>
      <c r="F148" s="1847">
        <v>0.05</v>
      </c>
    </row>
    <row r="149" spans="1:6" ht="24.75" thickBot="1">
      <c r="A149" s="1841" t="s">
        <v>1409</v>
      </c>
      <c r="B149" s="1845" t="s">
        <v>2114</v>
      </c>
      <c r="C149" s="1855"/>
      <c r="D149" s="1855"/>
      <c r="E149" s="1855"/>
      <c r="F149" s="1847">
        <v>0.05</v>
      </c>
    </row>
    <row r="150" spans="1:6" ht="24.75" thickBot="1">
      <c r="A150" s="1841" t="s">
        <v>1409</v>
      </c>
      <c r="B150" s="1845" t="s">
        <v>2115</v>
      </c>
      <c r="C150" s="1855"/>
      <c r="D150" s="1855"/>
      <c r="E150" s="1855"/>
      <c r="F150" s="1847">
        <v>0.05</v>
      </c>
    </row>
    <row r="151" spans="1:6" ht="24.75" thickBot="1">
      <c r="A151" s="1841" t="s">
        <v>1409</v>
      </c>
      <c r="B151" s="1845" t="s">
        <v>2116</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2117</v>
      </c>
      <c r="C153" s="1855"/>
      <c r="D153" s="1855"/>
      <c r="E153" s="1855"/>
      <c r="F153" s="1847">
        <v>0.05</v>
      </c>
    </row>
    <row r="154" spans="1:6" ht="14.25" thickBot="1">
      <c r="A154" s="1841" t="s">
        <v>1409</v>
      </c>
      <c r="B154" s="1845" t="s">
        <v>2118</v>
      </c>
      <c r="C154" s="1855"/>
      <c r="D154" s="1855"/>
      <c r="E154" s="1855"/>
      <c r="F154" s="1847">
        <v>0.05</v>
      </c>
    </row>
    <row r="155" spans="1:6" ht="24.75" thickBot="1">
      <c r="A155" s="1841" t="s">
        <v>1409</v>
      </c>
      <c r="B155" s="1845" t="s">
        <v>2119</v>
      </c>
      <c r="C155" s="1855"/>
      <c r="D155" s="1855"/>
      <c r="E155" s="1855"/>
      <c r="F155" s="1847">
        <v>0.05</v>
      </c>
    </row>
    <row r="156" spans="1:6" ht="24.75" thickBot="1">
      <c r="A156" s="1841" t="s">
        <v>1409</v>
      </c>
      <c r="B156" s="1845" t="s">
        <v>2120</v>
      </c>
      <c r="C156" s="1855"/>
      <c r="D156" s="1855"/>
      <c r="E156" s="1855"/>
      <c r="F156" s="1847">
        <v>0.05</v>
      </c>
    </row>
    <row r="157" spans="1:6" ht="14.25" thickBot="1">
      <c r="A157" s="1849" t="s">
        <v>1409</v>
      </c>
      <c r="B157" s="1856" t="s">
        <v>2121</v>
      </c>
      <c r="C157" s="1852"/>
      <c r="D157" s="1852"/>
      <c r="E157" s="1852"/>
      <c r="F157" s="1857">
        <v>0.05</v>
      </c>
    </row>
    <row r="158" spans="1:6" ht="14.25" thickBot="1">
      <c r="A158" s="1841" t="s">
        <v>1411</v>
      </c>
      <c r="B158" s="1842" t="s">
        <v>2122</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2123</v>
      </c>
      <c r="C171" s="1846">
        <v>0.127</v>
      </c>
      <c r="D171" s="1846">
        <v>0.126</v>
      </c>
      <c r="E171" s="1846">
        <v>0.126</v>
      </c>
      <c r="F171" s="1847">
        <v>0.11799999999999999</v>
      </c>
    </row>
    <row r="172" spans="1:6" ht="14.25" thickBot="1">
      <c r="A172" s="1841" t="s">
        <v>1411</v>
      </c>
      <c r="B172" s="1845" t="s">
        <v>2124</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2125</v>
      </c>
      <c r="C174" s="1846">
        <v>0.13</v>
      </c>
      <c r="D174" s="1846">
        <v>0.13</v>
      </c>
      <c r="E174" s="1846">
        <v>0.13</v>
      </c>
      <c r="F174" s="1847">
        <v>0.13</v>
      </c>
    </row>
    <row r="175" spans="1:6" ht="14.25" thickBot="1">
      <c r="A175" s="1841" t="s">
        <v>1411</v>
      </c>
      <c r="B175" s="1845" t="s">
        <v>2126</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2127</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2128</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2129</v>
      </c>
      <c r="C185" s="1846">
        <v>0.127</v>
      </c>
      <c r="D185" s="1846">
        <v>0.127</v>
      </c>
      <c r="E185" s="1846">
        <v>0.128</v>
      </c>
      <c r="F185" s="1847">
        <v>0.13</v>
      </c>
    </row>
    <row r="186" spans="1:6" ht="24.75" thickBot="1">
      <c r="A186" s="1841" t="s">
        <v>1411</v>
      </c>
      <c r="B186" s="1845" t="s">
        <v>2130</v>
      </c>
      <c r="C186" s="1855"/>
      <c r="D186" s="1855"/>
      <c r="E186" s="1855"/>
      <c r="F186" s="1847">
        <v>0.05</v>
      </c>
    </row>
    <row r="187" spans="1:6" ht="14.25" thickBot="1">
      <c r="A187" s="1841" t="s">
        <v>1411</v>
      </c>
      <c r="B187" s="1845" t="s">
        <v>2131</v>
      </c>
      <c r="C187" s="1855"/>
      <c r="D187" s="1855"/>
      <c r="E187" s="1855"/>
      <c r="F187" s="1847">
        <v>0.05</v>
      </c>
    </row>
    <row r="188" spans="1:6" ht="14.25" thickBot="1">
      <c r="A188" s="1841" t="s">
        <v>1411</v>
      </c>
      <c r="B188" s="1845" t="s">
        <v>2132</v>
      </c>
      <c r="C188" s="1855"/>
      <c r="D188" s="1855"/>
      <c r="E188" s="1855"/>
      <c r="F188" s="1847">
        <v>0.05</v>
      </c>
    </row>
    <row r="189" spans="1:6" ht="24.75" thickBot="1">
      <c r="A189" s="1841" t="s">
        <v>1411</v>
      </c>
      <c r="B189" s="1845" t="s">
        <v>2133</v>
      </c>
      <c r="C189" s="1855"/>
      <c r="D189" s="1855"/>
      <c r="E189" s="1855"/>
      <c r="F189" s="1847">
        <v>0.05</v>
      </c>
    </row>
    <row r="190" spans="1:6" ht="24.75" thickBot="1">
      <c r="A190" s="1841" t="s">
        <v>1411</v>
      </c>
      <c r="B190" s="1845" t="s">
        <v>2134</v>
      </c>
      <c r="C190" s="1855"/>
      <c r="D190" s="1855"/>
      <c r="E190" s="1855"/>
      <c r="F190" s="1847">
        <v>0.05</v>
      </c>
    </row>
    <row r="191" spans="1:6" ht="24.75" thickBot="1">
      <c r="A191" s="1841" t="s">
        <v>1411</v>
      </c>
      <c r="B191" s="1845" t="s">
        <v>2135</v>
      </c>
      <c r="C191" s="1855"/>
      <c r="D191" s="1855"/>
      <c r="E191" s="1855"/>
      <c r="F191" s="1847">
        <v>0.05</v>
      </c>
    </row>
    <row r="192" spans="1:6" ht="24.75" thickBot="1">
      <c r="A192" s="1841" t="s">
        <v>1411</v>
      </c>
      <c r="B192" s="1845" t="s">
        <v>2136</v>
      </c>
      <c r="C192" s="1855"/>
      <c r="D192" s="1855"/>
      <c r="E192" s="1855"/>
      <c r="F192" s="1847">
        <v>0.05</v>
      </c>
    </row>
    <row r="193" spans="1:6" ht="24.75" thickBot="1">
      <c r="A193" s="1841" t="s">
        <v>1411</v>
      </c>
      <c r="B193" s="1845" t="s">
        <v>2137</v>
      </c>
      <c r="C193" s="1855"/>
      <c r="D193" s="1855"/>
      <c r="E193" s="1855"/>
      <c r="F193" s="1847">
        <v>0.05</v>
      </c>
    </row>
    <row r="194" spans="1:6" ht="24.75" thickBot="1">
      <c r="A194" s="1841" t="s">
        <v>1411</v>
      </c>
      <c r="B194" s="1845" t="s">
        <v>2138</v>
      </c>
      <c r="C194" s="1855"/>
      <c r="D194" s="1855"/>
      <c r="E194" s="1855"/>
      <c r="F194" s="1847">
        <v>0.05</v>
      </c>
    </row>
    <row r="195" spans="1:6" ht="14.25" thickBot="1">
      <c r="A195" s="1841" t="s">
        <v>1411</v>
      </c>
      <c r="B195" s="1845" t="s">
        <v>2139</v>
      </c>
      <c r="C195" s="1855"/>
      <c r="D195" s="1855"/>
      <c r="E195" s="1855"/>
      <c r="F195" s="1847">
        <v>0.05</v>
      </c>
    </row>
    <row r="196" spans="1:6" ht="24.75" thickBot="1">
      <c r="A196" s="1841" t="s">
        <v>1411</v>
      </c>
      <c r="B196" s="1845" t="s">
        <v>2140</v>
      </c>
      <c r="C196" s="1855"/>
      <c r="D196" s="1855"/>
      <c r="E196" s="1855"/>
      <c r="F196" s="1847">
        <v>0.05</v>
      </c>
    </row>
    <row r="197" spans="1:6" ht="24.75" thickBot="1">
      <c r="A197" s="1841" t="s">
        <v>1411</v>
      </c>
      <c r="B197" s="1845" t="s">
        <v>2141</v>
      </c>
      <c r="C197" s="1855"/>
      <c r="D197" s="1855"/>
      <c r="E197" s="1855"/>
      <c r="F197" s="1847">
        <v>0.05</v>
      </c>
    </row>
    <row r="198" spans="1:6" ht="24.75" thickBot="1">
      <c r="A198" s="1841" t="s">
        <v>1411</v>
      </c>
      <c r="B198" s="1845" t="s">
        <v>2142</v>
      </c>
      <c r="C198" s="1855"/>
      <c r="D198" s="1855"/>
      <c r="E198" s="1855"/>
      <c r="F198" s="1847">
        <v>0.05</v>
      </c>
    </row>
    <row r="199" spans="1:6" ht="24.75" thickBot="1">
      <c r="A199" s="1841" t="s">
        <v>1411</v>
      </c>
      <c r="B199" s="1845" t="s">
        <v>2143</v>
      </c>
      <c r="C199" s="1855"/>
      <c r="D199" s="1855"/>
      <c r="E199" s="1855"/>
      <c r="F199" s="1847">
        <v>0.05</v>
      </c>
    </row>
    <row r="200" spans="1:6" ht="24.75" thickBot="1">
      <c r="A200" s="1841" t="s">
        <v>1411</v>
      </c>
      <c r="B200" s="1845" t="s">
        <v>2144</v>
      </c>
      <c r="C200" s="1855"/>
      <c r="D200" s="1855"/>
      <c r="E200" s="1855"/>
      <c r="F200" s="1847">
        <v>0.05</v>
      </c>
    </row>
    <row r="201" spans="1:6" ht="24.75" thickBot="1">
      <c r="A201" s="1841" t="s">
        <v>1411</v>
      </c>
      <c r="B201" s="1845" t="s">
        <v>2145</v>
      </c>
      <c r="C201" s="1855"/>
      <c r="D201" s="1855"/>
      <c r="E201" s="1855"/>
      <c r="F201" s="1847">
        <v>0.05</v>
      </c>
    </row>
    <row r="202" spans="1:6" ht="24.75" thickBot="1">
      <c r="A202" s="1841" t="s">
        <v>1411</v>
      </c>
      <c r="B202" s="1845" t="s">
        <v>2146</v>
      </c>
      <c r="C202" s="1855"/>
      <c r="D202" s="1855"/>
      <c r="E202" s="1855"/>
      <c r="F202" s="1847">
        <v>0.05</v>
      </c>
    </row>
    <row r="203" spans="1:6" ht="24.75" thickBot="1">
      <c r="A203" s="1841" t="s">
        <v>1411</v>
      </c>
      <c r="B203" s="1845" t="s">
        <v>2147</v>
      </c>
      <c r="C203" s="1855"/>
      <c r="D203" s="1855"/>
      <c r="E203" s="1855"/>
      <c r="F203" s="1847">
        <v>0.05</v>
      </c>
    </row>
    <row r="204" spans="1:6" ht="14.25" thickBot="1">
      <c r="A204" s="1841" t="s">
        <v>1411</v>
      </c>
      <c r="B204" s="1845" t="s">
        <v>2148</v>
      </c>
      <c r="C204" s="1855"/>
      <c r="D204" s="1855"/>
      <c r="E204" s="1855"/>
      <c r="F204" s="1847">
        <v>0.05</v>
      </c>
    </row>
    <row r="205" spans="1:6" ht="14.25" thickBot="1">
      <c r="A205" s="1849" t="s">
        <v>1411</v>
      </c>
      <c r="B205" s="1856" t="s">
        <v>2149</v>
      </c>
      <c r="C205" s="1852"/>
      <c r="D205" s="1852"/>
      <c r="E205" s="1852"/>
      <c r="F205" s="1857">
        <v>0.05</v>
      </c>
    </row>
    <row r="206" spans="1:6" ht="14.25" thickBot="1">
      <c r="A206" s="1841" t="s">
        <v>1413</v>
      </c>
      <c r="B206" s="1842" t="s">
        <v>2150</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2151</v>
      </c>
      <c r="C210" s="1846">
        <v>0.15</v>
      </c>
      <c r="D210" s="1846">
        <v>0.15</v>
      </c>
      <c r="E210" s="1846">
        <v>0.15</v>
      </c>
      <c r="F210" s="1847">
        <v>0.13800000000000001</v>
      </c>
    </row>
    <row r="211" spans="1:6" ht="14.25" thickBot="1">
      <c r="A211" s="1841" t="s">
        <v>1413</v>
      </c>
      <c r="B211" s="1845" t="s">
        <v>2152</v>
      </c>
      <c r="C211" s="1846">
        <v>0.13700000000000001</v>
      </c>
      <c r="D211" s="1846">
        <v>0.13500000000000001</v>
      </c>
      <c r="E211" s="1846">
        <v>0.13600000000000001</v>
      </c>
      <c r="F211" s="1847">
        <v>0.1</v>
      </c>
    </row>
    <row r="212" spans="1:6" ht="14.25" thickBot="1">
      <c r="A212" s="1841" t="s">
        <v>1413</v>
      </c>
      <c r="B212" s="1845" t="s">
        <v>2153</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2154</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2155</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2156</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2157</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2158</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2159</v>
      </c>
      <c r="C231" s="1846">
        <v>0.128</v>
      </c>
      <c r="D231" s="1846">
        <v>0.125</v>
      </c>
      <c r="E231" s="1846">
        <v>0.13200000000000001</v>
      </c>
      <c r="F231" s="1854"/>
    </row>
    <row r="232" spans="1:6" ht="14.25" thickBot="1">
      <c r="A232" s="1841" t="s">
        <v>1413</v>
      </c>
      <c r="B232" s="1845" t="s">
        <v>2160</v>
      </c>
      <c r="C232" s="1846">
        <v>0.14499999999999999</v>
      </c>
      <c r="D232" s="1846">
        <v>0.14399999999999999</v>
      </c>
      <c r="E232" s="1846">
        <v>0.14599999999999999</v>
      </c>
      <c r="F232" s="1847">
        <v>0.13800000000000001</v>
      </c>
    </row>
    <row r="233" spans="1:6" ht="14.25" thickBot="1">
      <c r="A233" s="1841" t="s">
        <v>1413</v>
      </c>
      <c r="B233" s="1845" t="s">
        <v>2161</v>
      </c>
      <c r="C233" s="1846">
        <v>0.14499999999999999</v>
      </c>
      <c r="D233" s="1846">
        <v>0.14299999999999999</v>
      </c>
      <c r="E233" s="1846">
        <v>0.14199999999999999</v>
      </c>
      <c r="F233" s="1854"/>
    </row>
    <row r="234" spans="1:6" ht="14.25" thickBot="1">
      <c r="A234" s="1841" t="s">
        <v>1413</v>
      </c>
      <c r="B234" s="1845" t="s">
        <v>2162</v>
      </c>
      <c r="C234" s="1846">
        <v>0.14000000000000001</v>
      </c>
      <c r="D234" s="1846">
        <v>0.14000000000000001</v>
      </c>
      <c r="E234" s="1846">
        <v>0.14399999999999999</v>
      </c>
      <c r="F234" s="1854"/>
    </row>
    <row r="235" spans="1:6" ht="14.25" thickBot="1">
      <c r="A235" s="1841" t="s">
        <v>1413</v>
      </c>
      <c r="B235" s="1845" t="s">
        <v>2163</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2164</v>
      </c>
      <c r="C237" s="1855"/>
      <c r="D237" s="1855"/>
      <c r="E237" s="1855"/>
      <c r="F237" s="1847">
        <v>0.05</v>
      </c>
    </row>
    <row r="238" spans="1:6" ht="24.75" thickBot="1">
      <c r="A238" s="1841" t="s">
        <v>1413</v>
      </c>
      <c r="B238" s="1845" t="s">
        <v>2165</v>
      </c>
      <c r="C238" s="1855"/>
      <c r="D238" s="1855"/>
      <c r="E238" s="1855"/>
      <c r="F238" s="1847">
        <v>0.05</v>
      </c>
    </row>
    <row r="239" spans="1:6" ht="24.75" thickBot="1">
      <c r="A239" s="1841" t="s">
        <v>1413</v>
      </c>
      <c r="B239" s="1845" t="s">
        <v>2166</v>
      </c>
      <c r="C239" s="1855"/>
      <c r="D239" s="1855"/>
      <c r="E239" s="1855"/>
      <c r="F239" s="1847">
        <v>0.05</v>
      </c>
    </row>
    <row r="240" spans="1:6" ht="24.75" thickBot="1">
      <c r="A240" s="1841" t="s">
        <v>1413</v>
      </c>
      <c r="B240" s="1845" t="s">
        <v>2167</v>
      </c>
      <c r="C240" s="1855"/>
      <c r="D240" s="1855"/>
      <c r="E240" s="1855"/>
      <c r="F240" s="1847">
        <v>0.05</v>
      </c>
    </row>
    <row r="241" spans="1:6" ht="24.75" thickBot="1">
      <c r="A241" s="1841" t="s">
        <v>1413</v>
      </c>
      <c r="B241" s="1845" t="s">
        <v>2168</v>
      </c>
      <c r="C241" s="1855"/>
      <c r="D241" s="1855"/>
      <c r="E241" s="1855"/>
      <c r="F241" s="1847">
        <v>0.05</v>
      </c>
    </row>
    <row r="242" spans="1:6" ht="24.75" thickBot="1">
      <c r="A242" s="1841" t="s">
        <v>1413</v>
      </c>
      <c r="B242" s="1845" t="s">
        <v>2169</v>
      </c>
      <c r="C242" s="1855"/>
      <c r="D242" s="1855"/>
      <c r="E242" s="1855"/>
      <c r="F242" s="1847">
        <v>0.05</v>
      </c>
    </row>
    <row r="243" spans="1:6" ht="24.75" thickBot="1">
      <c r="A243" s="1841" t="s">
        <v>1413</v>
      </c>
      <c r="B243" s="1845" t="s">
        <v>2170</v>
      </c>
      <c r="C243" s="1855"/>
      <c r="D243" s="1855"/>
      <c r="E243" s="1855"/>
      <c r="F243" s="1847">
        <v>0.05</v>
      </c>
    </row>
    <row r="244" spans="1:6" ht="24.75" thickBot="1">
      <c r="A244" s="1849" t="s">
        <v>1413</v>
      </c>
      <c r="B244" s="1856" t="s">
        <v>2171</v>
      </c>
      <c r="C244" s="1852"/>
      <c r="D244" s="1852"/>
      <c r="E244" s="1852"/>
      <c r="F244" s="1857">
        <v>0.05</v>
      </c>
    </row>
    <row r="245" spans="1:6" ht="14.25" thickBot="1">
      <c r="A245" s="1841" t="s">
        <v>1415</v>
      </c>
      <c r="B245" s="1842" t="s">
        <v>2172</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2173</v>
      </c>
      <c r="C247" s="1846">
        <v>0.15</v>
      </c>
      <c r="D247" s="1846">
        <v>0.15</v>
      </c>
      <c r="E247" s="1846">
        <v>0.15</v>
      </c>
      <c r="F247" s="1847">
        <v>0.15</v>
      </c>
    </row>
    <row r="248" spans="1:6" ht="14.25" thickBot="1">
      <c r="A248" s="1841" t="s">
        <v>1415</v>
      </c>
      <c r="B248" s="1845" t="s">
        <v>2174</v>
      </c>
      <c r="C248" s="1846">
        <v>0.15</v>
      </c>
      <c r="D248" s="1846">
        <v>0.15</v>
      </c>
      <c r="E248" s="1846">
        <v>0.15</v>
      </c>
      <c r="F248" s="1847">
        <v>0.14000000000000001</v>
      </c>
    </row>
    <row r="249" spans="1:6" ht="14.25" thickBot="1">
      <c r="A249" s="1841" t="s">
        <v>1415</v>
      </c>
      <c r="B249" s="1845" t="s">
        <v>2175</v>
      </c>
      <c r="C249" s="1846">
        <v>0.15</v>
      </c>
      <c r="D249" s="1846">
        <v>0.14899999999999999</v>
      </c>
      <c r="E249" s="1846">
        <v>0.15</v>
      </c>
      <c r="F249" s="1847">
        <v>0.1</v>
      </c>
    </row>
    <row r="250" spans="1:6" ht="14.25" thickBot="1">
      <c r="A250" s="1841" t="s">
        <v>1415</v>
      </c>
      <c r="B250" s="1845" t="s">
        <v>2176</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2177</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2178</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2179</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2180</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2181</v>
      </c>
      <c r="C273" s="1846">
        <v>0.14199999999999999</v>
      </c>
      <c r="D273" s="1846">
        <v>0.14299999999999999</v>
      </c>
      <c r="E273" s="1846">
        <v>0.15</v>
      </c>
      <c r="F273" s="1847">
        <v>0.1</v>
      </c>
    </row>
    <row r="274" spans="1:6" ht="14.25" thickBot="1">
      <c r="A274" s="1841" t="s">
        <v>1415</v>
      </c>
      <c r="B274" s="1845" t="s">
        <v>2182</v>
      </c>
      <c r="C274" s="1846">
        <v>0.14799999999999999</v>
      </c>
      <c r="D274" s="1846">
        <v>0.14799999999999999</v>
      </c>
      <c r="E274" s="1846">
        <v>0.15</v>
      </c>
      <c r="F274" s="1847">
        <v>6.7000000000000004E-2</v>
      </c>
    </row>
    <row r="275" spans="1:6" ht="14.25" thickBot="1">
      <c r="A275" s="1841" t="s">
        <v>1415</v>
      </c>
      <c r="B275" s="1845" t="s">
        <v>2183</v>
      </c>
      <c r="C275" s="1846">
        <v>0.15</v>
      </c>
      <c r="D275" s="1846">
        <v>0.15</v>
      </c>
      <c r="E275" s="1846">
        <v>0.15</v>
      </c>
      <c r="F275" s="1847">
        <v>0.15</v>
      </c>
    </row>
    <row r="276" spans="1:6" ht="14.25" thickBot="1">
      <c r="A276" s="1841" t="s">
        <v>1415</v>
      </c>
      <c r="B276" s="1845" t="s">
        <v>2184</v>
      </c>
      <c r="C276" s="1846">
        <v>0.14499999999999999</v>
      </c>
      <c r="D276" s="1846">
        <v>0.14299999999999999</v>
      </c>
      <c r="E276" s="1846">
        <v>0.15</v>
      </c>
      <c r="F276" s="1847">
        <v>5.8999999999999997E-2</v>
      </c>
    </row>
    <row r="277" spans="1:6" ht="14.25" thickBot="1">
      <c r="A277" s="1841" t="s">
        <v>1415</v>
      </c>
      <c r="B277" s="1845" t="s">
        <v>2185</v>
      </c>
      <c r="C277" s="1846">
        <v>0.15</v>
      </c>
      <c r="D277" s="1846">
        <v>0.15</v>
      </c>
      <c r="E277" s="1846">
        <v>0.15</v>
      </c>
      <c r="F277" s="1847">
        <v>0.121</v>
      </c>
    </row>
    <row r="278" spans="1:6" ht="14.25" thickBot="1">
      <c r="A278" s="1841" t="s">
        <v>1415</v>
      </c>
      <c r="B278" s="1845" t="s">
        <v>2186</v>
      </c>
      <c r="C278" s="1846">
        <v>0.15</v>
      </c>
      <c r="D278" s="1846">
        <v>0.15</v>
      </c>
      <c r="E278" s="1846">
        <v>0.15</v>
      </c>
      <c r="F278" s="1847">
        <v>0.13800000000000001</v>
      </c>
    </row>
    <row r="279" spans="1:6" ht="24.75" thickBot="1">
      <c r="A279" s="1841" t="s">
        <v>1415</v>
      </c>
      <c r="B279" s="1845" t="s">
        <v>2187</v>
      </c>
      <c r="C279" s="1855"/>
      <c r="D279" s="1855"/>
      <c r="E279" s="1855"/>
      <c r="F279" s="1847">
        <v>0.05</v>
      </c>
    </row>
    <row r="280" spans="1:6" ht="24.75" thickBot="1">
      <c r="A280" s="1841" t="s">
        <v>1415</v>
      </c>
      <c r="B280" s="1845" t="s">
        <v>2188</v>
      </c>
      <c r="C280" s="1855"/>
      <c r="D280" s="1855"/>
      <c r="E280" s="1855"/>
      <c r="F280" s="1847">
        <v>0.05</v>
      </c>
    </row>
    <row r="281" spans="1:6" ht="24.75" thickBot="1">
      <c r="A281" s="1841" t="s">
        <v>1415</v>
      </c>
      <c r="B281" s="1845" t="s">
        <v>2189</v>
      </c>
      <c r="C281" s="1855"/>
      <c r="D281" s="1855"/>
      <c r="E281" s="1855"/>
      <c r="F281" s="1847">
        <v>0.05</v>
      </c>
    </row>
    <row r="282" spans="1:6" ht="24.75" thickBot="1">
      <c r="A282" s="1841" t="s">
        <v>1415</v>
      </c>
      <c r="B282" s="1845" t="s">
        <v>2190</v>
      </c>
      <c r="C282" s="1855"/>
      <c r="D282" s="1855"/>
      <c r="E282" s="1855"/>
      <c r="F282" s="1847">
        <v>0.05</v>
      </c>
    </row>
    <row r="283" spans="1:6" ht="24.75" thickBot="1">
      <c r="A283" s="1841" t="s">
        <v>1415</v>
      </c>
      <c r="B283" s="1845" t="s">
        <v>2191</v>
      </c>
      <c r="C283" s="1855"/>
      <c r="D283" s="1855"/>
      <c r="E283" s="1855"/>
      <c r="F283" s="1847">
        <v>0.05</v>
      </c>
    </row>
    <row r="284" spans="1:6" ht="24.75" thickBot="1">
      <c r="A284" s="1841" t="s">
        <v>1415</v>
      </c>
      <c r="B284" s="1845" t="s">
        <v>2192</v>
      </c>
      <c r="C284" s="1855"/>
      <c r="D284" s="1855"/>
      <c r="E284" s="1855"/>
      <c r="F284" s="1847">
        <v>0.05</v>
      </c>
    </row>
    <row r="285" spans="1:6" ht="24.75" thickBot="1">
      <c r="A285" s="1841" t="s">
        <v>1415</v>
      </c>
      <c r="B285" s="1845" t="s">
        <v>2193</v>
      </c>
      <c r="C285" s="1855"/>
      <c r="D285" s="1855"/>
      <c r="E285" s="1855"/>
      <c r="F285" s="1847">
        <v>0.05</v>
      </c>
    </row>
    <row r="286" spans="1:6" ht="24.75" thickBot="1">
      <c r="A286" s="1841" t="s">
        <v>1415</v>
      </c>
      <c r="B286" s="1845" t="s">
        <v>2194</v>
      </c>
      <c r="C286" s="1855"/>
      <c r="D286" s="1855"/>
      <c r="E286" s="1855"/>
      <c r="F286" s="1847">
        <v>0.05</v>
      </c>
    </row>
    <row r="287" spans="1:6" ht="24.75" thickBot="1">
      <c r="A287" s="1841" t="s">
        <v>1415</v>
      </c>
      <c r="B287" s="1845" t="s">
        <v>2195</v>
      </c>
      <c r="C287" s="1855"/>
      <c r="D287" s="1855"/>
      <c r="E287" s="1855"/>
      <c r="F287" s="1847">
        <v>0.05</v>
      </c>
    </row>
    <row r="288" spans="1:6" ht="24.75" thickBot="1">
      <c r="A288" s="1841" t="s">
        <v>1415</v>
      </c>
      <c r="B288" s="1845" t="s">
        <v>2196</v>
      </c>
      <c r="C288" s="1855"/>
      <c r="D288" s="1855"/>
      <c r="E288" s="1855"/>
      <c r="F288" s="1847">
        <v>0.05</v>
      </c>
    </row>
    <row r="289" spans="1:6" ht="24.75" thickBot="1">
      <c r="A289" s="1849" t="s">
        <v>1415</v>
      </c>
      <c r="B289" s="1856" t="s">
        <v>2197</v>
      </c>
      <c r="C289" s="1852"/>
      <c r="D289" s="1852"/>
      <c r="E289" s="1852"/>
      <c r="F289" s="1857">
        <v>0.05</v>
      </c>
    </row>
    <row r="290" spans="1:6" ht="14.25" thickBot="1">
      <c r="A290" s="1841" t="s">
        <v>1419</v>
      </c>
      <c r="B290" s="1842" t="s">
        <v>2198</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2199</v>
      </c>
      <c r="C292" s="1846">
        <v>0.15</v>
      </c>
      <c r="D292" s="1846">
        <v>0.15</v>
      </c>
      <c r="E292" s="1846">
        <v>0.15</v>
      </c>
      <c r="F292" s="1847">
        <v>0.14699999999999999</v>
      </c>
    </row>
    <row r="293" spans="1:6" ht="14.25" thickBot="1">
      <c r="A293" s="1841" t="s">
        <v>1419</v>
      </c>
      <c r="B293" s="1845" t="s">
        <v>2200</v>
      </c>
      <c r="C293" s="1855"/>
      <c r="D293" s="1855"/>
      <c r="E293" s="1855"/>
      <c r="F293" s="1847">
        <v>0.1</v>
      </c>
    </row>
    <row r="294" spans="1:6" ht="14.25" thickBot="1">
      <c r="A294" s="1841" t="s">
        <v>1419</v>
      </c>
      <c r="B294" s="1845" t="s">
        <v>2201</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2202</v>
      </c>
      <c r="C296" s="1846">
        <v>0.15</v>
      </c>
      <c r="D296" s="1846">
        <v>0.15</v>
      </c>
      <c r="E296" s="1846">
        <v>0.15</v>
      </c>
      <c r="F296" s="1847">
        <v>0.15</v>
      </c>
    </row>
    <row r="297" spans="1:6" ht="14.25" thickBot="1">
      <c r="A297" s="1841" t="s">
        <v>1419</v>
      </c>
      <c r="B297" s="1845" t="s">
        <v>2203</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2204</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2205</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2206</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2207</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2208</v>
      </c>
      <c r="C310" s="1846">
        <v>0.15</v>
      </c>
      <c r="D310" s="1846">
        <v>0.15</v>
      </c>
      <c r="E310" s="1846">
        <v>0.15</v>
      </c>
      <c r="F310" s="1847">
        <v>0.13700000000000001</v>
      </c>
    </row>
    <row r="311" spans="1:6" ht="14.25" thickBot="1">
      <c r="A311" s="1841" t="s">
        <v>1419</v>
      </c>
      <c r="B311" s="1845" t="s">
        <v>2209</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2210</v>
      </c>
      <c r="C313" s="1846">
        <v>0.15</v>
      </c>
      <c r="D313" s="1846">
        <v>0.15</v>
      </c>
      <c r="E313" s="1846">
        <v>0.15</v>
      </c>
      <c r="F313" s="1847">
        <v>0.15</v>
      </c>
    </row>
    <row r="314" spans="1:6" ht="24.75" thickBot="1">
      <c r="A314" s="1841" t="s">
        <v>1419</v>
      </c>
      <c r="B314" s="1845" t="s">
        <v>2211</v>
      </c>
      <c r="C314" s="1855"/>
      <c r="D314" s="1855"/>
      <c r="E314" s="1855"/>
      <c r="F314" s="1847">
        <v>0.05</v>
      </c>
    </row>
    <row r="315" spans="1:6" ht="24.75" thickBot="1">
      <c r="A315" s="1841" t="s">
        <v>1419</v>
      </c>
      <c r="B315" s="1845" t="s">
        <v>2212</v>
      </c>
      <c r="C315" s="1855"/>
      <c r="D315" s="1855"/>
      <c r="E315" s="1855"/>
      <c r="F315" s="1847">
        <v>0.05</v>
      </c>
    </row>
    <row r="316" spans="1:6" ht="24.75" thickBot="1">
      <c r="A316" s="1849" t="s">
        <v>1419</v>
      </c>
      <c r="B316" s="1856" t="s">
        <v>2213</v>
      </c>
      <c r="C316" s="1852"/>
      <c r="D316" s="1852"/>
      <c r="E316" s="1852"/>
      <c r="F316" s="1857">
        <v>0.05</v>
      </c>
    </row>
    <row r="317" spans="1:6" ht="14.25" thickBot="1">
      <c r="A317" s="1841" t="s">
        <v>2214</v>
      </c>
      <c r="B317" s="1842" t="s">
        <v>2215</v>
      </c>
      <c r="C317" s="1843">
        <v>0.15</v>
      </c>
      <c r="D317" s="1843">
        <v>0.15</v>
      </c>
      <c r="E317" s="1843">
        <v>0.15</v>
      </c>
      <c r="F317" s="1844">
        <v>0.15</v>
      </c>
    </row>
    <row r="318" spans="1:6" ht="14.25" thickBot="1">
      <c r="A318" s="1841" t="s">
        <v>2214</v>
      </c>
      <c r="B318" s="1845" t="s">
        <v>2216</v>
      </c>
      <c r="C318" s="1846">
        <v>0.107</v>
      </c>
      <c r="D318" s="1846">
        <v>0.11</v>
      </c>
      <c r="E318" s="1846">
        <v>0.112</v>
      </c>
      <c r="F318" s="1854"/>
    </row>
    <row r="319" spans="1:6" ht="14.25" thickBot="1">
      <c r="A319" s="1841" t="s">
        <v>2214</v>
      </c>
      <c r="B319" s="1845" t="s">
        <v>2217</v>
      </c>
      <c r="C319" s="1846">
        <v>0.15</v>
      </c>
      <c r="D319" s="1846">
        <v>0.15</v>
      </c>
      <c r="E319" s="1846">
        <v>0.15</v>
      </c>
      <c r="F319" s="1847">
        <v>0.15</v>
      </c>
    </row>
    <row r="320" spans="1:6" ht="14.25" thickBot="1">
      <c r="A320" s="1841" t="s">
        <v>2214</v>
      </c>
      <c r="B320" s="1845" t="s">
        <v>1107</v>
      </c>
      <c r="C320" s="1846">
        <v>0.15</v>
      </c>
      <c r="D320" s="1846">
        <v>0.15</v>
      </c>
      <c r="E320" s="1846">
        <v>0.15</v>
      </c>
      <c r="F320" s="1854"/>
    </row>
    <row r="321" spans="1:6" ht="14.25" thickBot="1">
      <c r="A321" s="1841" t="s">
        <v>2214</v>
      </c>
      <c r="B321" s="1845" t="s">
        <v>2218</v>
      </c>
      <c r="C321" s="1846">
        <v>0.15</v>
      </c>
      <c r="D321" s="1846">
        <v>0.15</v>
      </c>
      <c r="E321" s="1846">
        <v>0.15</v>
      </c>
      <c r="F321" s="1854"/>
    </row>
    <row r="322" spans="1:6" ht="14.25" thickBot="1">
      <c r="A322" s="1841" t="s">
        <v>2214</v>
      </c>
      <c r="B322" s="1845" t="s">
        <v>2219</v>
      </c>
      <c r="C322" s="1846">
        <v>0.15</v>
      </c>
      <c r="D322" s="1846">
        <v>0.15</v>
      </c>
      <c r="E322" s="1846">
        <v>0.15</v>
      </c>
      <c r="F322" s="1847">
        <v>0.15</v>
      </c>
    </row>
    <row r="323" spans="1:6" ht="14.25" thickBot="1">
      <c r="A323" s="1841" t="s">
        <v>2214</v>
      </c>
      <c r="B323" s="1845" t="s">
        <v>2220</v>
      </c>
      <c r="C323" s="1846">
        <v>0.15</v>
      </c>
      <c r="D323" s="1846">
        <v>0.15</v>
      </c>
      <c r="E323" s="1846">
        <v>0.15</v>
      </c>
      <c r="F323" s="1854"/>
    </row>
    <row r="324" spans="1:6" ht="14.25" thickBot="1">
      <c r="A324" s="1841" t="s">
        <v>2214</v>
      </c>
      <c r="B324" s="1845" t="s">
        <v>2221</v>
      </c>
      <c r="C324" s="1846">
        <v>0.15</v>
      </c>
      <c r="D324" s="1846">
        <v>0.15</v>
      </c>
      <c r="E324" s="1846">
        <v>0.15</v>
      </c>
      <c r="F324" s="1854"/>
    </row>
    <row r="325" spans="1:6" ht="14.25" thickBot="1">
      <c r="A325" s="1841" t="s">
        <v>2214</v>
      </c>
      <c r="B325" s="1845" t="s">
        <v>2222</v>
      </c>
      <c r="C325" s="1846">
        <v>0.15</v>
      </c>
      <c r="D325" s="1846">
        <v>0.15</v>
      </c>
      <c r="E325" s="1846">
        <v>0.15</v>
      </c>
      <c r="F325" s="1847">
        <v>0.14699999999999999</v>
      </c>
    </row>
    <row r="326" spans="1:6" ht="14.25" thickBot="1">
      <c r="A326" s="1841" t="s">
        <v>2214</v>
      </c>
      <c r="B326" s="1845" t="s">
        <v>1176</v>
      </c>
      <c r="C326" s="1846">
        <v>0.15</v>
      </c>
      <c r="D326" s="1846">
        <v>0.15</v>
      </c>
      <c r="E326" s="1846">
        <v>0.15</v>
      </c>
      <c r="F326" s="1854"/>
    </row>
    <row r="327" spans="1:6" ht="14.25" thickBot="1">
      <c r="A327" s="1841" t="s">
        <v>2214</v>
      </c>
      <c r="B327" s="1845" t="s">
        <v>2223</v>
      </c>
      <c r="C327" s="1846">
        <v>0.15</v>
      </c>
      <c r="D327" s="1846">
        <v>0.15</v>
      </c>
      <c r="E327" s="1846">
        <v>0.15</v>
      </c>
      <c r="F327" s="1847">
        <v>0.15</v>
      </c>
    </row>
    <row r="328" spans="1:6" ht="14.25" thickBot="1">
      <c r="A328" s="1841" t="s">
        <v>2214</v>
      </c>
      <c r="B328" s="1845" t="s">
        <v>1196</v>
      </c>
      <c r="C328" s="1846">
        <v>0.15</v>
      </c>
      <c r="D328" s="1846">
        <v>0.15</v>
      </c>
      <c r="E328" s="1846">
        <v>0.15</v>
      </c>
      <c r="F328" s="1847">
        <v>0.14099999999999999</v>
      </c>
    </row>
    <row r="329" spans="1:6" ht="14.25" thickBot="1">
      <c r="A329" s="1841" t="s">
        <v>2214</v>
      </c>
      <c r="B329" s="1845" t="s">
        <v>1206</v>
      </c>
      <c r="C329" s="1846">
        <v>0.15</v>
      </c>
      <c r="D329" s="1846">
        <v>0.15</v>
      </c>
      <c r="E329" s="1846">
        <v>0.15</v>
      </c>
      <c r="F329" s="1847">
        <v>0.15</v>
      </c>
    </row>
    <row r="330" spans="1:6" ht="14.25" thickBot="1">
      <c r="A330" s="1841" t="s">
        <v>2214</v>
      </c>
      <c r="B330" s="1845" t="s">
        <v>1216</v>
      </c>
      <c r="C330" s="1846">
        <v>0.15</v>
      </c>
      <c r="D330" s="1846">
        <v>0.15</v>
      </c>
      <c r="E330" s="1846">
        <v>0.15</v>
      </c>
      <c r="F330" s="1854"/>
    </row>
    <row r="331" spans="1:6" ht="14.25" thickBot="1">
      <c r="A331" s="1841" t="s">
        <v>2214</v>
      </c>
      <c r="B331" s="1845" t="s">
        <v>2224</v>
      </c>
      <c r="C331" s="1846">
        <v>0.15</v>
      </c>
      <c r="D331" s="1846">
        <v>0.15</v>
      </c>
      <c r="E331" s="1846">
        <v>0.15</v>
      </c>
      <c r="F331" s="1847">
        <v>0.15</v>
      </c>
    </row>
    <row r="332" spans="1:6" ht="14.25" thickBot="1">
      <c r="A332" s="1841" t="s">
        <v>2214</v>
      </c>
      <c r="B332" s="1845" t="s">
        <v>1236</v>
      </c>
      <c r="C332" s="1846">
        <v>0.15</v>
      </c>
      <c r="D332" s="1846">
        <v>0.15</v>
      </c>
      <c r="E332" s="1846">
        <v>0.15</v>
      </c>
      <c r="F332" s="1847">
        <v>0.15</v>
      </c>
    </row>
    <row r="333" spans="1:6" ht="14.25" thickBot="1">
      <c r="A333" s="1841" t="s">
        <v>2214</v>
      </c>
      <c r="B333" s="1845" t="s">
        <v>2225</v>
      </c>
      <c r="C333" s="1846">
        <v>0.15</v>
      </c>
      <c r="D333" s="1846">
        <v>0.15</v>
      </c>
      <c r="E333" s="1846">
        <v>0.15</v>
      </c>
      <c r="F333" s="1847">
        <v>0.14099999999999999</v>
      </c>
    </row>
    <row r="334" spans="1:6" ht="14.25" thickBot="1">
      <c r="A334" s="1841" t="s">
        <v>2214</v>
      </c>
      <c r="B334" s="1845" t="s">
        <v>1256</v>
      </c>
      <c r="C334" s="1846">
        <v>0.15</v>
      </c>
      <c r="D334" s="1846">
        <v>0.15</v>
      </c>
      <c r="E334" s="1846">
        <v>0.15</v>
      </c>
      <c r="F334" s="1847">
        <v>0.15</v>
      </c>
    </row>
    <row r="335" spans="1:6" ht="14.25" thickBot="1">
      <c r="A335" s="1841" t="s">
        <v>2214</v>
      </c>
      <c r="B335" s="1845" t="s">
        <v>1266</v>
      </c>
      <c r="C335" s="1846">
        <v>0.15</v>
      </c>
      <c r="D335" s="1846">
        <v>0.15</v>
      </c>
      <c r="E335" s="1846">
        <v>0.15</v>
      </c>
      <c r="F335" s="1854"/>
    </row>
    <row r="336" spans="1:6" ht="14.25" thickBot="1">
      <c r="A336" s="1841" t="s">
        <v>2214</v>
      </c>
      <c r="B336" s="1845" t="s">
        <v>2226</v>
      </c>
      <c r="C336" s="1846">
        <v>0.15</v>
      </c>
      <c r="D336" s="1846">
        <v>0.15</v>
      </c>
      <c r="E336" s="1846">
        <v>0.15</v>
      </c>
      <c r="F336" s="1847">
        <v>0.11799999999999999</v>
      </c>
    </row>
    <row r="337" spans="1:6" ht="14.25" thickBot="1">
      <c r="A337" s="1849" t="s">
        <v>2214</v>
      </c>
      <c r="B337" s="1856" t="s">
        <v>1284</v>
      </c>
      <c r="C337" s="1852"/>
      <c r="D337" s="1852"/>
      <c r="E337" s="1852"/>
      <c r="F337" s="1857">
        <v>0.14299999999999999</v>
      </c>
    </row>
    <row r="338" spans="1:6" ht="14.25" thickBot="1">
      <c r="A338" s="1841" t="s">
        <v>2227</v>
      </c>
      <c r="B338" s="1842" t="s">
        <v>2228</v>
      </c>
      <c r="C338" s="1843">
        <v>0.15</v>
      </c>
      <c r="D338" s="1843">
        <v>0.15</v>
      </c>
      <c r="E338" s="1843">
        <v>0.15</v>
      </c>
      <c r="F338" s="1865"/>
    </row>
    <row r="339" spans="1:6" ht="14.25" thickBot="1">
      <c r="A339" s="1841" t="s">
        <v>2227</v>
      </c>
      <c r="B339" s="1845" t="s">
        <v>2229</v>
      </c>
      <c r="C339" s="1846">
        <v>0.15</v>
      </c>
      <c r="D339" s="1846">
        <v>0.15</v>
      </c>
      <c r="E339" s="1846">
        <v>0.15</v>
      </c>
      <c r="F339" s="1854"/>
    </row>
    <row r="340" spans="1:6" ht="14.25" thickBot="1">
      <c r="A340" s="1841" t="s">
        <v>2227</v>
      </c>
      <c r="B340" s="1845" t="s">
        <v>2230</v>
      </c>
      <c r="C340" s="1846">
        <v>0.15</v>
      </c>
      <c r="D340" s="1846">
        <v>0.15</v>
      </c>
      <c r="E340" s="1846">
        <v>0.15</v>
      </c>
      <c r="F340" s="1854"/>
    </row>
    <row r="341" spans="1:6" ht="14.25" thickBot="1">
      <c r="A341" s="1841" t="s">
        <v>2231</v>
      </c>
      <c r="B341" s="1845" t="s">
        <v>2232</v>
      </c>
      <c r="C341" s="1846">
        <v>0.15</v>
      </c>
      <c r="D341" s="1846">
        <v>0.15</v>
      </c>
      <c r="E341" s="1846">
        <v>0.15</v>
      </c>
      <c r="F341" s="1847">
        <v>0.15</v>
      </c>
    </row>
    <row r="342" spans="1:6" ht="14.25" thickBot="1">
      <c r="A342" s="1841" t="s">
        <v>2227</v>
      </c>
      <c r="B342" s="1845" t="s">
        <v>2233</v>
      </c>
      <c r="C342" s="1846">
        <v>0.15</v>
      </c>
      <c r="D342" s="1846">
        <v>0.15</v>
      </c>
      <c r="E342" s="1846">
        <v>0.15</v>
      </c>
      <c r="F342" s="1847">
        <v>0.15</v>
      </c>
    </row>
    <row r="343" spans="1:6" ht="14.25" thickBot="1">
      <c r="A343" s="1841" t="s">
        <v>2227</v>
      </c>
      <c r="B343" s="1845" t="s">
        <v>2234</v>
      </c>
      <c r="C343" s="1846">
        <v>0.15</v>
      </c>
      <c r="D343" s="1846">
        <v>0.15</v>
      </c>
      <c r="E343" s="1846">
        <v>0.15</v>
      </c>
      <c r="F343" s="1847">
        <v>0.15</v>
      </c>
    </row>
    <row r="344" spans="1:6" ht="14.25" thickBot="1">
      <c r="A344" s="1849" t="s">
        <v>2227</v>
      </c>
      <c r="B344" s="1856" t="s">
        <v>2235</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2933" t="s">
        <v>2945</v>
      </c>
      <c r="B1" s="2935"/>
      <c r="C1" s="2935"/>
      <c r="D1" s="2935"/>
      <c r="E1" s="2935"/>
      <c r="F1" s="2935"/>
    </row>
    <row r="2" spans="1:6" ht="14.25">
      <c r="A2" s="2936" t="s">
        <v>2940</v>
      </c>
      <c r="B2" s="2937">
        <f ca="1">SUMIF(B7:B14,"&lt;&gt;#ref!",B7:B14)</f>
        <v>10939</v>
      </c>
      <c r="C2" s="2936" t="s">
        <v>2941</v>
      </c>
      <c r="D2" s="2935"/>
      <c r="E2" s="2935"/>
      <c r="F2" s="2935"/>
    </row>
    <row r="3" spans="1:6" ht="14.25">
      <c r="A3" s="2936" t="s">
        <v>2973</v>
      </c>
      <c r="B3" s="2937">
        <f ca="1">ROUND(B2*10000/E3,0)</f>
        <v>6397</v>
      </c>
      <c r="C3" s="2936" t="s">
        <v>2076</v>
      </c>
      <c r="D3" s="2936" t="s">
        <v>2942</v>
      </c>
      <c r="E3" s="2937">
        <f ca="1">SUMIF(E7:E14,"&lt;&gt;#ref!",E7:E14)</f>
        <v>17100</v>
      </c>
      <c r="F3" s="2935"/>
    </row>
    <row r="4" spans="1:6" ht="14.25">
      <c r="A4" s="2936" t="s">
        <v>2949</v>
      </c>
      <c r="B4" s="2937">
        <f ca="1">ROUND(B2*10000/E4,0)</f>
        <v>19889</v>
      </c>
      <c r="C4" s="2936" t="s">
        <v>2076</v>
      </c>
      <c r="D4" s="2936" t="s">
        <v>2950</v>
      </c>
      <c r="E4" s="2937">
        <f ca="1">SUMIF(F7:F14,"&lt;&gt;#ref!",F7:F14)</f>
        <v>5500</v>
      </c>
      <c r="F4" s="2935"/>
    </row>
    <row r="5" spans="1:6" ht="14.25">
      <c r="A5" s="2938"/>
      <c r="B5" s="1867"/>
      <c r="C5" s="1867"/>
      <c r="D5" s="1867"/>
      <c r="E5" s="1867"/>
      <c r="F5" s="2935"/>
    </row>
    <row r="6" spans="1:6" ht="28.5">
      <c r="A6" s="2939" t="s">
        <v>2946</v>
      </c>
      <c r="B6" s="2936" t="s">
        <v>2943</v>
      </c>
      <c r="C6" s="2937"/>
      <c r="D6" s="1867"/>
      <c r="E6" s="2936" t="s">
        <v>2944</v>
      </c>
      <c r="F6" s="2936" t="s">
        <v>2948</v>
      </c>
    </row>
    <row r="7" spans="1:6" ht="14.25">
      <c r="A7" s="260" t="s">
        <v>2947</v>
      </c>
      <c r="B7" s="2940">
        <f ca="1">SUMIF(INDIRECT("'"&amp;A7&amp;"'"&amp;"!A:A"),"总价",INDIRECT("'"&amp;A7&amp;"'"&amp;"!B:B"))</f>
        <v>10939</v>
      </c>
      <c r="C7" s="2936" t="s">
        <v>2941</v>
      </c>
      <c r="D7" s="1867"/>
      <c r="E7" s="2941">
        <f ca="1">SUMIF(INDIRECT("'"&amp;A7&amp;"'"&amp;"!C:C"),"建筑面积",INDIRECT("'"&amp;A7&amp;"'"&amp;"!D:D"))</f>
        <v>17100</v>
      </c>
      <c r="F7" s="2941">
        <f ca="1">SUMIF(INDIRECT("'"&amp;A7&amp;"'"&amp;"!E:E"),"土地面积",INDIRECT("'"&amp;A7&amp;"'"&amp;"!F:F"))</f>
        <v>5500</v>
      </c>
    </row>
    <row r="8" spans="1:6" ht="14.25">
      <c r="A8" s="260"/>
      <c r="B8" s="2940" t="e">
        <f t="shared" ref="B8:B14" ca="1" si="0">SUMIF(INDIRECT("'"&amp;A8&amp;"'"&amp;"!A:A"),"总价",INDIRECT("'"&amp;A8&amp;"'"&amp;"!B:B"))</f>
        <v>#REF!</v>
      </c>
      <c r="C8" s="2936" t="s">
        <v>2941</v>
      </c>
      <c r="D8" s="1867"/>
      <c r="E8" s="2941" t="e">
        <f t="shared" ref="E8:E14" ca="1" si="1">SUMIF(INDIRECT("'"&amp;A8&amp;"'"&amp;"!C:C"),"建筑面积",INDIRECT("'"&amp;A8&amp;"'"&amp;"!D:D"))</f>
        <v>#REF!</v>
      </c>
      <c r="F8" s="2941" t="e">
        <f t="shared" ref="F8:F14" ca="1" si="2">SUMIF(INDIRECT("'"&amp;A8&amp;"'"&amp;"!E:E"),"土地面积",INDIRECT("'"&amp;A8&amp;"'"&amp;"!F:F"))</f>
        <v>#REF!</v>
      </c>
    </row>
    <row r="9" spans="1:6" ht="14.25">
      <c r="A9" s="260"/>
      <c r="B9" s="2940" t="e">
        <f t="shared" ca="1" si="0"/>
        <v>#REF!</v>
      </c>
      <c r="C9" s="2936" t="s">
        <v>2941</v>
      </c>
      <c r="D9" s="1867"/>
      <c r="E9" s="2941" t="e">
        <f t="shared" ca="1" si="1"/>
        <v>#REF!</v>
      </c>
      <c r="F9" s="2941" t="e">
        <f t="shared" ca="1" si="2"/>
        <v>#REF!</v>
      </c>
    </row>
    <row r="10" spans="1:6" ht="14.25">
      <c r="A10" s="260"/>
      <c r="B10" s="2940" t="e">
        <f t="shared" ca="1" si="0"/>
        <v>#REF!</v>
      </c>
      <c r="C10" s="2936" t="s">
        <v>2941</v>
      </c>
      <c r="D10" s="1867"/>
      <c r="E10" s="2941" t="e">
        <f t="shared" ca="1" si="1"/>
        <v>#REF!</v>
      </c>
      <c r="F10" s="2941" t="e">
        <f t="shared" ca="1" si="2"/>
        <v>#REF!</v>
      </c>
    </row>
    <row r="11" spans="1:6" ht="14.25">
      <c r="A11" s="260"/>
      <c r="B11" s="2940" t="e">
        <f t="shared" ca="1" si="0"/>
        <v>#REF!</v>
      </c>
      <c r="C11" s="2936" t="s">
        <v>2941</v>
      </c>
      <c r="D11" s="1867"/>
      <c r="E11" s="2941" t="e">
        <f t="shared" ca="1" si="1"/>
        <v>#REF!</v>
      </c>
      <c r="F11" s="2941" t="e">
        <f t="shared" ca="1" si="2"/>
        <v>#REF!</v>
      </c>
    </row>
    <row r="12" spans="1:6" ht="14.25">
      <c r="A12" s="260"/>
      <c r="B12" s="2940" t="e">
        <f t="shared" ca="1" si="0"/>
        <v>#REF!</v>
      </c>
      <c r="C12" s="2936" t="s">
        <v>2941</v>
      </c>
      <c r="D12" s="1867"/>
      <c r="E12" s="2941" t="e">
        <f t="shared" ca="1" si="1"/>
        <v>#REF!</v>
      </c>
      <c r="F12" s="2941" t="e">
        <f t="shared" ca="1" si="2"/>
        <v>#REF!</v>
      </c>
    </row>
    <row r="13" spans="1:6" ht="14.25">
      <c r="A13" s="260"/>
      <c r="B13" s="2940" t="e">
        <f t="shared" ca="1" si="0"/>
        <v>#REF!</v>
      </c>
      <c r="C13" s="2936" t="s">
        <v>2941</v>
      </c>
      <c r="D13" s="1867"/>
      <c r="E13" s="2941" t="e">
        <f t="shared" ca="1" si="1"/>
        <v>#REF!</v>
      </c>
      <c r="F13" s="2941" t="e">
        <f t="shared" ca="1" si="2"/>
        <v>#REF!</v>
      </c>
    </row>
    <row r="14" spans="1:6" ht="14.25">
      <c r="A14" s="2934"/>
      <c r="B14" s="2940" t="e">
        <f t="shared" ca="1" si="0"/>
        <v>#REF!</v>
      </c>
      <c r="C14" s="2936" t="s">
        <v>2941</v>
      </c>
      <c r="D14" s="1867"/>
      <c r="E14" s="2941" t="e">
        <f t="shared" ca="1" si="1"/>
        <v>#REF!</v>
      </c>
      <c r="F14" s="2941"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A24" zoomScale="80" zoomScaleNormal="80" workbookViewId="0">
      <selection activeCell="D48" sqref="D48"/>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c r="D1" s="2948" t="s">
        <v>952</v>
      </c>
      <c r="E1" s="2352" t="s">
        <v>2371</v>
      </c>
      <c r="F1" s="2353">
        <f ca="1">J53</f>
        <v>0</v>
      </c>
      <c r="G1" s="774">
        <f>MATCH(C1,'数据-取费表'!A6:A16,0)+5</f>
        <v>7</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t="e">
        <f ca="1">C40+J29+L46</f>
        <v>#DIV/0!</v>
      </c>
      <c r="C2" s="2043"/>
      <c r="D2" s="2041"/>
      <c r="E2" s="2042"/>
      <c r="F2" s="2042"/>
      <c r="G2" s="1577"/>
      <c r="H2" s="2043"/>
      <c r="I2" s="2043"/>
      <c r="J2" s="2043"/>
      <c r="K2" s="2044"/>
      <c r="L2" s="2043"/>
      <c r="M2" s="2043"/>
    </row>
    <row r="3" spans="1:33" ht="18" customHeight="1" thickBot="1">
      <c r="A3" s="833" t="s">
        <v>1727</v>
      </c>
      <c r="B3" s="834">
        <f ca="1">IF(ISERROR(B2*10000/F43),0,ROUND(B2*10000/F43,0))</f>
        <v>0</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2455</v>
      </c>
      <c r="C5" s="55">
        <f ca="1">C6+C10+C12</f>
        <v>0</v>
      </c>
      <c r="D5" s="2461" t="s">
        <v>2458</v>
      </c>
      <c r="E5" s="2455"/>
      <c r="F5" s="2456"/>
      <c r="G5" s="1579"/>
      <c r="H5" s="781">
        <v>1</v>
      </c>
      <c r="I5" s="782" t="s">
        <v>2455</v>
      </c>
      <c r="J5" s="55">
        <f ca="1">J6+J10+J12</f>
        <v>0</v>
      </c>
      <c r="K5" s="2461" t="s">
        <v>2458</v>
      </c>
      <c r="L5" s="2455"/>
      <c r="M5" s="2456"/>
    </row>
    <row r="6" spans="1:33" ht="18" customHeight="1">
      <c r="A6" s="1816" t="s">
        <v>1824</v>
      </c>
      <c r="B6" s="3472" t="s">
        <v>2460</v>
      </c>
      <c r="C6" s="783">
        <f ca="1">ROUND(F6*F8*F7*(1-F9)/10000,0)</f>
        <v>0</v>
      </c>
      <c r="D6" s="2462" t="s">
        <v>2459</v>
      </c>
      <c r="E6" s="784" t="s">
        <v>1738</v>
      </c>
      <c r="F6" s="785">
        <f ca="1">INDIRECT("'数据-取费表'!u"&amp;$G$1)</f>
        <v>0</v>
      </c>
      <c r="G6" s="1579"/>
      <c r="H6" s="2469" t="s">
        <v>2465</v>
      </c>
      <c r="I6" s="3472" t="s">
        <v>2460</v>
      </c>
      <c r="J6" s="783">
        <f ca="1">ROUND(M6*M8*M7*(1-M9)/10000,0)</f>
        <v>0</v>
      </c>
      <c r="K6" s="341" t="s">
        <v>1737</v>
      </c>
      <c r="L6" s="784" t="s">
        <v>1738</v>
      </c>
      <c r="M6" s="785">
        <f ca="1">INDIRECT("'数据-取费表'!z"&amp;$G$1)</f>
        <v>0</v>
      </c>
    </row>
    <row r="7" spans="1:33" ht="18" customHeight="1">
      <c r="A7" s="2465"/>
      <c r="B7" s="3473"/>
      <c r="C7" s="788"/>
      <c r="D7" s="789"/>
      <c r="E7" s="784" t="s">
        <v>1739</v>
      </c>
      <c r="F7" s="785">
        <f ca="1">IF(INDIRECT("'数据-取费表'!ah"&amp;$G$1)="",INDIRECT("'数据-取费表'!k"&amp;$G$1),INDIRECT("'数据-取费表'!ah"&amp;$G$1))</f>
        <v>0</v>
      </c>
      <c r="G7" s="1579"/>
      <c r="H7" s="2454"/>
      <c r="I7" s="3473"/>
      <c r="J7" s="788"/>
      <c r="K7" s="789"/>
      <c r="L7" s="784" t="s">
        <v>1739</v>
      </c>
      <c r="M7" s="785">
        <f ca="1">F7</f>
        <v>0</v>
      </c>
    </row>
    <row r="8" spans="1:33" ht="18" customHeight="1">
      <c r="A8" s="2458"/>
      <c r="B8" s="3474"/>
      <c r="C8" s="788"/>
      <c r="D8" s="789"/>
      <c r="E8" s="784" t="s">
        <v>1740</v>
      </c>
      <c r="F8" s="785">
        <f ca="1">INDIRECT("'数据-取费表'!ai"&amp;$G$1)</f>
        <v>0</v>
      </c>
      <c r="G8" s="1579"/>
      <c r="H8" s="2454"/>
      <c r="I8" s="3474"/>
      <c r="J8" s="788"/>
      <c r="K8" s="789"/>
      <c r="L8" s="784" t="s">
        <v>1740</v>
      </c>
      <c r="M8" s="785">
        <f ca="1">INDIRECT("'数据-取费表'!ai"&amp;$G$1)</f>
        <v>0</v>
      </c>
    </row>
    <row r="9" spans="1:33" ht="18" customHeight="1">
      <c r="A9" s="786"/>
      <c r="B9" s="3475"/>
      <c r="C9" s="788"/>
      <c r="D9" s="789"/>
      <c r="E9" s="784" t="s">
        <v>1741</v>
      </c>
      <c r="F9" s="794">
        <f ca="1">INDIRECT("'数据-取费表'!w"&amp;$G$1)</f>
        <v>0</v>
      </c>
      <c r="G9" s="1579"/>
      <c r="H9" s="2470"/>
      <c r="I9" s="3474"/>
      <c r="J9" s="788"/>
      <c r="K9" s="789"/>
      <c r="L9" s="795" t="s">
        <v>1741</v>
      </c>
      <c r="M9" s="796">
        <f ca="1">INDIRECT("'数据-取费表'!ab"&amp;$G$1)</f>
        <v>0</v>
      </c>
    </row>
    <row r="10" spans="1:33" ht="18" customHeight="1">
      <c r="A10" s="1816" t="s">
        <v>2463</v>
      </c>
      <c r="B10" s="2459" t="s">
        <v>2456</v>
      </c>
      <c r="C10" s="799">
        <f ca="1">ROUND(IF(F10="押一",C6/12*F11,IF(F10="押二",C6/12*2*F11,IF(F10="押三",C6/12*3*F11,C11*F11))),0)</f>
        <v>0</v>
      </c>
      <c r="D10" s="2466" t="s">
        <v>2970</v>
      </c>
      <c r="E10" s="2463" t="s">
        <v>2461</v>
      </c>
      <c r="F10" s="2586"/>
      <c r="G10" s="1579"/>
      <c r="H10" s="2526" t="s">
        <v>2466</v>
      </c>
      <c r="I10" s="2531" t="s">
        <v>2456</v>
      </c>
      <c r="J10" s="783">
        <f ca="1">ROUND(IF(M10="押一",J6/12*M11,IF(M10="押二",J6/12*2*M11,IF(M10="押三",J6/12*3*M11,J11*M11))),0)</f>
        <v>0</v>
      </c>
      <c r="K10" s="2466" t="s">
        <v>2970</v>
      </c>
      <c r="L10" s="2463" t="s">
        <v>2461</v>
      </c>
      <c r="M10" s="2586"/>
    </row>
    <row r="11" spans="1:33" ht="18" customHeight="1">
      <c r="A11" s="790"/>
      <c r="B11" s="2460" t="s">
        <v>2570</v>
      </c>
      <c r="C11" s="2464"/>
      <c r="D11" s="789"/>
      <c r="E11" s="2463" t="s">
        <v>2462</v>
      </c>
      <c r="F11" s="796">
        <f ca="1">'数据-取费表'!B39</f>
        <v>1.4999999999999999E-2</v>
      </c>
      <c r="G11" s="1579"/>
      <c r="H11" s="2527"/>
      <c r="I11" s="2460" t="s">
        <v>2570</v>
      </c>
      <c r="J11" s="2464"/>
      <c r="K11" s="2528"/>
      <c r="L11" s="2463" t="s">
        <v>2462</v>
      </c>
      <c r="M11" s="2457">
        <f ca="1">'数据-取费表'!B39</f>
        <v>1.4999999999999999E-2</v>
      </c>
    </row>
    <row r="12" spans="1:33" ht="18" customHeight="1" thickBot="1">
      <c r="A12" s="2502" t="s">
        <v>2464</v>
      </c>
      <c r="B12" s="2503" t="s">
        <v>2457</v>
      </c>
      <c r="C12" s="2504"/>
      <c r="D12" s="2505"/>
      <c r="E12" s="2506"/>
      <c r="F12" s="2507"/>
      <c r="G12" s="1579"/>
      <c r="H12" s="2516" t="s">
        <v>2467</v>
      </c>
      <c r="I12" s="2529" t="s">
        <v>2457</v>
      </c>
      <c r="J12" s="2530"/>
      <c r="K12" s="2505"/>
      <c r="L12" s="2506"/>
      <c r="M12" s="2519"/>
    </row>
    <row r="13" spans="1:33" ht="18" customHeight="1" thickTop="1">
      <c r="A13" s="1815">
        <v>2</v>
      </c>
      <c r="B13" s="1813" t="s">
        <v>1742</v>
      </c>
      <c r="C13" s="792">
        <f ca="1">ROUND(C29*F13,0)</f>
        <v>0</v>
      </c>
      <c r="D13" s="1820" t="s">
        <v>2294</v>
      </c>
      <c r="E13" s="1820" t="s">
        <v>1744</v>
      </c>
      <c r="F13" s="2501">
        <f ca="1">INDIRECT("'数据-取费表'!y"&amp;$G$1)</f>
        <v>0</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0</v>
      </c>
      <c r="D14" s="1965" t="s">
        <v>1745</v>
      </c>
      <c r="E14" s="1966"/>
      <c r="F14" s="805"/>
      <c r="G14" s="1579"/>
      <c r="H14" s="1635" t="s">
        <v>1830</v>
      </c>
      <c r="I14" s="2217" t="s">
        <v>2821</v>
      </c>
      <c r="J14" s="53">
        <f ca="1">C29</f>
        <v>0</v>
      </c>
      <c r="K14" s="26"/>
      <c r="L14" s="801"/>
      <c r="M14" s="802"/>
    </row>
    <row r="15" spans="1:33" s="2050" customFormat="1" ht="18" customHeight="1" thickBot="1">
      <c r="A15" s="1634" t="s">
        <v>1885</v>
      </c>
      <c r="B15" s="784" t="s">
        <v>647</v>
      </c>
      <c r="C15" s="53">
        <f ca="1">ROUND(C14*F15,0)</f>
        <v>0</v>
      </c>
      <c r="D15" s="806" t="s">
        <v>1746</v>
      </c>
      <c r="E15" s="806" t="s">
        <v>1747</v>
      </c>
      <c r="F15" s="807">
        <f>'数据-取费表'!B33</f>
        <v>0.03</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0</v>
      </c>
      <c r="K16" s="1807" t="s">
        <v>1750</v>
      </c>
      <c r="L16" s="2451"/>
      <c r="M16" s="2456"/>
    </row>
    <row r="17" spans="1:33" s="2050" customFormat="1" ht="18" customHeight="1">
      <c r="A17" s="1634" t="s">
        <v>1887</v>
      </c>
      <c r="B17" s="784" t="s">
        <v>653</v>
      </c>
      <c r="C17" s="53">
        <f ca="1">ROUND(F17*(F43+INDIRECT("'数据-取费表'!S"&amp;$G$1))/10000,0)</f>
        <v>0</v>
      </c>
      <c r="D17" s="784" t="s">
        <v>1751</v>
      </c>
      <c r="E17" s="784" t="s">
        <v>1752</v>
      </c>
      <c r="F17" s="56">
        <f>'数据-取费表'!B35</f>
        <v>300</v>
      </c>
      <c r="G17" s="1580"/>
      <c r="H17" s="1635" t="s">
        <v>1830</v>
      </c>
      <c r="I17" s="784" t="s">
        <v>656</v>
      </c>
      <c r="J17" s="3033">
        <f ca="1">ROUND(IF(项目基本情况!B11="自然人",J6*M17/(1+'数据-取费表'!C42),J18+J19+J20),0)</f>
        <v>0</v>
      </c>
      <c r="K17" s="2450" t="s">
        <v>1753</v>
      </c>
      <c r="L17" s="2449" t="s">
        <v>1754</v>
      </c>
      <c r="M17" s="810" t="str">
        <f ca="1">IF(项目基本情况!B11="企业","",IF(INDIRECT("'数据-取费表'!c"&amp;$G$1)="住宅",5%,IF(M6*M7*M8/12/(1+'数据-取费表'!C42)&gt;20000,12%,7%)))</f>
        <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0</v>
      </c>
      <c r="D18" s="784" t="s">
        <v>1746</v>
      </c>
      <c r="E18" s="784" t="s">
        <v>1747</v>
      </c>
      <c r="F18" s="809">
        <f>'数据-取费表'!B36</f>
        <v>1.4999999999999999E-2</v>
      </c>
      <c r="G18" s="1580"/>
      <c r="H18" s="1634" t="s">
        <v>1884</v>
      </c>
      <c r="I18" s="784" t="s">
        <v>1755</v>
      </c>
      <c r="J18" s="3033">
        <f ca="1">ROUND(J6*M18/(1+'数据-取费表'!C42),1)</f>
        <v>0</v>
      </c>
      <c r="K18" s="2449" t="s">
        <v>1756</v>
      </c>
      <c r="L18" s="784" t="s">
        <v>1747</v>
      </c>
      <c r="M18" s="809">
        <f>'数据-取费表'!B41</f>
        <v>5.6500000000000002E-2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0</v>
      </c>
      <c r="D19" s="261" t="s">
        <v>1757</v>
      </c>
      <c r="E19" s="1968"/>
      <c r="F19" s="56"/>
      <c r="G19" s="1579"/>
      <c r="H19" s="1634" t="s">
        <v>1885</v>
      </c>
      <c r="I19" s="784" t="s">
        <v>1758</v>
      </c>
      <c r="J19" s="3033">
        <f ca="1">IF(K19="按租金收入计税",ROUND(J6*M19/(1+'数据-取费表'!C42),1),ROUND(C29*F33*0.7,1))</f>
        <v>0</v>
      </c>
      <c r="K19" s="811" t="s">
        <v>665</v>
      </c>
      <c r="L19" s="784" t="s">
        <v>1747</v>
      </c>
      <c r="M19" s="809">
        <f>IF(K19="按租金收入计税",'数据-取费表'!B51,'数据-取费表'!B50)</f>
        <v>1.2E-2</v>
      </c>
    </row>
    <row r="20" spans="1:33" s="2050" customFormat="1" ht="18" customHeight="1">
      <c r="A20" s="1635" t="s">
        <v>1889</v>
      </c>
      <c r="B20" s="784" t="s">
        <v>666</v>
      </c>
      <c r="C20" s="53">
        <f ca="1">ROUND(C19*F20,0)</f>
        <v>0</v>
      </c>
      <c r="D20" s="812" t="s">
        <v>1759</v>
      </c>
      <c r="E20" s="784" t="s">
        <v>1747</v>
      </c>
      <c r="F20" s="809">
        <f>'数据-取费表'!B37</f>
        <v>0.02</v>
      </c>
      <c r="G20" s="1580"/>
      <c r="H20" s="1637" t="s">
        <v>1880</v>
      </c>
      <c r="I20" s="341" t="s">
        <v>1760</v>
      </c>
      <c r="J20" s="54">
        <f ca="1">ROUND(M20*M21/10000,0)</f>
        <v>0</v>
      </c>
      <c r="K20" s="814" t="s">
        <v>1761</v>
      </c>
      <c r="L20" s="784" t="s">
        <v>1762</v>
      </c>
      <c r="M20" s="640">
        <f>'数据-取费表'!B52</f>
        <v>1.5</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2295</v>
      </c>
      <c r="E21" s="784" t="s">
        <v>1765</v>
      </c>
      <c r="F21" s="809">
        <f>'数据-取费表'!B38</f>
        <v>0.02</v>
      </c>
      <c r="G21" s="1580"/>
      <c r="H21" s="2471"/>
      <c r="I21" s="793"/>
      <c r="J21" s="69"/>
      <c r="K21" s="816"/>
      <c r="L21" s="784" t="s">
        <v>1766</v>
      </c>
      <c r="M21" s="785">
        <f ca="1">INDIRECT("'数据-取费表'!r"&amp;$G$1)</f>
        <v>0</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0</v>
      </c>
      <c r="K22" s="2449" t="s">
        <v>1769</v>
      </c>
      <c r="L22" s="784" t="s">
        <v>1747</v>
      </c>
      <c r="M22" s="817">
        <f ca="1">INDIRECT("'数据-取费表'!Ak"&amp;$G$1)</f>
        <v>0</v>
      </c>
    </row>
    <row r="23" spans="1:33" s="2050" customFormat="1" ht="18" customHeight="1">
      <c r="A23" s="1634" t="s">
        <v>1831</v>
      </c>
      <c r="B23" s="784" t="s">
        <v>2532</v>
      </c>
      <c r="C23" s="53">
        <f ca="1">ROUND(IF('数据-取费表'!B22&lt;=1,(C19+C20)*F24*F23/2,(C19+C20)*(POWER((1+F24),F23/2)-1)),0)</f>
        <v>0</v>
      </c>
      <c r="D23" s="2536" t="str">
        <f>IF(F23&lt;=1,"(建造成本+管理费用)×利率×(建设周期÷2)","(建造成本+管理费用)×((1+利率)^(建设周期÷2)-1)")</f>
        <v>(建造成本+管理费用)×((1+利率)^(建设周期÷2)-1)</v>
      </c>
      <c r="E23" s="784" t="s">
        <v>1770</v>
      </c>
      <c r="F23" s="640">
        <f>'数据-取费表'!B20</f>
        <v>1.5</v>
      </c>
      <c r="G23" s="1580"/>
      <c r="H23" s="1635" t="s">
        <v>1890</v>
      </c>
      <c r="I23" s="784" t="s">
        <v>679</v>
      </c>
      <c r="J23" s="53">
        <f ca="1">ROUND(J13*M23,0)</f>
        <v>0</v>
      </c>
      <c r="K23" s="2449" t="s">
        <v>1771</v>
      </c>
      <c r="L23" s="784" t="s">
        <v>1747</v>
      </c>
      <c r="M23" s="818">
        <f ca="1">INDIRECT("'数据-取费表'!Al"&amp;$G$1)</f>
        <v>0</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6.9999999999999999E-4</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0</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846" t="s">
        <v>2817</v>
      </c>
      <c r="J25" s="792">
        <f ca="1">J5-J16</f>
        <v>0</v>
      </c>
      <c r="K25" s="2513" t="s">
        <v>1777</v>
      </c>
      <c r="L25" s="2514"/>
      <c r="M25" s="2515"/>
    </row>
    <row r="26" spans="1:33" ht="18" customHeight="1">
      <c r="A26" s="1634" t="s">
        <v>1831</v>
      </c>
      <c r="B26" s="784" t="s">
        <v>2435</v>
      </c>
      <c r="C26" s="53">
        <f ca="1">ROUND((C19+C20)*F26,0)</f>
        <v>0</v>
      </c>
      <c r="D26" s="812" t="s">
        <v>1778</v>
      </c>
      <c r="E26" s="795" t="s">
        <v>1779</v>
      </c>
      <c r="F26" s="794">
        <f ca="1">INDIRECT("'数据-取费表'!q"&amp;$G$1)</f>
        <v>0</v>
      </c>
      <c r="G26" s="1579"/>
      <c r="H26" s="2467" t="s">
        <v>1780</v>
      </c>
      <c r="I26" s="2218" t="s">
        <v>2822</v>
      </c>
      <c r="J26" s="783">
        <f ca="1">IF(J5&lt;&gt;0,ROUND(J25*(1-((1+M28)/(1+M26))^M27)/(M26-M28),0),0)</f>
        <v>0</v>
      </c>
      <c r="K26" s="814" t="s">
        <v>1781</v>
      </c>
      <c r="L26" s="784" t="s">
        <v>2416</v>
      </c>
      <c r="M26" s="794">
        <f ca="1">INDIRECT("'数据-取费表'!I"&amp;$G$1)</f>
        <v>0</v>
      </c>
    </row>
    <row r="27" spans="1:33" ht="18" customHeight="1">
      <c r="A27" s="1634" t="s">
        <v>1832</v>
      </c>
      <c r="B27" s="784" t="s">
        <v>686</v>
      </c>
      <c r="C27" s="53">
        <f ca="1">ROUND(F21*F26,4)</f>
        <v>0</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5.3800000000000001E-2</v>
      </c>
      <c r="D28" s="812" t="s">
        <v>2296</v>
      </c>
      <c r="E28" s="784" t="s">
        <v>1785</v>
      </c>
      <c r="F28" s="809">
        <f>'数据-取费表'!B41</f>
        <v>5.6500000000000002E-2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2297</v>
      </c>
      <c r="C29" s="2509">
        <f ca="1">ROUND((C19+C20+C23+C26)/(1-F21-C24-C27-C28),0)</f>
        <v>0</v>
      </c>
      <c r="D29" s="2510"/>
      <c r="E29" s="2511"/>
      <c r="F29" s="2512"/>
      <c r="G29" s="1580"/>
      <c r="H29" s="823" t="s">
        <v>1787</v>
      </c>
      <c r="I29" s="824" t="s">
        <v>1788</v>
      </c>
      <c r="J29" s="825">
        <f ca="1">ROUND(J26/(1+F40)^F41,0)</f>
        <v>0</v>
      </c>
      <c r="K29" s="826" t="s">
        <v>1789</v>
      </c>
      <c r="L29" s="827"/>
      <c r="M29" s="828">
        <f ca="1">INDIRECT("'数据-取费表'!k"&amp;$G$1)</f>
        <v>0</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0</v>
      </c>
      <c r="D30" s="1807" t="s">
        <v>1791</v>
      </c>
      <c r="E30" s="2451"/>
      <c r="F30" s="2456"/>
      <c r="G30" s="2048"/>
      <c r="H30" s="2051"/>
      <c r="I30" s="2052"/>
      <c r="J30" s="2053"/>
      <c r="K30" s="2054"/>
      <c r="L30" s="2055"/>
      <c r="M30" s="2056"/>
    </row>
    <row r="31" spans="1:33" ht="18" customHeight="1">
      <c r="A31" s="1635" t="s">
        <v>1830</v>
      </c>
      <c r="B31" s="784" t="s">
        <v>656</v>
      </c>
      <c r="C31" s="3033">
        <f ca="1">ROUND(IF(项目基本情况!B11="自然人",C6*F31/(1+'数据-取费表'!C42),C32+C33+C34),1)</f>
        <v>0</v>
      </c>
      <c r="D31" s="1965" t="s">
        <v>1792</v>
      </c>
      <c r="E31" s="1963" t="s">
        <v>1793</v>
      </c>
      <c r="F31" s="810" t="str">
        <f ca="1">IF(项目基本情况!B11="企业","",IF(INDIRECT("'数据-取费表'!c"&amp;$G$1)="住宅",5%,IF(F6*F7*F8/12/(1+'数据-取费表'!C42)&gt;20000,12%,7%)))</f>
        <v/>
      </c>
      <c r="G31" s="2048"/>
      <c r="H31" s="2051"/>
      <c r="I31" s="2052"/>
      <c r="J31" s="2053"/>
      <c r="K31" s="2054"/>
      <c r="L31" s="2055"/>
      <c r="M31" s="2056"/>
    </row>
    <row r="32" spans="1:33" ht="18" customHeight="1">
      <c r="A32" s="1634" t="s">
        <v>1831</v>
      </c>
      <c r="B32" s="784" t="s">
        <v>1794</v>
      </c>
      <c r="C32" s="3033">
        <f ca="1">ROUND(C6*F32/(1+'数据-取费表'!C42),1)</f>
        <v>0</v>
      </c>
      <c r="D32" s="1963" t="s">
        <v>1795</v>
      </c>
      <c r="E32" s="784" t="s">
        <v>1796</v>
      </c>
      <c r="F32" s="809">
        <f>'数据-取费表'!B41</f>
        <v>5.6500000000000002E-2</v>
      </c>
      <c r="G32" s="2048"/>
      <c r="H32" s="2057"/>
      <c r="I32" s="2058"/>
      <c r="J32" s="2059"/>
      <c r="K32" s="2060"/>
      <c r="L32" s="2061"/>
      <c r="M32" s="2062"/>
    </row>
    <row r="33" spans="1:18" ht="18" customHeight="1">
      <c r="A33" s="1634" t="s">
        <v>1832</v>
      </c>
      <c r="B33" s="784" t="s">
        <v>1797</v>
      </c>
      <c r="C33" s="3033">
        <f ca="1">IF(D33="按租金收入计税",ROUND(C6*F33/(1+'数据-取费表'!C42),1),IF(D33="按房产原值计税",ROUND(C29*F33*0.7,1),INDIRECT("'数据-取费表'!Aj"&amp;$G$1)))</f>
        <v>0</v>
      </c>
      <c r="D33" s="811" t="s">
        <v>1680</v>
      </c>
      <c r="E33" s="784" t="s">
        <v>1796</v>
      </c>
      <c r="F33" s="809">
        <f>IF(D33="按租金收入计税",'数据-取费表'!B51,'数据-取费表'!B50)</f>
        <v>1.2E-2</v>
      </c>
      <c r="G33" s="2048"/>
      <c r="H33" s="2063"/>
      <c r="I33" s="2063"/>
      <c r="J33" s="2063"/>
      <c r="K33" s="2064"/>
      <c r="L33" s="2063"/>
      <c r="M33" s="2063"/>
    </row>
    <row r="34" spans="1:18" ht="18" customHeight="1">
      <c r="A34" s="1637" t="s">
        <v>1833</v>
      </c>
      <c r="B34" s="341" t="s">
        <v>1798</v>
      </c>
      <c r="C34" s="54">
        <f ca="1">ROUND(F34*F35/10000,1)</f>
        <v>0</v>
      </c>
      <c r="D34" s="814" t="s">
        <v>1799</v>
      </c>
      <c r="E34" s="784" t="s">
        <v>1800</v>
      </c>
      <c r="F34" s="640">
        <f>'数据-取费表'!B52</f>
        <v>1.5</v>
      </c>
      <c r="G34" s="2048"/>
      <c r="H34" s="2051"/>
      <c r="I34" s="835" t="s">
        <v>1813</v>
      </c>
      <c r="J34" s="836"/>
      <c r="K34" s="2066"/>
      <c r="L34" s="2065"/>
      <c r="M34" s="2065"/>
    </row>
    <row r="35" spans="1:18" ht="18" customHeight="1">
      <c r="A35" s="815"/>
      <c r="B35" s="793"/>
      <c r="C35" s="69"/>
      <c r="D35" s="816"/>
      <c r="E35" s="784" t="s">
        <v>1801</v>
      </c>
      <c r="F35" s="785">
        <f ca="1">INDIRECT("'数据-取费表'!r"&amp;$G$1)</f>
        <v>0</v>
      </c>
      <c r="G35" s="2048"/>
      <c r="H35" s="2051"/>
      <c r="I35" s="837" t="s">
        <v>1814</v>
      </c>
      <c r="J35" s="838">
        <f ca="1">ROUND(C13*J36,0)</f>
        <v>0</v>
      </c>
      <c r="K35" s="2064"/>
      <c r="L35" s="2063"/>
      <c r="M35" s="2063"/>
    </row>
    <row r="36" spans="1:18" ht="18" customHeight="1">
      <c r="A36" s="1635" t="s">
        <v>1889</v>
      </c>
      <c r="B36" s="784" t="s">
        <v>1802</v>
      </c>
      <c r="C36" s="53">
        <f ca="1">ROUND(C29*F36,1)</f>
        <v>0</v>
      </c>
      <c r="D36" s="1963" t="s">
        <v>1803</v>
      </c>
      <c r="E36" s="784" t="s">
        <v>1796</v>
      </c>
      <c r="F36" s="817">
        <f ca="1">INDIRECT("'数据-取费表'!Ak"&amp;$G$1)</f>
        <v>0</v>
      </c>
      <c r="G36" s="2048"/>
      <c r="H36" s="2063"/>
      <c r="I36" s="839" t="s">
        <v>1815</v>
      </c>
      <c r="J36" s="840">
        <f ca="1">INDIRECT("'数据-取费表'!j"&amp;$G$1)</f>
        <v>0</v>
      </c>
      <c r="K36" s="2068"/>
      <c r="L36" s="2063"/>
      <c r="M36" s="2063"/>
    </row>
    <row r="37" spans="1:18" ht="18" customHeight="1">
      <c r="A37" s="1635" t="s">
        <v>1890</v>
      </c>
      <c r="B37" s="784" t="s">
        <v>679</v>
      </c>
      <c r="C37" s="53">
        <f ca="1">ROUND(C13*F37,1)</f>
        <v>0</v>
      </c>
      <c r="D37" s="1963" t="s">
        <v>1804</v>
      </c>
      <c r="E37" s="784" t="s">
        <v>1796</v>
      </c>
      <c r="F37" s="818">
        <f ca="1">INDIRECT("'数据-取费表'!Al"&amp;$G$1)</f>
        <v>0</v>
      </c>
      <c r="G37" s="2048"/>
      <c r="H37" s="2063"/>
      <c r="I37" s="841" t="s">
        <v>1816</v>
      </c>
      <c r="J37" s="842"/>
      <c r="K37" s="2068"/>
      <c r="L37" s="2063"/>
      <c r="M37" s="2063"/>
    </row>
    <row r="38" spans="1:18" ht="18" customHeight="1" thickBot="1">
      <c r="A38" s="2516" t="s">
        <v>1891</v>
      </c>
      <c r="B38" s="2511" t="s">
        <v>666</v>
      </c>
      <c r="C38" s="2509">
        <f ca="1">ROUND(C5*F38,1)</f>
        <v>0</v>
      </c>
      <c r="D38" s="2510" t="s">
        <v>1805</v>
      </c>
      <c r="E38" s="2511" t="s">
        <v>1796</v>
      </c>
      <c r="F38" s="2507">
        <f ca="1">INDIRECT("'数据-取费表'!Am"&amp;$G$1)</f>
        <v>0</v>
      </c>
      <c r="G38" s="2048"/>
      <c r="H38" s="2063"/>
      <c r="I38" s="843" t="s">
        <v>1817</v>
      </c>
      <c r="J38" s="844"/>
      <c r="K38" s="2069"/>
      <c r="L38" s="2063"/>
      <c r="M38" s="2063"/>
    </row>
    <row r="39" spans="1:18" ht="24.6" customHeight="1" thickTop="1">
      <c r="A39" s="1815" t="s">
        <v>1894</v>
      </c>
      <c r="B39" s="2846" t="s">
        <v>2817</v>
      </c>
      <c r="C39" s="792">
        <f ca="1">C5-C30</f>
        <v>0</v>
      </c>
      <c r="D39" s="2513" t="s">
        <v>1806</v>
      </c>
      <c r="E39" s="2514"/>
      <c r="F39" s="2515"/>
      <c r="G39" s="2048"/>
      <c r="H39" s="2063"/>
      <c r="I39" s="837" t="s">
        <v>1818</v>
      </c>
      <c r="J39" s="845" t="e">
        <f ca="1">ROUND(J35/C39,3)</f>
        <v>#DIV/0!</v>
      </c>
      <c r="K39" s="2069"/>
      <c r="L39" s="2063"/>
      <c r="M39" s="2063"/>
    </row>
    <row r="40" spans="1:18" ht="18" customHeight="1">
      <c r="A40" s="781" t="s">
        <v>1895</v>
      </c>
      <c r="B40" s="2218" t="s">
        <v>2298</v>
      </c>
      <c r="C40" s="783" t="e">
        <f ca="1">ROUND(C39*(1-((1+F42)/(1+F40))^F41)/(F40-F42),0)</f>
        <v>#DIV/0!</v>
      </c>
      <c r="D40" s="814" t="s">
        <v>1807</v>
      </c>
      <c r="E40" s="784" t="s">
        <v>2416</v>
      </c>
      <c r="F40" s="794">
        <f ca="1">INDIRECT("'数据-取费表'!I"&amp;$G$1)</f>
        <v>0</v>
      </c>
      <c r="G40" s="2048"/>
      <c r="H40" s="2048"/>
      <c r="I40" s="837" t="s">
        <v>1819</v>
      </c>
      <c r="J40" s="845" t="e">
        <f ca="1">1-J39</f>
        <v>#DIV/0!</v>
      </c>
      <c r="K40" s="2069"/>
      <c r="L40" s="2048"/>
      <c r="M40" s="2048"/>
    </row>
    <row r="41" spans="1:18" ht="18" customHeight="1">
      <c r="A41" s="786"/>
      <c r="B41" s="787"/>
      <c r="C41" s="788"/>
      <c r="D41" s="821" t="s">
        <v>1808</v>
      </c>
      <c r="E41" s="784" t="s">
        <v>2960</v>
      </c>
      <c r="F41" s="822">
        <f ca="1">IF(INDIRECT("'数据-取费表'!af"&amp;$G$1)=0,INDIRECT("'数据-取费表'!ae"&amp;$G$1),INDIRECT("'数据-取费表'!af"&amp;$G$1))</f>
        <v>0</v>
      </c>
      <c r="G41" s="2048"/>
      <c r="H41" s="1974"/>
      <c r="I41" s="843" t="s">
        <v>1820</v>
      </c>
      <c r="J41" s="846"/>
      <c r="K41" s="2068"/>
      <c r="L41" s="1974"/>
      <c r="M41" s="1974"/>
    </row>
    <row r="42" spans="1:18" ht="18" customHeight="1">
      <c r="A42" s="790"/>
      <c r="B42" s="791"/>
      <c r="C42" s="792"/>
      <c r="D42" s="816"/>
      <c r="E42" s="784" t="s">
        <v>1809</v>
      </c>
      <c r="F42" s="794">
        <f ca="1">INDIRECT("'数据-取费表'!v"&amp;$G$1)</f>
        <v>0</v>
      </c>
      <c r="G42" s="2048"/>
      <c r="H42" s="1974"/>
      <c r="I42" s="847" t="s">
        <v>1821</v>
      </c>
      <c r="J42" s="845" t="e">
        <f ca="1">ROUND(C13/C40,3)</f>
        <v>#DIV/0!</v>
      </c>
      <c r="K42" s="2068"/>
      <c r="L42" s="1974"/>
      <c r="M42" s="1974"/>
    </row>
    <row r="43" spans="1:18" ht="18" customHeight="1" thickBot="1">
      <c r="A43" s="823" t="s">
        <v>1787</v>
      </c>
      <c r="B43" s="824" t="s">
        <v>1810</v>
      </c>
      <c r="C43" s="825" t="e">
        <f ca="1">ROUND(C40*10000/F43,0)</f>
        <v>#DIV/0!</v>
      </c>
      <c r="D43" s="826" t="s">
        <v>1811</v>
      </c>
      <c r="E43" s="827" t="s">
        <v>1812</v>
      </c>
      <c r="F43" s="828">
        <f ca="1">INDIRECT("'数据-取费表'!k"&amp;$G$1)</f>
        <v>0</v>
      </c>
      <c r="G43" s="2048"/>
      <c r="H43" s="1974"/>
      <c r="I43" s="847" t="s">
        <v>1822</v>
      </c>
      <c r="J43" s="848" t="e">
        <f ca="1">1-J42</f>
        <v>#DIV/0!</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2292</v>
      </c>
      <c r="B46" s="2071"/>
      <c r="C46" s="2539" t="e">
        <f ca="1">C67-C40</f>
        <v>#DIV/0!</v>
      </c>
      <c r="D46" s="2071"/>
      <c r="E46" s="2071"/>
      <c r="F46" s="2071"/>
      <c r="I46" s="2343" t="s">
        <v>2340</v>
      </c>
      <c r="J46" s="2344"/>
      <c r="K46" s="2345"/>
      <c r="L46" s="2962" t="e">
        <f ca="1">IF(OR(M47="住宅",D1="土地（套用方法）"),0,IF(L48&gt;J51,L60,J60))</f>
        <v>#DIV/0!</v>
      </c>
      <c r="O46" s="2359" t="s">
        <v>2407</v>
      </c>
      <c r="P46" s="1579"/>
      <c r="Q46" s="1590"/>
      <c r="R46" s="1579"/>
    </row>
    <row r="47" spans="1:18" s="2045" customFormat="1" ht="18" customHeight="1" thickBot="1">
      <c r="A47" s="2337">
        <v>1</v>
      </c>
      <c r="B47" s="2338" t="s">
        <v>635</v>
      </c>
      <c r="C47" s="2539">
        <f ca="1">C48+C52+C54</f>
        <v>0</v>
      </c>
      <c r="D47" s="2071"/>
      <c r="E47" s="2071"/>
      <c r="F47" s="2071"/>
      <c r="I47" s="2953" t="s">
        <v>2341</v>
      </c>
      <c r="J47" s="2346"/>
      <c r="K47" s="2959" t="s">
        <v>2346</v>
      </c>
      <c r="L47" s="2963">
        <f ca="1">INDIRECT("'数据-取费表'!d"&amp;$G$1)</f>
        <v>0</v>
      </c>
      <c r="M47" s="1590" t="str">
        <f>IF(ISNUMBER(FIND("住宅",C1)),"住宅","非住宅")</f>
        <v>非住宅</v>
      </c>
      <c r="O47" s="2360" t="s">
        <v>2372</v>
      </c>
      <c r="P47" s="2361" t="s">
        <v>2373</v>
      </c>
      <c r="Q47" s="2362" t="s">
        <v>2374</v>
      </c>
      <c r="R47" s="2361" t="s">
        <v>2375</v>
      </c>
    </row>
    <row r="48" spans="1:18" s="2045" customFormat="1" ht="18" customHeight="1" thickBot="1">
      <c r="A48" s="2607" t="s">
        <v>2534</v>
      </c>
      <c r="B48" s="2608" t="s">
        <v>2535</v>
      </c>
      <c r="C48" s="2339">
        <f ca="1">ROUND(F48*F50*F49*(1-F51)/10000,0)</f>
        <v>0</v>
      </c>
      <c r="D48" s="2340" t="s">
        <v>636</v>
      </c>
      <c r="E48" s="2341" t="s">
        <v>2293</v>
      </c>
      <c r="F48" s="2342"/>
      <c r="G48" s="2076"/>
      <c r="I48" s="2949" t="s">
        <v>2342</v>
      </c>
      <c r="J48" s="2347"/>
      <c r="K48" s="2960" t="s">
        <v>2348</v>
      </c>
      <c r="L48" s="1894">
        <f ca="1">INDIRECT("'数据-取费表'!f"&amp;$G$1)</f>
        <v>0</v>
      </c>
      <c r="O48" s="2363" t="s">
        <v>2376</v>
      </c>
      <c r="P48" s="2364" t="s">
        <v>2402</v>
      </c>
      <c r="Q48" s="2365" t="e">
        <f ca="1">C40+J29</f>
        <v>#DIV/0!</v>
      </c>
      <c r="R48" s="2364" t="s">
        <v>2377</v>
      </c>
    </row>
    <row r="49" spans="1:18" s="2045" customFormat="1" ht="18" customHeight="1" thickBot="1">
      <c r="A49" s="786"/>
      <c r="B49" s="787"/>
      <c r="C49" s="788"/>
      <c r="D49" s="789"/>
      <c r="E49" s="784" t="s">
        <v>1739</v>
      </c>
      <c r="F49" s="785">
        <f ca="1">F7</f>
        <v>0</v>
      </c>
      <c r="G49" s="2076"/>
      <c r="H49" s="2079"/>
      <c r="I49" s="2949" t="s">
        <v>2343</v>
      </c>
      <c r="J49" s="2348"/>
      <c r="K49" s="2961" t="s">
        <v>2349</v>
      </c>
      <c r="L49" s="2349"/>
      <c r="O49" s="2363" t="s">
        <v>2378</v>
      </c>
      <c r="P49" s="2364" t="s">
        <v>2403</v>
      </c>
      <c r="Q49" s="2365" t="e">
        <f ca="1">J60</f>
        <v>#DIV/0!</v>
      </c>
      <c r="R49" s="2364" t="s">
        <v>2379</v>
      </c>
    </row>
    <row r="50" spans="1:18" s="2045" customFormat="1" ht="18" customHeight="1" thickBot="1">
      <c r="A50" s="786"/>
      <c r="B50" s="787"/>
      <c r="C50" s="788"/>
      <c r="D50" s="789"/>
      <c r="E50" s="784" t="s">
        <v>1740</v>
      </c>
      <c r="F50" s="785">
        <f ca="1">F8</f>
        <v>0</v>
      </c>
      <c r="G50" s="2081"/>
      <c r="H50" s="2079"/>
      <c r="I50" s="2949" t="s">
        <v>2344</v>
      </c>
      <c r="J50" s="2957">
        <f>SUMPRODUCT((I63:I65=J47)*(J62:L62=J48)*(J63:L65))</f>
        <v>0</v>
      </c>
      <c r="K50" s="2961" t="s">
        <v>2350</v>
      </c>
      <c r="L50" s="2349"/>
      <c r="O50" s="2366" t="s">
        <v>2380</v>
      </c>
      <c r="P50" s="2364" t="s">
        <v>2404</v>
      </c>
      <c r="Q50" s="2365">
        <f ca="1">C29</f>
        <v>0</v>
      </c>
      <c r="R50" s="2364" t="s">
        <v>2377</v>
      </c>
    </row>
    <row r="51" spans="1:18" s="2045" customFormat="1" ht="18" customHeight="1" thickBot="1">
      <c r="A51" s="786"/>
      <c r="B51" s="787"/>
      <c r="C51" s="788"/>
      <c r="D51" s="789"/>
      <c r="E51" s="784" t="s">
        <v>640</v>
      </c>
      <c r="F51" s="2336"/>
      <c r="H51" s="2079"/>
      <c r="I51" s="2954" t="s">
        <v>2345</v>
      </c>
      <c r="J51" s="2958">
        <f>IF(J49="",J50,J49+J50-YEAR('数据-取费表'!B2))</f>
        <v>0</v>
      </c>
      <c r="K51" s="2949" t="s">
        <v>2351</v>
      </c>
      <c r="L51" s="2964">
        <f ca="1">ROUND(-PV(INDIRECT("'数据-取费表'!h"&amp;$G$1),J51,(C39-C13*J36),0),0)</f>
        <v>0</v>
      </c>
      <c r="O51" s="2366" t="s">
        <v>2381</v>
      </c>
      <c r="P51" s="2364" t="s">
        <v>2382</v>
      </c>
      <c r="Q51" s="2367" t="e">
        <f ca="1">J58</f>
        <v>#DIV/0!</v>
      </c>
      <c r="R51" s="2368"/>
    </row>
    <row r="52" spans="1:18" s="2045" customFormat="1" ht="18" customHeight="1" thickBot="1">
      <c r="A52" s="781" t="s">
        <v>2533</v>
      </c>
      <c r="B52" s="2459" t="s">
        <v>2456</v>
      </c>
      <c r="C52" s="799">
        <f ca="1">ROUND(IF(F52="押一",C48/12*F11,IF(F52="押二",C48/12*2*F11,IF(F52="押三",C48/12*3*F11,C53*F11))),0)</f>
        <v>0</v>
      </c>
      <c r="D52" s="2466" t="s">
        <v>2971</v>
      </c>
      <c r="E52" s="2463" t="s">
        <v>2461</v>
      </c>
      <c r="F52" s="2586"/>
      <c r="I52" s="2955" t="s">
        <v>2418</v>
      </c>
      <c r="J52" s="2350"/>
      <c r="K52" s="2955" t="s">
        <v>2417</v>
      </c>
      <c r="L52" s="2350"/>
      <c r="O52" s="2366" t="s">
        <v>2383</v>
      </c>
      <c r="P52" s="2364" t="s">
        <v>2384</v>
      </c>
      <c r="Q52" s="2367">
        <f>J52</f>
        <v>0</v>
      </c>
      <c r="R52" s="2368"/>
    </row>
    <row r="53" spans="1:18" s="2045" customFormat="1" ht="39.75" customHeight="1" thickBot="1">
      <c r="A53" s="786"/>
      <c r="B53" s="2460" t="s">
        <v>2570</v>
      </c>
      <c r="C53" s="2464"/>
      <c r="D53" s="2466"/>
      <c r="E53" s="2463"/>
      <c r="F53" s="800"/>
      <c r="I53" s="2956" t="s">
        <v>2974</v>
      </c>
      <c r="J53" s="3034">
        <f ca="1">IF(M47="住宅",MAX(J51,L48),MIN(J51,L48))</f>
        <v>0</v>
      </c>
      <c r="K53" s="3470" t="s">
        <v>2962</v>
      </c>
      <c r="L53" s="3471"/>
      <c r="O53" s="2366" t="s">
        <v>2385</v>
      </c>
      <c r="P53" s="2364" t="s">
        <v>2386</v>
      </c>
      <c r="Q53" s="2365">
        <f ca="1">J53</f>
        <v>0</v>
      </c>
      <c r="R53" s="2364" t="s">
        <v>2387</v>
      </c>
    </row>
    <row r="54" spans="1:18" s="2045" customFormat="1" ht="18" customHeight="1" thickBot="1">
      <c r="A54" s="2502" t="s">
        <v>2464</v>
      </c>
      <c r="B54" s="2503" t="s">
        <v>2457</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2072"/>
      <c r="O54" s="2363" t="s">
        <v>2388</v>
      </c>
      <c r="P54" s="2364" t="s">
        <v>2405</v>
      </c>
      <c r="Q54" s="2365" t="e">
        <f ca="1">Q48+Q49</f>
        <v>#DIV/0!</v>
      </c>
      <c r="R54" s="2368" t="s">
        <v>2389</v>
      </c>
    </row>
    <row r="55" spans="1:18" s="2045" customFormat="1" ht="18" customHeight="1" thickTop="1" thickBot="1">
      <c r="A55" s="797">
        <v>2</v>
      </c>
      <c r="B55" s="798" t="s">
        <v>644</v>
      </c>
      <c r="C55" s="799">
        <f ca="1">C13</f>
        <v>0</v>
      </c>
      <c r="D55" s="795"/>
      <c r="E55" s="795"/>
      <c r="F55" s="800"/>
      <c r="I55" s="2967" t="s">
        <v>2352</v>
      </c>
      <c r="J55" s="2931" t="e">
        <f ca="1">ROUND(IF(J47="钢混",J57/J50,1-(1-2%)*(J50-J57)/J50),3)</f>
        <v>#DIV/0!</v>
      </c>
      <c r="K55" s="2968" t="s">
        <v>2353</v>
      </c>
      <c r="L55" s="2351"/>
      <c r="O55" s="2369" t="s">
        <v>2408</v>
      </c>
      <c r="P55" s="1579"/>
      <c r="Q55" s="1590"/>
      <c r="R55" s="1579"/>
    </row>
    <row r="56" spans="1:18" s="2045" customFormat="1" ht="42.75" customHeight="1" thickBot="1">
      <c r="A56" s="1636"/>
      <c r="B56" s="2217" t="s">
        <v>2299</v>
      </c>
      <c r="C56" s="53">
        <f ca="1">C29</f>
        <v>0</v>
      </c>
      <c r="D56" s="2604"/>
      <c r="E56" s="784"/>
      <c r="F56" s="809"/>
      <c r="I56" s="2969" t="s">
        <v>2354</v>
      </c>
      <c r="J56" s="2979"/>
      <c r="K56" s="2949" t="s">
        <v>2359</v>
      </c>
      <c r="L56" s="1894">
        <f ca="1">IF(L48&lt;J51,"——",L48-J51)</f>
        <v>0</v>
      </c>
      <c r="O56" s="2360" t="s">
        <v>2372</v>
      </c>
      <c r="P56" s="2361" t="s">
        <v>2373</v>
      </c>
      <c r="Q56" s="2362" t="s">
        <v>2374</v>
      </c>
      <c r="R56" s="2361" t="s">
        <v>2375</v>
      </c>
    </row>
    <row r="57" spans="1:18" s="2045" customFormat="1" ht="28.5" customHeight="1" thickBot="1">
      <c r="A57" s="797" t="s">
        <v>1748</v>
      </c>
      <c r="B57" s="798" t="s">
        <v>651</v>
      </c>
      <c r="C57" s="799">
        <f ca="1">ROUND(C58+C63+C64+C65,0)</f>
        <v>0</v>
      </c>
      <c r="D57" s="26" t="s">
        <v>1750</v>
      </c>
      <c r="E57" s="2605"/>
      <c r="F57" s="56"/>
      <c r="I57" s="2970" t="s">
        <v>2355</v>
      </c>
      <c r="J57" s="2971">
        <f ca="1">IF(OR(M47="住宅",J51&lt;L48,J56="是"),"——",J51-L48)</f>
        <v>0</v>
      </c>
      <c r="K57" s="2949" t="s">
        <v>2360</v>
      </c>
      <c r="L57" s="1894">
        <f ca="1">IF(L48&lt;J51,"——",IF(L55="比较法",L49,IF(L55="基准地价",L50,L51)))</f>
        <v>0</v>
      </c>
      <c r="O57" s="2363" t="s">
        <v>2376</v>
      </c>
      <c r="P57" s="2364" t="s">
        <v>2406</v>
      </c>
      <c r="Q57" s="2365" t="e">
        <f ca="1">C40+J29</f>
        <v>#DIV/0!</v>
      </c>
      <c r="R57" s="2364" t="s">
        <v>2377</v>
      </c>
    </row>
    <row r="58" spans="1:18" s="2045" customFormat="1" ht="28.5" customHeight="1" thickBot="1">
      <c r="A58" s="1635" t="s">
        <v>1824</v>
      </c>
      <c r="B58" s="784" t="s">
        <v>656</v>
      </c>
      <c r="C58" s="53">
        <f ca="1">ROUND(IF(项目基本情况!B11="自然人",C47*F58,C59+C60+C61),1)</f>
        <v>0</v>
      </c>
      <c r="D58" s="2603" t="s">
        <v>657</v>
      </c>
      <c r="E58" s="2604" t="s">
        <v>690</v>
      </c>
      <c r="F58" s="810" t="str">
        <f ca="1">IF(项目基本情况!B11="企业","",IF(INDIRECT("'数据-取费表'!c"&amp;$G$1)="住宅",5%,IF(F48*F49*F50/12/(1+'数据-取费表'!C42)&gt;20000,12%,7%)))</f>
        <v/>
      </c>
      <c r="I58" s="2970" t="s">
        <v>2356</v>
      </c>
      <c r="J58" s="2932" t="e">
        <f ca="1">IF(J55&lt;0.4,0.4,J55)</f>
        <v>#DIV/0!</v>
      </c>
      <c r="K58" s="2949" t="s">
        <v>2361</v>
      </c>
      <c r="L58" s="1894" t="e">
        <f ca="1">ROUND(POWER(1+L52,L47-L48)*(POWER(1+L52,L48)-1)/(POWER(1+L52,L47)-1),4)</f>
        <v>#DIV/0!</v>
      </c>
      <c r="O58" s="2363" t="s">
        <v>2378</v>
      </c>
      <c r="P58" s="2364" t="s">
        <v>2409</v>
      </c>
      <c r="Q58" s="2365" t="e">
        <f ca="1">L60</f>
        <v>#DIV/0!</v>
      </c>
      <c r="R58" s="2368" t="s">
        <v>2411</v>
      </c>
    </row>
    <row r="59" spans="1:18" s="2045" customFormat="1" ht="28.5" customHeight="1" thickBot="1">
      <c r="A59" s="1634" t="s">
        <v>1831</v>
      </c>
      <c r="B59" s="784" t="s">
        <v>660</v>
      </c>
      <c r="C59" s="53">
        <f ca="1">ROUND(C47*F59/1.05,1)</f>
        <v>0</v>
      </c>
      <c r="D59" s="2604" t="s">
        <v>1756</v>
      </c>
      <c r="E59" s="784" t="s">
        <v>1747</v>
      </c>
      <c r="F59" s="809">
        <f t="shared" ref="F59:F65" si="0">F32</f>
        <v>5.6500000000000002E-2</v>
      </c>
      <c r="I59" s="2970" t="s">
        <v>2357</v>
      </c>
      <c r="J59" s="2971" t="e">
        <f ca="1">IF(OR(M47="住宅",J51&lt;L48,J56="是"),"——",ROUND(C29*J58,0))</f>
        <v>#DIV/0!</v>
      </c>
      <c r="K59" s="2949" t="str">
        <f>IF(D1="——","建筑物剩余耐用年限下的土地年期修正系数Kn","建设期及建筑物耐用年限下的土地年期修正系数Kn")</f>
        <v>建筑物剩余耐用年限下的土地年期修正系数Kn</v>
      </c>
      <c r="L59" s="1894" t="e">
        <f ca="1">ROUND(IF(D1="土地（套用方法）",POWER(1+L52,L47-(J51+'数据-取费表'!B20))*(POWER(1+L52,(J51+'数据-取费表'!B20))-1)/(POWER(1+L52,L47)-1),POWER(1+L52,L47-J51)*(POWER(1+L52,J51)-1)/(POWER(1+L52,L47)-1)),4)</f>
        <v>#DIV/0!</v>
      </c>
      <c r="O59" s="2366" t="s">
        <v>2380</v>
      </c>
      <c r="P59" s="2364" t="s">
        <v>2410</v>
      </c>
      <c r="Q59" s="2365">
        <f>IF(L55="比较法",L49,IF(L55="基准地价",L50,0))</f>
        <v>0</v>
      </c>
      <c r="R59" s="2364" t="s">
        <v>2377</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按房产原值计税</v>
      </c>
      <c r="E60" s="784" t="s">
        <v>1747</v>
      </c>
      <c r="F60" s="809">
        <f t="shared" si="0"/>
        <v>1.2E-2</v>
      </c>
      <c r="I60" s="2972" t="s">
        <v>2358</v>
      </c>
      <c r="J60" s="2973" t="e">
        <f ca="1">IF(OR(M47="住宅",J51&lt;L48,J56="是"),"0",ROUND(J59/(1+J52)^J53,0))</f>
        <v>#DIV/0!</v>
      </c>
      <c r="K60" s="2974" t="s">
        <v>2363</v>
      </c>
      <c r="L60" s="2973" t="e">
        <f ca="1">IF(OR(M47="住宅",L48&lt;J51),0,ROUND(L57*(L58/L59-1),0))</f>
        <v>#DIV/0!</v>
      </c>
      <c r="O60" s="2366" t="s">
        <v>2381</v>
      </c>
      <c r="P60" s="2364" t="s">
        <v>2390</v>
      </c>
      <c r="Q60" s="2367">
        <f>L52</f>
        <v>0</v>
      </c>
      <c r="R60" s="2368"/>
    </row>
    <row r="61" spans="1:18" s="2045" customFormat="1" ht="18" customHeight="1" thickBot="1">
      <c r="A61" s="1637" t="s">
        <v>1833</v>
      </c>
      <c r="B61" s="341" t="s">
        <v>668</v>
      </c>
      <c r="C61" s="54">
        <f ca="1">ROUND(F61*F62/10000,1)</f>
        <v>0</v>
      </c>
      <c r="D61" s="814" t="s">
        <v>669</v>
      </c>
      <c r="E61" s="784" t="s">
        <v>670</v>
      </c>
      <c r="F61" s="640">
        <f t="shared" si="0"/>
        <v>1.5</v>
      </c>
      <c r="K61" s="2072"/>
      <c r="O61" s="2366" t="s">
        <v>2383</v>
      </c>
      <c r="P61" s="2364" t="s">
        <v>2391</v>
      </c>
      <c r="Q61" s="2365" t="e">
        <f ca="1">L58</f>
        <v>#DIV/0!</v>
      </c>
      <c r="R61" s="2368" t="s">
        <v>2392</v>
      </c>
    </row>
    <row r="62" spans="1:18" s="2045" customFormat="1" ht="15.75" thickBot="1">
      <c r="A62" s="815"/>
      <c r="B62" s="793"/>
      <c r="C62" s="69"/>
      <c r="D62" s="816"/>
      <c r="E62" s="784" t="s">
        <v>674</v>
      </c>
      <c r="F62" s="785">
        <f t="shared" ca="1" si="0"/>
        <v>0</v>
      </c>
      <c r="I62" s="2975" t="s">
        <v>2364</v>
      </c>
      <c r="J62" s="2976" t="s">
        <v>2365</v>
      </c>
      <c r="K62" s="2976" t="s">
        <v>2366</v>
      </c>
      <c r="L62" s="2976" t="s">
        <v>2347</v>
      </c>
      <c r="M62" s="2977" t="s">
        <v>2939</v>
      </c>
      <c r="O62" s="2366" t="s">
        <v>2385</v>
      </c>
      <c r="P62" s="2364" t="str">
        <f>K59</f>
        <v>建筑物剩余耐用年限下的土地年期修正系数Kn</v>
      </c>
      <c r="Q62" s="2365" t="e">
        <f ca="1">L59</f>
        <v>#DIV/0!</v>
      </c>
      <c r="R62" s="2368" t="s">
        <v>2394</v>
      </c>
    </row>
    <row r="63" spans="1:18" s="2045" customFormat="1" ht="15.75" thickBot="1">
      <c r="A63" s="1635" t="s">
        <v>1889</v>
      </c>
      <c r="B63" s="784" t="s">
        <v>676</v>
      </c>
      <c r="C63" s="53">
        <f ca="1">ROUND(C56*F63,1)</f>
        <v>0</v>
      </c>
      <c r="D63" s="2604" t="s">
        <v>1803</v>
      </c>
      <c r="E63" s="784" t="s">
        <v>1747</v>
      </c>
      <c r="F63" s="817">
        <f t="shared" ca="1" si="0"/>
        <v>0</v>
      </c>
      <c r="I63" s="2975" t="s">
        <v>2367</v>
      </c>
      <c r="J63" s="2976">
        <v>70</v>
      </c>
      <c r="K63" s="2976">
        <v>50</v>
      </c>
      <c r="L63" s="2976">
        <v>80</v>
      </c>
      <c r="M63" s="2978">
        <v>0.02</v>
      </c>
      <c r="O63" s="2363" t="s">
        <v>2388</v>
      </c>
      <c r="P63" s="2364" t="s">
        <v>2405</v>
      </c>
      <c r="Q63" s="2365" t="e">
        <f ca="1">Q57+Q58</f>
        <v>#DIV/0!</v>
      </c>
      <c r="R63" s="2368" t="s">
        <v>2389</v>
      </c>
    </row>
    <row r="64" spans="1:18" s="2045" customFormat="1" ht="16.5" thickBot="1">
      <c r="A64" s="1635" t="s">
        <v>1890</v>
      </c>
      <c r="B64" s="784" t="s">
        <v>679</v>
      </c>
      <c r="C64" s="53">
        <f ca="1">ROUND(C55*F64,1)</f>
        <v>0</v>
      </c>
      <c r="D64" s="2604" t="s">
        <v>680</v>
      </c>
      <c r="E64" s="784" t="s">
        <v>1747</v>
      </c>
      <c r="F64" s="818">
        <f t="shared" ca="1" si="0"/>
        <v>0</v>
      </c>
      <c r="I64" s="2975" t="s">
        <v>2368</v>
      </c>
      <c r="J64" s="2976">
        <v>50</v>
      </c>
      <c r="K64" s="2976">
        <v>35</v>
      </c>
      <c r="L64" s="2976">
        <v>60</v>
      </c>
      <c r="M64" s="846">
        <v>0</v>
      </c>
      <c r="O64" s="2369" t="s">
        <v>2412</v>
      </c>
      <c r="P64" s="1579"/>
      <c r="Q64" s="1590"/>
      <c r="R64" s="1579"/>
    </row>
    <row r="65" spans="1:18" s="2045" customFormat="1" ht="15.75" thickBot="1">
      <c r="A65" s="1635" t="s">
        <v>1891</v>
      </c>
      <c r="B65" s="784" t="s">
        <v>666</v>
      </c>
      <c r="C65" s="53">
        <f ca="1">ROUND(C47*F65,1)</f>
        <v>0</v>
      </c>
      <c r="D65" s="2604" t="s">
        <v>683</v>
      </c>
      <c r="E65" s="784" t="s">
        <v>1747</v>
      </c>
      <c r="F65" s="794">
        <f t="shared" ca="1" si="0"/>
        <v>0</v>
      </c>
      <c r="I65" s="2975" t="s">
        <v>2369</v>
      </c>
      <c r="J65" s="2976">
        <v>40</v>
      </c>
      <c r="K65" s="2976">
        <v>30</v>
      </c>
      <c r="L65" s="2976">
        <v>50</v>
      </c>
      <c r="M65" s="2978">
        <v>0.02</v>
      </c>
      <c r="O65" s="2360" t="s">
        <v>2372</v>
      </c>
      <c r="P65" s="2361" t="s">
        <v>2373</v>
      </c>
      <c r="Q65" s="2362" t="s">
        <v>2374</v>
      </c>
      <c r="R65" s="2361" t="s">
        <v>2375</v>
      </c>
    </row>
    <row r="66" spans="1:18" s="2045" customFormat="1" ht="24.75" thickBot="1">
      <c r="A66" s="797" t="s">
        <v>1776</v>
      </c>
      <c r="B66" s="2847" t="s">
        <v>2817</v>
      </c>
      <c r="C66" s="799">
        <f ca="1">C47-C57</f>
        <v>0</v>
      </c>
      <c r="D66" s="2603" t="s">
        <v>700</v>
      </c>
      <c r="E66" s="2602"/>
      <c r="F66" s="820"/>
      <c r="K66" s="2072"/>
      <c r="O66" s="2363" t="s">
        <v>2376</v>
      </c>
      <c r="P66" s="2364" t="s">
        <v>2406</v>
      </c>
      <c r="Q66" s="2365" t="e">
        <f ca="1">C40+J29</f>
        <v>#DIV/0!</v>
      </c>
      <c r="R66" s="2364" t="s">
        <v>2377</v>
      </c>
    </row>
    <row r="67" spans="1:18" s="2045" customFormat="1" ht="20.25" thickBot="1">
      <c r="A67" s="781" t="s">
        <v>1780</v>
      </c>
      <c r="B67" s="2218" t="s">
        <v>2298</v>
      </c>
      <c r="C67" s="783" t="e">
        <f ca="1">ROUND(C66*(1-((1+F69)/(1+F67))^F68)/(F67-F69),0)</f>
        <v>#DIV/0!</v>
      </c>
      <c r="D67" s="814" t="s">
        <v>704</v>
      </c>
      <c r="E67" s="784" t="s">
        <v>705</v>
      </c>
      <c r="F67" s="794">
        <f ca="1">F40</f>
        <v>0</v>
      </c>
      <c r="K67" s="2072"/>
      <c r="O67" s="2363" t="s">
        <v>2378</v>
      </c>
      <c r="P67" s="2364" t="s">
        <v>2409</v>
      </c>
      <c r="Q67" s="2365" t="e">
        <f ca="1">L60</f>
        <v>#DIV/0!</v>
      </c>
      <c r="R67" s="2368" t="s">
        <v>2411</v>
      </c>
    </row>
    <row r="68" spans="1:18" ht="21.75" thickBot="1">
      <c r="A68" s="786"/>
      <c r="B68" s="787"/>
      <c r="C68" s="788"/>
      <c r="D68" s="821" t="s">
        <v>1808</v>
      </c>
      <c r="E68" s="784" t="s">
        <v>1784</v>
      </c>
      <c r="F68" s="822">
        <f ca="1">F41</f>
        <v>0</v>
      </c>
      <c r="O68" s="2366" t="s">
        <v>2380</v>
      </c>
      <c r="P68" s="2364" t="s">
        <v>2410</v>
      </c>
      <c r="Q68" s="2370">
        <f ca="1">L51</f>
        <v>0</v>
      </c>
      <c r="R68" s="2371" t="s">
        <v>2413</v>
      </c>
    </row>
    <row r="69" spans="1:18" ht="20.25" thickBot="1">
      <c r="A69" s="790"/>
      <c r="B69" s="791"/>
      <c r="C69" s="792"/>
      <c r="D69" s="816"/>
      <c r="E69" s="784" t="s">
        <v>710</v>
      </c>
      <c r="F69" s="2336"/>
      <c r="O69" s="2366" t="s">
        <v>2381</v>
      </c>
      <c r="P69" s="2372" t="s">
        <v>2395</v>
      </c>
      <c r="Q69" s="2365">
        <f ca="1">ROUND(Q70-Q71*Q72,0)</f>
        <v>0</v>
      </c>
      <c r="R69" s="2368"/>
    </row>
    <row r="70" spans="1:18" ht="15.75" thickBot="1">
      <c r="A70" s="823" t="s">
        <v>1787</v>
      </c>
      <c r="B70" s="824" t="s">
        <v>1810</v>
      </c>
      <c r="C70" s="825" t="e">
        <f ca="1">ROUND(C67*10000/F70,0)</f>
        <v>#DIV/0!</v>
      </c>
      <c r="D70" s="826" t="s">
        <v>1811</v>
      </c>
      <c r="E70" s="827" t="s">
        <v>1812</v>
      </c>
      <c r="F70" s="828">
        <f ca="1">F43</f>
        <v>0</v>
      </c>
      <c r="O70" s="2366" t="s">
        <v>2396</v>
      </c>
      <c r="P70" s="2372" t="s">
        <v>2397</v>
      </c>
      <c r="Q70" s="2365">
        <f ca="1">C39</f>
        <v>0</v>
      </c>
      <c r="R70" s="2364" t="s">
        <v>2377</v>
      </c>
    </row>
    <row r="71" spans="1:18" ht="15.75" thickBot="1">
      <c r="O71" s="2366" t="s">
        <v>2398</v>
      </c>
      <c r="P71" s="2372" t="s">
        <v>2399</v>
      </c>
      <c r="Q71" s="2365">
        <f ca="1">C13</f>
        <v>0</v>
      </c>
      <c r="R71" s="2364" t="s">
        <v>2377</v>
      </c>
    </row>
    <row r="72" spans="1:18" ht="15.75" thickBot="1">
      <c r="O72" s="2366" t="s">
        <v>2400</v>
      </c>
      <c r="P72" s="2372" t="s">
        <v>2401</v>
      </c>
      <c r="Q72" s="2367">
        <f ca="1">J36</f>
        <v>0</v>
      </c>
      <c r="R72" s="2368"/>
    </row>
    <row r="73" spans="1:18" ht="15.75" thickBot="1">
      <c r="O73" s="2366" t="s">
        <v>2383</v>
      </c>
      <c r="P73" s="2364" t="s">
        <v>2390</v>
      </c>
      <c r="Q73" s="2367">
        <f>L52</f>
        <v>0</v>
      </c>
      <c r="R73" s="2368"/>
    </row>
    <row r="74" spans="1:18" ht="20.25" thickBot="1">
      <c r="O74" s="2366" t="s">
        <v>2385</v>
      </c>
      <c r="P74" s="2364" t="s">
        <v>2391</v>
      </c>
      <c r="Q74" s="2365" t="e">
        <f ca="1">L58</f>
        <v>#DIV/0!</v>
      </c>
      <c r="R74" s="2368" t="s">
        <v>2392</v>
      </c>
    </row>
    <row r="75" spans="1:18" ht="15.75" thickBot="1">
      <c r="O75" s="2366" t="s">
        <v>2414</v>
      </c>
      <c r="P75" s="2364" t="str">
        <f>K59</f>
        <v>建筑物剩余耐用年限下的土地年期修正系数Kn</v>
      </c>
      <c r="Q75" s="2365" t="e">
        <f ca="1">L59</f>
        <v>#DIV/0!</v>
      </c>
      <c r="R75" s="2368" t="s">
        <v>2394</v>
      </c>
    </row>
    <row r="76" spans="1:18" ht="15.75" thickBot="1">
      <c r="O76" s="2363" t="s">
        <v>2388</v>
      </c>
      <c r="P76" s="2364" t="s">
        <v>2405</v>
      </c>
      <c r="Q76" s="2365" t="e">
        <f ca="1">Q66+Q67</f>
        <v>#DIV/0!</v>
      </c>
      <c r="R76" s="2368" t="s">
        <v>2389</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116" priority="7">
      <formula>$L$48&gt;$J$51</formula>
    </cfRule>
  </conditionalFormatting>
  <conditionalFormatting sqref="I55">
    <cfRule type="expression" dxfId="115" priority="8">
      <formula>$J$51&gt;$L$48</formula>
    </cfRule>
  </conditionalFormatting>
  <conditionalFormatting sqref="I60">
    <cfRule type="expression" dxfId="114" priority="6">
      <formula>$J$51&gt;$L$48</formula>
    </cfRule>
  </conditionalFormatting>
  <conditionalFormatting sqref="K60">
    <cfRule type="expression" dxfId="113" priority="5">
      <formula>$L$48&gt;$J$51</formula>
    </cfRule>
  </conditionalFormatting>
  <conditionalFormatting sqref="C11">
    <cfRule type="expression" dxfId="112" priority="4">
      <formula>$F$10="自定义"</formula>
    </cfRule>
  </conditionalFormatting>
  <conditionalFormatting sqref="J11">
    <cfRule type="expression" dxfId="111" priority="2">
      <formula>$M$10="自定义"</formula>
    </cfRule>
  </conditionalFormatting>
  <conditionalFormatting sqref="C53">
    <cfRule type="expression" dxfId="11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76" t="s">
        <v>2468</v>
      </c>
      <c r="B1" s="3477"/>
      <c r="C1" s="3478"/>
      <c r="D1" s="3479">
        <f>SUM(I10,I15,I20,I21,I23)</f>
        <v>0</v>
      </c>
      <c r="E1" s="3479"/>
      <c r="F1" s="3479"/>
      <c r="G1" s="3479"/>
      <c r="H1" s="3479"/>
      <c r="I1" s="3480"/>
    </row>
    <row r="2" spans="1:9">
      <c r="A2" s="3481" t="s">
        <v>2469</v>
      </c>
      <c r="B2" s="3482" t="s">
        <v>2470</v>
      </c>
      <c r="C2" s="3482"/>
      <c r="D2" s="2472" t="s">
        <v>2471</v>
      </c>
      <c r="E2" s="2472" t="s">
        <v>2472</v>
      </c>
      <c r="F2" s="2472" t="s">
        <v>2473</v>
      </c>
      <c r="G2" s="2472" t="s">
        <v>2474</v>
      </c>
      <c r="H2" s="2472" t="s">
        <v>2475</v>
      </c>
      <c r="I2" s="2473" t="s">
        <v>2476</v>
      </c>
    </row>
    <row r="3" spans="1:9">
      <c r="A3" s="3481"/>
      <c r="B3" s="3482" t="s">
        <v>2477</v>
      </c>
      <c r="C3" s="3482"/>
      <c r="D3" s="2474"/>
      <c r="E3" s="2472"/>
      <c r="F3" s="2475"/>
      <c r="G3" s="2475"/>
      <c r="H3" s="2476"/>
      <c r="I3" s="2477">
        <f>ROUND(D3*E3*F3*G3*H3/10000,0)</f>
        <v>0</v>
      </c>
    </row>
    <row r="4" spans="1:9">
      <c r="A4" s="3481"/>
      <c r="B4" s="3482" t="s">
        <v>2478</v>
      </c>
      <c r="C4" s="3482"/>
      <c r="D4" s="2474"/>
      <c r="E4" s="2472"/>
      <c r="F4" s="2475"/>
      <c r="G4" s="2475"/>
      <c r="H4" s="2476"/>
      <c r="I4" s="2477">
        <f t="shared" ref="I4:I9" si="0">ROUND(D4*E4*F4*G4*H4/10000,0)</f>
        <v>0</v>
      </c>
    </row>
    <row r="5" spans="1:9">
      <c r="A5" s="3481"/>
      <c r="B5" s="3482" t="s">
        <v>2479</v>
      </c>
      <c r="C5" s="3482"/>
      <c r="D5" s="2474"/>
      <c r="E5" s="2472"/>
      <c r="F5" s="2475"/>
      <c r="G5" s="2475"/>
      <c r="H5" s="2476"/>
      <c r="I5" s="2477">
        <f t="shared" si="0"/>
        <v>0</v>
      </c>
    </row>
    <row r="6" spans="1:9">
      <c r="A6" s="3481"/>
      <c r="B6" s="3482" t="s">
        <v>2480</v>
      </c>
      <c r="C6" s="3482"/>
      <c r="D6" s="2474"/>
      <c r="E6" s="2472"/>
      <c r="F6" s="2475"/>
      <c r="G6" s="2475"/>
      <c r="H6" s="2476"/>
      <c r="I6" s="2477">
        <f t="shared" si="0"/>
        <v>0</v>
      </c>
    </row>
    <row r="7" spans="1:9">
      <c r="A7" s="3481"/>
      <c r="B7" s="3482" t="s">
        <v>2481</v>
      </c>
      <c r="C7" s="3482"/>
      <c r="D7" s="2474"/>
      <c r="E7" s="2472"/>
      <c r="F7" s="2475"/>
      <c r="G7" s="2475"/>
      <c r="H7" s="2476"/>
      <c r="I7" s="2477">
        <f t="shared" si="0"/>
        <v>0</v>
      </c>
    </row>
    <row r="8" spans="1:9">
      <c r="A8" s="3481"/>
      <c r="B8" s="3482" t="s">
        <v>2482</v>
      </c>
      <c r="C8" s="3482"/>
      <c r="D8" s="2474"/>
      <c r="E8" s="2472"/>
      <c r="F8" s="2475"/>
      <c r="G8" s="2475"/>
      <c r="H8" s="2476"/>
      <c r="I8" s="2477">
        <f t="shared" si="0"/>
        <v>0</v>
      </c>
    </row>
    <row r="9" spans="1:9">
      <c r="A9" s="3481"/>
      <c r="B9" s="3482" t="s">
        <v>2483</v>
      </c>
      <c r="C9" s="3482"/>
      <c r="D9" s="2474"/>
      <c r="E9" s="2472"/>
      <c r="F9" s="2475"/>
      <c r="G9" s="2475"/>
      <c r="H9" s="2476"/>
      <c r="I9" s="2477">
        <f t="shared" si="0"/>
        <v>0</v>
      </c>
    </row>
    <row r="10" spans="1:9">
      <c r="A10" s="3481"/>
      <c r="B10" s="3483" t="s">
        <v>2484</v>
      </c>
      <c r="C10" s="3483"/>
      <c r="D10" s="2478">
        <v>527</v>
      </c>
      <c r="E10" s="2478" t="e">
        <f>ROUND(D1*10000/D10/H9,0)</f>
        <v>#DIV/0!</v>
      </c>
      <c r="F10" s="2479"/>
      <c r="G10" s="2479"/>
      <c r="H10" s="2480"/>
      <c r="I10" s="2481">
        <f>SUM(I3:I9)</f>
        <v>0</v>
      </c>
    </row>
    <row r="11" spans="1:9" ht="14.25">
      <c r="A11" s="3481" t="s">
        <v>2485</v>
      </c>
      <c r="B11" s="3482" t="s">
        <v>2486</v>
      </c>
      <c r="C11" s="3482"/>
      <c r="D11" s="2474" t="s">
        <v>2487</v>
      </c>
      <c r="E11" s="2474" t="s">
        <v>2488</v>
      </c>
      <c r="F11" s="2475" t="s">
        <v>2489</v>
      </c>
      <c r="G11" s="2475" t="s">
        <v>2490</v>
      </c>
      <c r="H11" s="2482" t="s">
        <v>2491</v>
      </c>
      <c r="I11" s="2473" t="s">
        <v>2492</v>
      </c>
    </row>
    <row r="12" spans="1:9">
      <c r="A12" s="3481"/>
      <c r="B12" s="3482" t="s">
        <v>2493</v>
      </c>
      <c r="C12" s="3482"/>
      <c r="D12" s="2474"/>
      <c r="E12" s="2474"/>
      <c r="F12" s="2475"/>
      <c r="G12" s="2476"/>
      <c r="H12" s="2483"/>
      <c r="I12" s="2473">
        <f>ROUND(D12*E12*F12*G12/10000,0)</f>
        <v>0</v>
      </c>
    </row>
    <row r="13" spans="1:9">
      <c r="A13" s="3481"/>
      <c r="B13" s="3482" t="s">
        <v>2494</v>
      </c>
      <c r="C13" s="3482"/>
      <c r="D13" s="2474"/>
      <c r="E13" s="2474"/>
      <c r="F13" s="2475"/>
      <c r="G13" s="2476"/>
      <c r="H13" s="2483"/>
      <c r="I13" s="2473">
        <f>ROUND(D13*E13*F13*G13/10000,0)</f>
        <v>0</v>
      </c>
    </row>
    <row r="14" spans="1:9">
      <c r="A14" s="3481"/>
      <c r="B14" s="3482" t="s">
        <v>2495</v>
      </c>
      <c r="C14" s="3482"/>
      <c r="D14" s="2474"/>
      <c r="E14" s="2474"/>
      <c r="F14" s="2475"/>
      <c r="G14" s="2476"/>
      <c r="H14" s="2483"/>
      <c r="I14" s="2473">
        <f>ROUND(D14*E14*F14*G14/10000,0)</f>
        <v>0</v>
      </c>
    </row>
    <row r="15" spans="1:9">
      <c r="A15" s="3481"/>
      <c r="B15" s="3483" t="s">
        <v>2484</v>
      </c>
      <c r="C15" s="3483"/>
      <c r="D15" s="2478"/>
      <c r="E15" s="2478">
        <f>SUM(E12:E14)</f>
        <v>0</v>
      </c>
      <c r="F15" s="2479"/>
      <c r="G15" s="2476"/>
      <c r="H15" s="2483"/>
      <c r="I15" s="2484">
        <f>SUM(I12:I14)</f>
        <v>0</v>
      </c>
    </row>
    <row r="16" spans="1:9" ht="24">
      <c r="A16" s="3481" t="s">
        <v>2496</v>
      </c>
      <c r="B16" s="3482" t="s">
        <v>2497</v>
      </c>
      <c r="C16" s="3482"/>
      <c r="D16" s="2474" t="s">
        <v>2498</v>
      </c>
      <c r="E16" s="2485" t="s">
        <v>2499</v>
      </c>
      <c r="F16" s="2475" t="s">
        <v>2500</v>
      </c>
      <c r="G16" s="2476" t="s">
        <v>2490</v>
      </c>
      <c r="H16" s="2482" t="s">
        <v>2491</v>
      </c>
      <c r="I16" s="2473" t="s">
        <v>2492</v>
      </c>
    </row>
    <row r="17" spans="1:9" ht="14.25">
      <c r="A17" s="3481"/>
      <c r="B17" s="3482" t="s">
        <v>2501</v>
      </c>
      <c r="C17" s="3482"/>
      <c r="D17" s="2474"/>
      <c r="E17" s="2474"/>
      <c r="F17" s="2475"/>
      <c r="G17" s="2476"/>
      <c r="H17" s="2486"/>
      <c r="I17" s="2487">
        <f>ROUND(D17*E17*F17*G17/10000,0)</f>
        <v>0</v>
      </c>
    </row>
    <row r="18" spans="1:9" ht="14.25">
      <c r="A18" s="3481"/>
      <c r="B18" s="3482" t="s">
        <v>2502</v>
      </c>
      <c r="C18" s="3482"/>
      <c r="D18" s="2474"/>
      <c r="E18" s="2474"/>
      <c r="F18" s="2475"/>
      <c r="G18" s="2476"/>
      <c r="H18" s="2486"/>
      <c r="I18" s="2487">
        <f>ROUND(D18*E18*F18*G18/10000,0)</f>
        <v>0</v>
      </c>
    </row>
    <row r="19" spans="1:9" ht="14.25">
      <c r="A19" s="3481"/>
      <c r="B19" s="3482" t="s">
        <v>2503</v>
      </c>
      <c r="C19" s="3482"/>
      <c r="D19" s="2474"/>
      <c r="E19" s="2474"/>
      <c r="F19" s="2475"/>
      <c r="G19" s="2476"/>
      <c r="H19" s="2486"/>
      <c r="I19" s="2487">
        <f>ROUND(D19*E19*F19*G19/10000,0)</f>
        <v>0</v>
      </c>
    </row>
    <row r="20" spans="1:9">
      <c r="A20" s="3481"/>
      <c r="B20" s="3483" t="s">
        <v>2484</v>
      </c>
      <c r="C20" s="3483"/>
      <c r="D20" s="2478">
        <f>SUM(D17:D19)</f>
        <v>0</v>
      </c>
      <c r="E20" s="2478"/>
      <c r="F20" s="2479"/>
      <c r="G20" s="2476"/>
      <c r="H20" s="2483"/>
      <c r="I20" s="2484">
        <f>SUM(I17:I19)</f>
        <v>0</v>
      </c>
    </row>
    <row r="21" spans="1:9">
      <c r="A21" s="3481" t="s">
        <v>2504</v>
      </c>
      <c r="B21" s="3485"/>
      <c r="C21" s="3485"/>
      <c r="D21" s="3485"/>
      <c r="E21" s="3485"/>
      <c r="F21" s="3485"/>
      <c r="G21" s="3485"/>
      <c r="H21" s="2488">
        <v>0.1</v>
      </c>
      <c r="I21" s="2481">
        <f>ROUND(I10*H21,0)</f>
        <v>0</v>
      </c>
    </row>
    <row r="22" spans="1:9" ht="14.25">
      <c r="A22" s="3486" t="s">
        <v>2505</v>
      </c>
      <c r="B22" s="3487"/>
      <c r="C22" s="3488"/>
      <c r="D22" s="2489" t="s">
        <v>2506</v>
      </c>
      <c r="E22" s="2489" t="s">
        <v>2507</v>
      </c>
      <c r="F22" s="2490" t="s">
        <v>2508</v>
      </c>
      <c r="G22" s="2490" t="s">
        <v>2509</v>
      </c>
      <c r="H22" s="2482" t="s">
        <v>2510</v>
      </c>
      <c r="I22" s="2473" t="s">
        <v>2511</v>
      </c>
    </row>
    <row r="23" spans="1:9" ht="14.25" thickBot="1">
      <c r="A23" s="3489"/>
      <c r="B23" s="3490"/>
      <c r="C23" s="3491"/>
      <c r="D23" s="2491"/>
      <c r="E23" s="2491"/>
      <c r="F23" s="2491"/>
      <c r="G23" s="2492"/>
      <c r="H23" s="2493"/>
      <c r="I23" s="2494">
        <f>ROUND(E23*D23*F23*(1-G23)/10000,0)</f>
        <v>0</v>
      </c>
    </row>
    <row r="26" spans="1:9">
      <c r="A26" s="2495" t="s">
        <v>2512</v>
      </c>
      <c r="B26" s="2495"/>
      <c r="C26" s="2495"/>
      <c r="D26" s="2495"/>
      <c r="E26" s="3492">
        <f>C27-C30-C31-C32</f>
        <v>0</v>
      </c>
      <c r="F26" s="3492"/>
      <c r="G26" s="3492"/>
      <c r="H26" s="2879" t="s">
        <v>2838</v>
      </c>
    </row>
    <row r="27" spans="1:9">
      <c r="A27" s="2496">
        <v>1</v>
      </c>
      <c r="B27" s="2497" t="s">
        <v>2513</v>
      </c>
      <c r="C27" s="2497"/>
      <c r="D27" s="2497"/>
      <c r="E27" s="3493"/>
      <c r="F27" s="3493"/>
      <c r="G27" s="3493"/>
    </row>
    <row r="28" spans="1:9">
      <c r="A28" s="2498" t="s">
        <v>2514</v>
      </c>
      <c r="B28" s="2497" t="s">
        <v>2515</v>
      </c>
      <c r="C28" s="2497"/>
      <c r="D28" s="2497"/>
      <c r="E28" s="3493"/>
      <c r="F28" s="3493"/>
      <c r="G28" s="3493"/>
    </row>
    <row r="29" spans="1:9">
      <c r="A29" s="2498" t="s">
        <v>2516</v>
      </c>
      <c r="B29" s="2497" t="s">
        <v>2457</v>
      </c>
      <c r="C29" s="2497"/>
      <c r="D29" s="2497"/>
      <c r="E29" s="2497" t="s">
        <v>2517</v>
      </c>
      <c r="F29" s="2497"/>
      <c r="G29" s="2497"/>
    </row>
    <row r="30" spans="1:9">
      <c r="A30" s="2496">
        <v>2</v>
      </c>
      <c r="B30" s="2497" t="s">
        <v>2518</v>
      </c>
      <c r="C30" s="2497">
        <f>C27*D30</f>
        <v>0</v>
      </c>
      <c r="D30" s="2499">
        <v>0.2</v>
      </c>
      <c r="E30" s="2497" t="s">
        <v>2519</v>
      </c>
      <c r="F30" s="2497"/>
      <c r="G30" s="2497"/>
    </row>
    <row r="31" spans="1:9">
      <c r="A31" s="2496">
        <v>3</v>
      </c>
      <c r="B31" s="2497" t="s">
        <v>2520</v>
      </c>
      <c r="C31" s="2497">
        <f>C25*D31</f>
        <v>0</v>
      </c>
      <c r="D31" s="2499">
        <v>0.15</v>
      </c>
      <c r="E31" s="2497" t="s">
        <v>2521</v>
      </c>
      <c r="F31" s="2497"/>
      <c r="G31" s="2497"/>
    </row>
    <row r="32" spans="1:9">
      <c r="A32" s="2496">
        <v>4</v>
      </c>
      <c r="B32" s="2497" t="s">
        <v>2522</v>
      </c>
      <c r="C32" s="2497">
        <f>C27*D32</f>
        <v>0</v>
      </c>
      <c r="D32" s="2499">
        <v>0.05</v>
      </c>
      <c r="E32" s="3484"/>
      <c r="F32" s="3484"/>
      <c r="G32" s="3484"/>
    </row>
    <row r="33" spans="1:7" hidden="1">
      <c r="A33" s="3494" t="s">
        <v>2523</v>
      </c>
      <c r="B33" s="3495"/>
      <c r="C33" s="3495"/>
      <c r="D33" s="3496"/>
      <c r="E33" s="3492"/>
      <c r="F33" s="3492"/>
      <c r="G33" s="3492"/>
    </row>
    <row r="34" spans="1:7" hidden="1">
      <c r="A34" s="2500">
        <v>1</v>
      </c>
      <c r="B34" s="2497" t="s">
        <v>2524</v>
      </c>
      <c r="C34" s="2497"/>
      <c r="D34" s="2497"/>
      <c r="E34" s="3493"/>
      <c r="F34" s="3493"/>
      <c r="G34" s="3493"/>
    </row>
    <row r="35" spans="1:7" hidden="1">
      <c r="A35" s="2500">
        <v>2</v>
      </c>
      <c r="B35" s="2497" t="s">
        <v>2525</v>
      </c>
      <c r="C35" s="2497"/>
      <c r="D35" s="2497"/>
      <c r="E35" s="3493"/>
      <c r="F35" s="3493"/>
      <c r="G35" s="3493"/>
    </row>
    <row r="36" spans="1:7" hidden="1">
      <c r="A36" s="2500">
        <v>3</v>
      </c>
      <c r="B36" s="2497" t="s">
        <v>2526</v>
      </c>
      <c r="C36" s="2497"/>
      <c r="D36" s="2497"/>
      <c r="E36" s="3493"/>
      <c r="F36" s="3493"/>
      <c r="G36" s="3493"/>
    </row>
    <row r="37" spans="1:7" hidden="1">
      <c r="A37" s="2500">
        <v>4</v>
      </c>
      <c r="B37" s="2497" t="s">
        <v>2527</v>
      </c>
      <c r="C37" s="2497"/>
      <c r="D37" s="2497"/>
      <c r="E37" s="3493"/>
      <c r="F37" s="3493"/>
      <c r="G37" s="3493"/>
    </row>
    <row r="38" spans="1:7" hidden="1">
      <c r="A38" s="3494" t="s">
        <v>2528</v>
      </c>
      <c r="B38" s="3495"/>
      <c r="C38" s="3495"/>
      <c r="D38" s="3496"/>
      <c r="E38" s="3492"/>
      <c r="F38" s="3492"/>
      <c r="G38" s="349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2437</v>
      </c>
      <c r="B8" s="2437" t="s">
        <v>2439</v>
      </c>
      <c r="C8" s="2438"/>
      <c r="D8" s="749"/>
      <c r="E8" s="750"/>
      <c r="F8" s="750"/>
      <c r="G8" s="751"/>
    </row>
    <row r="9" spans="1:25" s="2169" customFormat="1" ht="13.5" customHeight="1">
      <c r="A9" s="2434" t="s">
        <v>2438</v>
      </c>
      <c r="B9" s="2437" t="s">
        <v>2440</v>
      </c>
      <c r="C9" s="2438"/>
      <c r="D9" s="749"/>
      <c r="E9" s="750"/>
      <c r="F9" s="750"/>
      <c r="G9" s="751"/>
    </row>
    <row r="10" spans="1:25" s="2169" customFormat="1" ht="36">
      <c r="A10" s="2434">
        <v>2</v>
      </c>
      <c r="B10" s="748" t="s">
        <v>613</v>
      </c>
      <c r="C10" s="749">
        <f>C11+C14+C15</f>
        <v>0</v>
      </c>
      <c r="D10" s="760">
        <f>'数据-汇总表'!E3</f>
        <v>17100</v>
      </c>
      <c r="E10" s="749">
        <f>'数据-取费表'!B31</f>
        <v>0</v>
      </c>
      <c r="F10" s="761"/>
      <c r="G10" s="759" t="s">
        <v>614</v>
      </c>
    </row>
    <row r="11" spans="1:25" s="2169" customFormat="1" ht="13.5" customHeight="1">
      <c r="A11" s="2434" t="s">
        <v>2437</v>
      </c>
      <c r="B11" s="752" t="s">
        <v>610</v>
      </c>
      <c r="C11" s="753">
        <f>'数据-取费表'!B29</f>
        <v>0</v>
      </c>
      <c r="D11" s="754"/>
      <c r="E11" s="753"/>
      <c r="F11" s="755"/>
      <c r="G11" s="2443" t="s">
        <v>2448</v>
      </c>
    </row>
    <row r="12" spans="1:25" s="2169" customFormat="1" ht="13.5" customHeight="1">
      <c r="A12" s="2441" t="s">
        <v>2445</v>
      </c>
      <c r="B12" s="756" t="s">
        <v>611</v>
      </c>
      <c r="C12" s="757">
        <f>ROUND(D12*E12/10000,0)</f>
        <v>0</v>
      </c>
      <c r="D12" s="758">
        <f>'数据-汇总表'!E5</f>
        <v>0</v>
      </c>
      <c r="E12" s="757">
        <f>'数据-取费表'!B27</f>
        <v>170</v>
      </c>
      <c r="F12" s="755"/>
      <c r="G12" s="759"/>
    </row>
    <row r="13" spans="1:25" s="2169" customFormat="1" ht="13.5" customHeight="1">
      <c r="A13" s="2441" t="s">
        <v>2444</v>
      </c>
      <c r="B13" s="756" t="s">
        <v>612</v>
      </c>
      <c r="C13" s="757">
        <f>ROUND(D13*E13/10000,0)</f>
        <v>342</v>
      </c>
      <c r="D13" s="758">
        <f>'数据-汇总表'!E6</f>
        <v>17100</v>
      </c>
      <c r="E13" s="757">
        <f>'数据-取费表'!B28</f>
        <v>200</v>
      </c>
      <c r="F13" s="755"/>
      <c r="G13" s="759"/>
    </row>
    <row r="14" spans="1:25" s="2169" customFormat="1" ht="13.5" customHeight="1">
      <c r="A14" s="2434" t="s">
        <v>2438</v>
      </c>
      <c r="B14" s="2440" t="s">
        <v>2441</v>
      </c>
      <c r="C14" s="2438"/>
      <c r="D14" s="758"/>
      <c r="E14" s="757"/>
      <c r="F14" s="2439"/>
      <c r="G14" s="2442" t="s">
        <v>2446</v>
      </c>
    </row>
    <row r="15" spans="1:25" s="2169" customFormat="1" ht="13.5" customHeight="1">
      <c r="A15" s="2434" t="s">
        <v>2443</v>
      </c>
      <c r="B15" s="2440" t="s">
        <v>2442</v>
      </c>
      <c r="C15" s="2438"/>
      <c r="D15" s="758"/>
      <c r="E15" s="757"/>
      <c r="F15" s="2439"/>
      <c r="G15" s="2442" t="s">
        <v>2447</v>
      </c>
    </row>
    <row r="16" spans="1:25" s="2170" customFormat="1" ht="48">
      <c r="A16" s="2434">
        <v>3</v>
      </c>
      <c r="B16" s="748" t="s">
        <v>615</v>
      </c>
      <c r="C16" s="2438"/>
      <c r="D16" s="760"/>
      <c r="E16" s="749"/>
      <c r="F16" s="761"/>
      <c r="G16" s="759" t="s">
        <v>2449</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0.1</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0.85899999999999999</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C126" sqref="C126:F131"/>
    </sheetView>
  </sheetViews>
  <sheetFormatPr defaultColWidth="9"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8" t="s">
        <v>719</v>
      </c>
      <c r="C1" s="2589" t="s">
        <v>720</v>
      </c>
      <c r="D1" s="2590"/>
      <c r="E1" s="2591"/>
      <c r="F1" s="2647"/>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t="e">
        <f>ROUND(B3*D3/10000,0)</f>
        <v>#DIV/0!</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t="e">
        <f>C49</f>
        <v>#DIV/0!</v>
      </c>
      <c r="C3" s="852" t="s">
        <v>722</v>
      </c>
      <c r="D3" s="851">
        <f>SUMIF('数据-汇总表'!$C19:$C33,D1,'数据-汇总表'!$E19:$E33)</f>
        <v>0</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422" t="s">
        <v>522</v>
      </c>
      <c r="D4" s="3423"/>
      <c r="E4" s="3456" t="s">
        <v>523</v>
      </c>
      <c r="F4" s="3457"/>
      <c r="G4" s="3422" t="s">
        <v>524</v>
      </c>
      <c r="H4" s="3423"/>
      <c r="I4" s="3422" t="s">
        <v>525</v>
      </c>
      <c r="J4" s="3423"/>
      <c r="K4" s="853" t="s">
        <v>526</v>
      </c>
      <c r="L4" s="2119"/>
      <c r="M4" s="2120"/>
      <c r="N4" s="2120"/>
      <c r="O4" s="2120"/>
      <c r="P4" s="3424" t="s">
        <v>527</v>
      </c>
      <c r="Q4" s="3425"/>
      <c r="R4" s="3430" t="s">
        <v>523</v>
      </c>
      <c r="S4" s="3431"/>
      <c r="T4" s="3430" t="s">
        <v>524</v>
      </c>
      <c r="U4" s="3431"/>
      <c r="V4" s="3417" t="s">
        <v>525</v>
      </c>
      <c r="W4" s="3417"/>
      <c r="X4" s="1554"/>
      <c r="Y4" s="3430" t="s">
        <v>527</v>
      </c>
      <c r="Z4" s="3431"/>
      <c r="AA4" s="3419" t="s">
        <v>523</v>
      </c>
      <c r="AB4" s="3419" t="s">
        <v>524</v>
      </c>
      <c r="AC4" s="3419" t="s">
        <v>525</v>
      </c>
    </row>
    <row r="5" spans="1:29" ht="15">
      <c r="A5" s="515"/>
      <c r="B5" s="516"/>
      <c r="C5" s="3438" t="s">
        <v>2926</v>
      </c>
      <c r="D5" s="3439"/>
      <c r="E5" s="3458" t="s">
        <v>2927</v>
      </c>
      <c r="F5" s="3459"/>
      <c r="G5" s="3438" t="s">
        <v>2928</v>
      </c>
      <c r="H5" s="3439"/>
      <c r="I5" s="3438" t="s">
        <v>2929</v>
      </c>
      <c r="J5" s="3439"/>
      <c r="K5" s="854"/>
      <c r="L5" s="2119"/>
      <c r="M5" s="2120"/>
      <c r="N5" s="2120"/>
      <c r="O5" s="2120"/>
      <c r="P5" s="3426"/>
      <c r="Q5" s="3427"/>
      <c r="R5" s="3432"/>
      <c r="S5" s="3433"/>
      <c r="T5" s="3432"/>
      <c r="U5" s="3433"/>
      <c r="V5" s="3417"/>
      <c r="W5" s="3417"/>
      <c r="X5" s="1554"/>
      <c r="Y5" s="3432"/>
      <c r="Z5" s="3433"/>
      <c r="AA5" s="3420"/>
      <c r="AB5" s="3420"/>
      <c r="AC5" s="3420"/>
    </row>
    <row r="6" spans="1:29" ht="15.75" thickBot="1">
      <c r="A6" s="517"/>
      <c r="B6" s="518"/>
      <c r="C6" s="3436" t="s">
        <v>2930</v>
      </c>
      <c r="D6" s="3437"/>
      <c r="E6" s="3454" t="s">
        <v>2930</v>
      </c>
      <c r="F6" s="3455"/>
      <c r="G6" s="3436" t="s">
        <v>2930</v>
      </c>
      <c r="H6" s="3437"/>
      <c r="I6" s="3436" t="s">
        <v>2930</v>
      </c>
      <c r="J6" s="3437"/>
      <c r="K6" s="854" t="s">
        <v>528</v>
      </c>
      <c r="L6" s="2119"/>
      <c r="M6" s="2120"/>
      <c r="N6" s="2120"/>
      <c r="O6" s="2120"/>
      <c r="P6" s="3428"/>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c r="F7" s="522">
        <f>SUMIF(58:58,YEAR(E7)&amp;"-"&amp;MONTH(E7),59:59)</f>
        <v>0</v>
      </c>
      <c r="G7" s="523"/>
      <c r="H7" s="520">
        <f>SUMIF(58:58,YEAR(G7)&amp;"-"&amp;MONTH(G7),59:59)</f>
        <v>0</v>
      </c>
      <c r="I7" s="523"/>
      <c r="J7" s="520">
        <f>SUMIF(58:58,YEAR(I7)&amp;"-"&amp;MONTH(I7),59:59)</f>
        <v>0</v>
      </c>
      <c r="K7" s="855"/>
      <c r="L7" s="2121"/>
      <c r="M7" s="2122"/>
      <c r="N7" s="2122"/>
      <c r="O7" s="2122"/>
      <c r="P7" s="3447" t="s">
        <v>530</v>
      </c>
      <c r="Q7" s="3449"/>
      <c r="R7" s="1555" t="s">
        <v>13</v>
      </c>
      <c r="S7" s="1556">
        <f t="shared" ref="S7:S15" si="0">F7</f>
        <v>0</v>
      </c>
      <c r="T7" s="1555" t="s">
        <v>13</v>
      </c>
      <c r="U7" s="1556">
        <f t="shared" ref="U7:U15" si="1">H7</f>
        <v>0</v>
      </c>
      <c r="V7" s="1555" t="s">
        <v>13</v>
      </c>
      <c r="W7" s="1556">
        <f t="shared" ref="W7:W15"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856"/>
      <c r="F8" s="522">
        <f>SUMIF(61:61,E8,62:62)-SUMIF(61:61,C8,62:62)+100</f>
        <v>0</v>
      </c>
      <c r="G8" s="525"/>
      <c r="H8" s="520">
        <f>SUMIF(61:61,G8,62:62)-SUMIF(61:61,C8,62:62)+100</f>
        <v>0</v>
      </c>
      <c r="I8" s="856"/>
      <c r="J8" s="520">
        <f>SUMIF(61:61,I8,62:62)-SUMIF(61:61,C8,62:62)+100</f>
        <v>0</v>
      </c>
      <c r="K8" s="855"/>
      <c r="L8" s="2121"/>
      <c r="M8" s="2122"/>
      <c r="N8" s="2122"/>
      <c r="O8" s="2122"/>
      <c r="P8" s="3447" t="s">
        <v>533</v>
      </c>
      <c r="Q8" s="3448"/>
      <c r="R8" s="1555" t="s">
        <v>13</v>
      </c>
      <c r="S8" s="1556">
        <f t="shared" si="0"/>
        <v>0</v>
      </c>
      <c r="T8" s="1555" t="s">
        <v>13</v>
      </c>
      <c r="U8" s="1556">
        <f t="shared" si="1"/>
        <v>0</v>
      </c>
      <c r="V8" s="1555" t="s">
        <v>13</v>
      </c>
      <c r="W8" s="1556">
        <f t="shared" si="2"/>
        <v>0</v>
      </c>
      <c r="X8" s="1557"/>
      <c r="Y8" s="3447" t="s">
        <v>533</v>
      </c>
      <c r="Z8" s="3448"/>
      <c r="AA8" s="1558" t="e">
        <f t="shared" ref="AA8:AA46" si="3">D8/F8</f>
        <v>#DIV/0!</v>
      </c>
      <c r="AB8" s="1558" t="e">
        <f t="shared" ref="AB8:AB46" si="4">D8/H8</f>
        <v>#DIV/0!</v>
      </c>
      <c r="AC8" s="1558" t="e">
        <f t="shared" ref="AC8:AC46" si="5">D8/J8</f>
        <v>#DIV/0!</v>
      </c>
    </row>
    <row r="9" spans="1:29" s="1216" customFormat="1" ht="15">
      <c r="A9" s="2754"/>
      <c r="B9" s="2761" t="s">
        <v>2752</v>
      </c>
      <c r="C9" s="857"/>
      <c r="D9" s="254">
        <v>100</v>
      </c>
      <c r="E9" s="858"/>
      <c r="F9" s="859">
        <f>SUMIF(63:63,E9,64:64)-SUMIF(63:63,C9,64:64)+100</f>
        <v>100</v>
      </c>
      <c r="G9" s="860"/>
      <c r="H9" s="254">
        <f>SUMIF(63:63,G9,64:64)-SUMIF(63:63,C9,64:64)+100</f>
        <v>100</v>
      </c>
      <c r="I9" s="860"/>
      <c r="J9" s="254">
        <f>SUMIF(63:63,I9,64:64)-SUMIF(63:63,C9,64:64)+100</f>
        <v>100</v>
      </c>
      <c r="K9" s="855"/>
      <c r="L9" s="2121"/>
      <c r="M9" s="2122"/>
      <c r="N9" s="2122"/>
      <c r="O9" s="2123"/>
      <c r="P9" s="3416" t="s">
        <v>535</v>
      </c>
      <c r="Q9" s="1147" t="str">
        <f t="shared" ref="Q9:Q15" si="6">B9</f>
        <v>用途</v>
      </c>
      <c r="R9" s="1555" t="s">
        <v>8</v>
      </c>
      <c r="S9" s="1556">
        <f t="shared" si="0"/>
        <v>100</v>
      </c>
      <c r="T9" s="1555" t="s">
        <v>8</v>
      </c>
      <c r="U9" s="1556">
        <f t="shared" si="1"/>
        <v>100</v>
      </c>
      <c r="V9" s="1555" t="s">
        <v>8</v>
      </c>
      <c r="W9" s="1556">
        <f t="shared" si="2"/>
        <v>100</v>
      </c>
      <c r="X9" s="1557"/>
      <c r="Y9" s="3341" t="s">
        <v>536</v>
      </c>
      <c r="Z9" s="1146" t="str">
        <f t="shared" ref="Z9:Z15" si="7">Q9</f>
        <v>用途</v>
      </c>
      <c r="AA9" s="1558">
        <f t="shared" si="3"/>
        <v>1</v>
      </c>
      <c r="AB9" s="1558">
        <f t="shared" si="4"/>
        <v>1</v>
      </c>
      <c r="AC9" s="1558">
        <f t="shared" si="5"/>
        <v>1</v>
      </c>
    </row>
    <row r="10" spans="1:29" s="1334" customFormat="1" ht="27">
      <c r="A10" s="2755"/>
      <c r="B10" s="2760" t="s">
        <v>2753</v>
      </c>
      <c r="C10" s="861"/>
      <c r="D10" s="255">
        <v>100</v>
      </c>
      <c r="E10" s="862"/>
      <c r="F10" s="863">
        <f>SUMIF(65:65,E10,66:66)-SUMIF(65:65,C10,66:66)+100</f>
        <v>100</v>
      </c>
      <c r="G10" s="861"/>
      <c r="H10" s="255">
        <f>SUMIF(65:65,G10,66:66)-SUMIF(65:65,C10,66:66)+100</f>
        <v>100</v>
      </c>
      <c r="I10" s="861"/>
      <c r="J10" s="255">
        <f>SUMIF(65:65,I10,66:66)-SUMIF(65:65,C10,66:66)+100</f>
        <v>100</v>
      </c>
      <c r="K10" s="86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6"/>
      <c r="B11" s="2760" t="s">
        <v>2754</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26"/>
      <c r="M11" s="2120"/>
      <c r="N11" s="2120"/>
      <c r="O11" s="2127"/>
      <c r="P11" s="3416"/>
      <c r="Q11" s="1147" t="str">
        <f t="shared" si="6"/>
        <v>容积率</v>
      </c>
      <c r="R11" s="1555" t="s">
        <v>11</v>
      </c>
      <c r="S11" s="1556" t="e">
        <f t="shared" si="0"/>
        <v>#N/A</v>
      </c>
      <c r="T11" s="1555" t="s">
        <v>11</v>
      </c>
      <c r="U11" s="1556" t="e">
        <f t="shared" si="1"/>
        <v>#N/A</v>
      </c>
      <c r="V11" s="1555" t="s">
        <v>11</v>
      </c>
      <c r="W11" s="1556" t="e">
        <f t="shared" si="2"/>
        <v>#N/A</v>
      </c>
      <c r="X11" s="1557"/>
      <c r="Y11" s="3341"/>
      <c r="Z11" s="1146" t="str">
        <f t="shared" si="7"/>
        <v>容积率</v>
      </c>
      <c r="AA11" s="1558" t="e">
        <f t="shared" si="3"/>
        <v>#N/A</v>
      </c>
      <c r="AB11" s="1558" t="e">
        <f t="shared" si="4"/>
        <v>#N/A</v>
      </c>
      <c r="AC11" s="1558" t="e">
        <f t="shared" si="5"/>
        <v>#N/A</v>
      </c>
    </row>
    <row r="12" spans="1:29" s="1216" customFormat="1" ht="15">
      <c r="A12" s="2757"/>
      <c r="B12" s="2763">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416"/>
      <c r="Q12" s="1147">
        <f t="shared" si="6"/>
        <v>111</v>
      </c>
      <c r="R12" s="1555" t="s">
        <v>11</v>
      </c>
      <c r="S12" s="1556">
        <f t="shared" si="0"/>
        <v>100</v>
      </c>
      <c r="T12" s="1555" t="s">
        <v>11</v>
      </c>
      <c r="U12" s="1556">
        <f t="shared" si="1"/>
        <v>100</v>
      </c>
      <c r="V12" s="1555" t="s">
        <v>11</v>
      </c>
      <c r="W12" s="1556">
        <f t="shared" si="2"/>
        <v>100</v>
      </c>
      <c r="X12" s="1557"/>
      <c r="Y12" s="3341"/>
      <c r="Z12" s="1146">
        <f t="shared" si="7"/>
        <v>111</v>
      </c>
      <c r="AA12" s="1558">
        <f>D12/F12</f>
        <v>1</v>
      </c>
      <c r="AB12" s="1558">
        <f>D12/H12</f>
        <v>1</v>
      </c>
      <c r="AC12" s="1558">
        <f>D12/J12</f>
        <v>1</v>
      </c>
    </row>
    <row r="13" spans="1:29" ht="15">
      <c r="A13" s="2757"/>
      <c r="B13" s="2763">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416"/>
      <c r="Q13" s="1147">
        <f t="shared" si="6"/>
        <v>111</v>
      </c>
      <c r="R13" s="1555" t="s">
        <v>11</v>
      </c>
      <c r="S13" s="1556">
        <f t="shared" si="0"/>
        <v>100</v>
      </c>
      <c r="T13" s="1555" t="s">
        <v>11</v>
      </c>
      <c r="U13" s="1556">
        <f t="shared" si="1"/>
        <v>100</v>
      </c>
      <c r="V13" s="1555" t="s">
        <v>11</v>
      </c>
      <c r="W13" s="1556">
        <f t="shared" si="2"/>
        <v>100</v>
      </c>
      <c r="X13" s="1557"/>
      <c r="Y13" s="3341"/>
      <c r="Z13" s="1146">
        <f t="shared" si="7"/>
        <v>111</v>
      </c>
      <c r="AA13" s="1558">
        <f t="shared" si="3"/>
        <v>1</v>
      </c>
      <c r="AB13" s="1558">
        <f t="shared" si="4"/>
        <v>1</v>
      </c>
      <c r="AC13" s="1558">
        <f t="shared" si="5"/>
        <v>1</v>
      </c>
    </row>
    <row r="14" spans="1:29" ht="15.75" thickBot="1">
      <c r="A14" s="2758"/>
      <c r="B14" s="2764">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416"/>
      <c r="Q14" s="1147">
        <f t="shared" si="6"/>
        <v>111</v>
      </c>
      <c r="R14" s="1555" t="s">
        <v>11</v>
      </c>
      <c r="S14" s="1556">
        <f t="shared" si="0"/>
        <v>100</v>
      </c>
      <c r="T14" s="1555" t="s">
        <v>11</v>
      </c>
      <c r="U14" s="1556">
        <f t="shared" si="1"/>
        <v>100</v>
      </c>
      <c r="V14" s="1555" t="s">
        <v>11</v>
      </c>
      <c r="W14" s="1556">
        <f t="shared" si="2"/>
        <v>100</v>
      </c>
      <c r="X14" s="1557"/>
      <c r="Y14" s="3341"/>
      <c r="Z14" s="1146">
        <f t="shared" si="7"/>
        <v>111</v>
      </c>
      <c r="AA14" s="1558">
        <f t="shared" si="3"/>
        <v>1</v>
      </c>
      <c r="AB14" s="1558">
        <f t="shared" si="4"/>
        <v>1</v>
      </c>
      <c r="AC14" s="1558">
        <f t="shared" si="5"/>
        <v>1</v>
      </c>
    </row>
    <row r="15" spans="1:29" ht="99.75">
      <c r="A15" s="2750" t="s">
        <v>2750</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c r="L15" s="2128"/>
      <c r="M15" s="2120"/>
      <c r="N15" s="2120"/>
      <c r="O15" s="2127"/>
      <c r="P15" s="3450" t="s">
        <v>540</v>
      </c>
      <c r="Q15" s="1559" t="str">
        <f t="shared" si="6"/>
        <v>居住社区成熟度</v>
      </c>
      <c r="R15" s="1560" t="s">
        <v>11</v>
      </c>
      <c r="S15" s="1561">
        <f t="shared" si="0"/>
        <v>100</v>
      </c>
      <c r="T15" s="1560" t="s">
        <v>11</v>
      </c>
      <c r="U15" s="1561">
        <f t="shared" si="1"/>
        <v>100</v>
      </c>
      <c r="V15" s="1560" t="s">
        <v>11</v>
      </c>
      <c r="W15" s="1561">
        <f t="shared" si="2"/>
        <v>100</v>
      </c>
      <c r="X15" s="1554"/>
      <c r="Y15" s="3450" t="s">
        <v>540</v>
      </c>
      <c r="Z15" s="1562" t="str">
        <f t="shared" si="7"/>
        <v>居住社区成熟度</v>
      </c>
      <c r="AA15" s="1563">
        <f t="shared" si="3"/>
        <v>1</v>
      </c>
      <c r="AB15" s="1563">
        <f t="shared" si="4"/>
        <v>1</v>
      </c>
      <c r="AC15" s="1563">
        <f t="shared" si="5"/>
        <v>1</v>
      </c>
    </row>
    <row r="16" spans="1:29" ht="15">
      <c r="A16" s="532"/>
      <c r="B16" s="869"/>
      <c r="C16" s="576"/>
      <c r="D16" s="555"/>
      <c r="E16" s="556"/>
      <c r="F16" s="557"/>
      <c r="G16" s="558"/>
      <c r="H16" s="559"/>
      <c r="I16" s="556"/>
      <c r="J16" s="555"/>
      <c r="K16" s="870"/>
      <c r="L16" s="2128"/>
      <c r="M16" s="2120"/>
      <c r="N16" s="2120"/>
      <c r="O16" s="2127"/>
      <c r="P16" s="3451"/>
      <c r="Q16" s="1559"/>
      <c r="R16" s="1560"/>
      <c r="S16" s="1561"/>
      <c r="T16" s="1560"/>
      <c r="U16" s="1561"/>
      <c r="V16" s="1560"/>
      <c r="W16" s="1561"/>
      <c r="X16" s="1554"/>
      <c r="Y16" s="3451"/>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c r="L17" s="2128"/>
      <c r="M17" s="2120"/>
      <c r="N17" s="2120"/>
      <c r="O17" s="2127"/>
      <c r="P17" s="3451"/>
      <c r="Q17" s="1559" t="str">
        <f>B17</f>
        <v>交通便捷度</v>
      </c>
      <c r="R17" s="1560" t="s">
        <v>11</v>
      </c>
      <c r="S17" s="1561">
        <f>F17</f>
        <v>100</v>
      </c>
      <c r="T17" s="1560" t="s">
        <v>11</v>
      </c>
      <c r="U17" s="1561">
        <f>H17</f>
        <v>100</v>
      </c>
      <c r="V17" s="1560" t="s">
        <v>11</v>
      </c>
      <c r="W17" s="1561">
        <f>J17</f>
        <v>100</v>
      </c>
      <c r="X17" s="1554"/>
      <c r="Y17" s="3451"/>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70"/>
      <c r="L18" s="2128"/>
      <c r="M18" s="2120"/>
      <c r="N18" s="2120"/>
      <c r="O18" s="2127"/>
      <c r="P18" s="3451"/>
      <c r="Q18" s="1559"/>
      <c r="R18" s="1560"/>
      <c r="S18" s="1561"/>
      <c r="T18" s="1560"/>
      <c r="U18" s="1561"/>
      <c r="V18" s="1560"/>
      <c r="W18" s="1561"/>
      <c r="X18" s="1554"/>
      <c r="Y18" s="3451"/>
      <c r="Z18" s="1562"/>
      <c r="AA18" s="1563">
        <v>1</v>
      </c>
      <c r="AB18" s="1563">
        <v>1</v>
      </c>
      <c r="AC18" s="1563">
        <v>1</v>
      </c>
    </row>
    <row r="19" spans="1:29" ht="42.75">
      <c r="A19" s="532"/>
      <c r="B19" s="2565" t="s">
        <v>2543</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c r="L19" s="2128"/>
      <c r="M19" s="2120"/>
      <c r="N19" s="2120"/>
      <c r="O19" s="2127"/>
      <c r="P19" s="3451"/>
      <c r="Q19" s="1559" t="str">
        <f>B19</f>
        <v>公共配套设施</v>
      </c>
      <c r="R19" s="1560" t="s">
        <v>11</v>
      </c>
      <c r="S19" s="1561">
        <f>F19</f>
        <v>100</v>
      </c>
      <c r="T19" s="1560" t="s">
        <v>11</v>
      </c>
      <c r="U19" s="1561">
        <f>H19</f>
        <v>100</v>
      </c>
      <c r="V19" s="1560" t="s">
        <v>11</v>
      </c>
      <c r="W19" s="1561">
        <f>J19</f>
        <v>100</v>
      </c>
      <c r="X19" s="1554"/>
      <c r="Y19" s="3451"/>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70"/>
      <c r="L20" s="2128"/>
      <c r="M20" s="2120"/>
      <c r="N20" s="2120"/>
      <c r="O20" s="2127"/>
      <c r="P20" s="3451"/>
      <c r="Q20" s="1559"/>
      <c r="R20" s="1560"/>
      <c r="S20" s="1561"/>
      <c r="T20" s="1560"/>
      <c r="U20" s="1561"/>
      <c r="V20" s="1560"/>
      <c r="W20" s="1561"/>
      <c r="X20" s="1554"/>
      <c r="Y20" s="3451"/>
      <c r="Z20" s="1562"/>
      <c r="AA20" s="1563">
        <v>1</v>
      </c>
      <c r="AB20" s="1563">
        <v>1</v>
      </c>
      <c r="AC20" s="1563">
        <v>1</v>
      </c>
    </row>
    <row r="21" spans="1:29" ht="28.5">
      <c r="A21" s="532"/>
      <c r="B21" s="2558" t="s">
        <v>2555</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8"/>
      <c r="M21" s="2120"/>
      <c r="N21" s="2120"/>
      <c r="O21" s="2127"/>
      <c r="P21" s="3451"/>
      <c r="Q21" s="2544" t="str">
        <f>B21</f>
        <v>基础设施水平</v>
      </c>
      <c r="R21" s="1560" t="s">
        <v>11</v>
      </c>
      <c r="S21" s="1561">
        <f>F21</f>
        <v>100</v>
      </c>
      <c r="T21" s="1560" t="s">
        <v>11</v>
      </c>
      <c r="U21" s="1561">
        <f>H21</f>
        <v>100</v>
      </c>
      <c r="V21" s="1560" t="s">
        <v>11</v>
      </c>
      <c r="W21" s="1561">
        <f>J21</f>
        <v>100</v>
      </c>
      <c r="X21" s="2546"/>
      <c r="Y21" s="3451"/>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4"/>
      <c r="L22" s="2128"/>
      <c r="M22" s="2120"/>
      <c r="N22" s="2120"/>
      <c r="O22" s="2127"/>
      <c r="P22" s="3451"/>
      <c r="Q22" s="2544"/>
      <c r="R22" s="1560"/>
      <c r="S22" s="1561"/>
      <c r="T22" s="1560"/>
      <c r="U22" s="1561"/>
      <c r="V22" s="1560"/>
      <c r="W22" s="1561"/>
      <c r="X22" s="2546"/>
      <c r="Y22" s="3451"/>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c r="L23" s="2128"/>
      <c r="M23" s="2120"/>
      <c r="N23" s="2120"/>
      <c r="O23" s="2127"/>
      <c r="P23" s="3451"/>
      <c r="Q23" s="1559" t="str">
        <f>B23</f>
        <v>自然及人文环境</v>
      </c>
      <c r="R23" s="1560" t="s">
        <v>11</v>
      </c>
      <c r="S23" s="1561">
        <f>F23</f>
        <v>100</v>
      </c>
      <c r="T23" s="1560" t="s">
        <v>11</v>
      </c>
      <c r="U23" s="1561">
        <f>H23</f>
        <v>100</v>
      </c>
      <c r="V23" s="1560" t="s">
        <v>11</v>
      </c>
      <c r="W23" s="1561">
        <f>J23</f>
        <v>100</v>
      </c>
      <c r="X23" s="1554"/>
      <c r="Y23" s="3451"/>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70"/>
      <c r="L24" s="2128"/>
      <c r="M24" s="2120"/>
      <c r="N24" s="2120"/>
      <c r="O24" s="2127"/>
      <c r="P24" s="3451"/>
      <c r="Q24" s="1559"/>
      <c r="R24" s="1560"/>
      <c r="S24" s="1561"/>
      <c r="T24" s="1560"/>
      <c r="U24" s="1561"/>
      <c r="V24" s="1560"/>
      <c r="W24" s="1561"/>
      <c r="X24" s="1554"/>
      <c r="Y24" s="3451"/>
      <c r="Z24" s="1562"/>
      <c r="AA24" s="1563">
        <v>1</v>
      </c>
      <c r="AB24" s="1563">
        <v>1</v>
      </c>
      <c r="AC24" s="1563">
        <v>1</v>
      </c>
    </row>
    <row r="25" spans="1:29" ht="15">
      <c r="A25" s="532"/>
      <c r="B25" s="1881" t="s">
        <v>2254</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451"/>
      <c r="Q25" s="1559" t="str">
        <f t="shared" ref="Q25:Q46" si="11">B25</f>
        <v>楼层-1</v>
      </c>
      <c r="R25" s="1560" t="s">
        <v>11</v>
      </c>
      <c r="S25" s="1561">
        <f>F25</f>
        <v>100</v>
      </c>
      <c r="T25" s="1560" t="s">
        <v>11</v>
      </c>
      <c r="U25" s="1561">
        <f>H25</f>
        <v>100</v>
      </c>
      <c r="V25" s="1560" t="s">
        <v>11</v>
      </c>
      <c r="W25" s="1561">
        <f>J25</f>
        <v>100</v>
      </c>
      <c r="X25" s="1554"/>
      <c r="Y25" s="3451"/>
      <c r="Z25" s="1562" t="str">
        <f>Q25</f>
        <v>楼层-1</v>
      </c>
      <c r="AA25" s="1563">
        <f t="shared" si="3"/>
        <v>1</v>
      </c>
      <c r="AB25" s="1563">
        <f t="shared" si="4"/>
        <v>1</v>
      </c>
      <c r="AC25" s="1563">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451"/>
      <c r="Q26" s="1559" t="str">
        <f t="shared" si="11"/>
        <v>朝向</v>
      </c>
      <c r="R26" s="1560" t="s">
        <v>11</v>
      </c>
      <c r="S26" s="1561">
        <f>F26</f>
        <v>100</v>
      </c>
      <c r="T26" s="1560" t="s">
        <v>11</v>
      </c>
      <c r="U26" s="1561">
        <f>H26</f>
        <v>100</v>
      </c>
      <c r="V26" s="1560" t="s">
        <v>11</v>
      </c>
      <c r="W26" s="1561">
        <f>J26</f>
        <v>100</v>
      </c>
      <c r="X26" s="1554"/>
      <c r="Y26" s="3451"/>
      <c r="Z26" s="1562" t="str">
        <f>Q26</f>
        <v>朝向</v>
      </c>
      <c r="AA26" s="1563">
        <f t="shared" si="3"/>
        <v>1</v>
      </c>
      <c r="AB26" s="1563">
        <f t="shared" si="4"/>
        <v>1</v>
      </c>
      <c r="AC26" s="1563">
        <f t="shared" si="5"/>
        <v>1</v>
      </c>
    </row>
    <row r="27" spans="1:29" s="1216"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451"/>
      <c r="Q27" s="1147" t="str">
        <f t="shared" si="11"/>
        <v>道路级别</v>
      </c>
      <c r="R27" s="1555" t="s">
        <v>11</v>
      </c>
      <c r="S27" s="1556">
        <f>F27</f>
        <v>100</v>
      </c>
      <c r="T27" s="1555" t="s">
        <v>11</v>
      </c>
      <c r="U27" s="1556">
        <f>H27</f>
        <v>100</v>
      </c>
      <c r="V27" s="1555" t="s">
        <v>11</v>
      </c>
      <c r="W27" s="1556">
        <f>J27</f>
        <v>100</v>
      </c>
      <c r="X27" s="1557"/>
      <c r="Y27" s="3451"/>
      <c r="Z27" s="1146" t="str">
        <f>Q27</f>
        <v>道路级别</v>
      </c>
      <c r="AA27" s="1563">
        <f>D27/F27</f>
        <v>1</v>
      </c>
      <c r="AB27" s="1563">
        <f>D27/H27</f>
        <v>1</v>
      </c>
      <c r="AC27" s="1563">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451"/>
      <c r="Q28" s="1559">
        <f t="shared" si="11"/>
        <v>111</v>
      </c>
      <c r="R28" s="1560" t="s">
        <v>11</v>
      </c>
      <c r="S28" s="1561">
        <f t="shared" ref="S28:S46" si="12">F28</f>
        <v>100</v>
      </c>
      <c r="T28" s="1560" t="s">
        <v>11</v>
      </c>
      <c r="U28" s="1561">
        <f t="shared" ref="U28:U46" si="13">H28</f>
        <v>100</v>
      </c>
      <c r="V28" s="1560" t="s">
        <v>11</v>
      </c>
      <c r="W28" s="1561">
        <f t="shared" ref="W28:W46" si="14">J28</f>
        <v>100</v>
      </c>
      <c r="X28" s="1554"/>
      <c r="Y28" s="3451"/>
      <c r="Z28" s="1562">
        <f t="shared" ref="Z28:Z46" si="15">Q28</f>
        <v>111</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451"/>
      <c r="Q29" s="1559">
        <f t="shared" si="11"/>
        <v>111</v>
      </c>
      <c r="R29" s="1560" t="s">
        <v>11</v>
      </c>
      <c r="S29" s="1561">
        <f t="shared" si="12"/>
        <v>100</v>
      </c>
      <c r="T29" s="1560" t="s">
        <v>11</v>
      </c>
      <c r="U29" s="1561">
        <f t="shared" si="13"/>
        <v>100</v>
      </c>
      <c r="V29" s="1560" t="s">
        <v>11</v>
      </c>
      <c r="W29" s="1561">
        <f t="shared" si="14"/>
        <v>100</v>
      </c>
      <c r="X29" s="1554"/>
      <c r="Y29" s="3451"/>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451"/>
      <c r="Q30" s="1559">
        <f t="shared" si="11"/>
        <v>111</v>
      </c>
      <c r="R30" s="1560" t="s">
        <v>11</v>
      </c>
      <c r="S30" s="1561">
        <f t="shared" si="12"/>
        <v>100</v>
      </c>
      <c r="T30" s="1560" t="s">
        <v>11</v>
      </c>
      <c r="U30" s="1561">
        <f t="shared" si="13"/>
        <v>100</v>
      </c>
      <c r="V30" s="1560" t="s">
        <v>11</v>
      </c>
      <c r="W30" s="1561">
        <f t="shared" si="14"/>
        <v>100</v>
      </c>
      <c r="X30" s="1554"/>
      <c r="Y30" s="3451"/>
      <c r="Z30" s="1562">
        <f t="shared" si="15"/>
        <v>111</v>
      </c>
      <c r="AA30" s="1563">
        <f t="shared" si="3"/>
        <v>1</v>
      </c>
      <c r="AB30" s="1563">
        <f t="shared" si="4"/>
        <v>1</v>
      </c>
      <c r="AC30" s="1563">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451"/>
      <c r="Q31" s="1559">
        <f t="shared" si="11"/>
        <v>111</v>
      </c>
      <c r="R31" s="1560" t="s">
        <v>11</v>
      </c>
      <c r="S31" s="1561">
        <f t="shared" si="12"/>
        <v>100</v>
      </c>
      <c r="T31" s="1560" t="s">
        <v>11</v>
      </c>
      <c r="U31" s="1561">
        <f t="shared" si="13"/>
        <v>100</v>
      </c>
      <c r="V31" s="1560" t="s">
        <v>11</v>
      </c>
      <c r="W31" s="1561">
        <f t="shared" si="14"/>
        <v>100</v>
      </c>
      <c r="X31" s="1554"/>
      <c r="Y31" s="3451"/>
      <c r="Z31" s="1562">
        <f t="shared" si="15"/>
        <v>111</v>
      </c>
      <c r="AA31" s="1563">
        <f t="shared" si="3"/>
        <v>1</v>
      </c>
      <c r="AB31" s="1563">
        <f t="shared" si="4"/>
        <v>1</v>
      </c>
      <c r="AC31" s="1563">
        <f t="shared" si="5"/>
        <v>1</v>
      </c>
    </row>
    <row r="32" spans="1:29" ht="15">
      <c r="A32" s="2747" t="s">
        <v>2751</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28"/>
      <c r="M32" s="2120"/>
      <c r="N32" s="2120"/>
      <c r="O32" s="2127"/>
      <c r="P32" s="3452" t="s">
        <v>550</v>
      </c>
      <c r="Q32" s="1559" t="str">
        <f t="shared" si="11"/>
        <v>建筑类型</v>
      </c>
      <c r="R32" s="1560" t="s">
        <v>11</v>
      </c>
      <c r="S32" s="1561">
        <f t="shared" si="12"/>
        <v>100</v>
      </c>
      <c r="T32" s="1560" t="s">
        <v>11</v>
      </c>
      <c r="U32" s="1561">
        <f t="shared" si="13"/>
        <v>100</v>
      </c>
      <c r="V32" s="1560" t="s">
        <v>11</v>
      </c>
      <c r="W32" s="1561">
        <f t="shared" si="14"/>
        <v>100</v>
      </c>
      <c r="X32" s="1554"/>
      <c r="Y32" s="3453" t="s">
        <v>550</v>
      </c>
      <c r="Z32" s="1562" t="str">
        <f t="shared" si="15"/>
        <v>建筑类型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26"/>
      <c r="M33" s="2157"/>
      <c r="N33" s="2157"/>
      <c r="O33" s="2129"/>
      <c r="P33" s="3453"/>
      <c r="Q33" s="1591" t="str">
        <f t="shared" si="11"/>
        <v>项目建筑规模</v>
      </c>
      <c r="R33" s="1564" t="s">
        <v>11</v>
      </c>
      <c r="S33" s="1565" t="e">
        <f t="shared" si="12"/>
        <v>#N/A</v>
      </c>
      <c r="T33" s="1564" t="s">
        <v>11</v>
      </c>
      <c r="U33" s="1565" t="e">
        <f t="shared" si="13"/>
        <v>#N/A</v>
      </c>
      <c r="V33" s="1564" t="s">
        <v>11</v>
      </c>
      <c r="W33" s="1565" t="e">
        <f t="shared" si="14"/>
        <v>#N/A</v>
      </c>
      <c r="X33" s="1566"/>
      <c r="Y33" s="3453"/>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28"/>
      <c r="M34" s="2120"/>
      <c r="N34" s="2120"/>
      <c r="O34" s="2127"/>
      <c r="P34" s="3453"/>
      <c r="Q34" s="1559" t="str">
        <f t="shared" si="11"/>
        <v>建筑结构</v>
      </c>
      <c r="R34" s="1560" t="s">
        <v>11</v>
      </c>
      <c r="S34" s="1561">
        <f t="shared" si="12"/>
        <v>100</v>
      </c>
      <c r="T34" s="1560" t="s">
        <v>11</v>
      </c>
      <c r="U34" s="1561">
        <f t="shared" si="13"/>
        <v>100</v>
      </c>
      <c r="V34" s="1560" t="s">
        <v>11</v>
      </c>
      <c r="W34" s="1561">
        <f t="shared" si="14"/>
        <v>100</v>
      </c>
      <c r="X34" s="1554"/>
      <c r="Y34" s="3453"/>
      <c r="Z34" s="1562" t="str">
        <f t="shared" si="15"/>
        <v>建筑结构</v>
      </c>
      <c r="AA34" s="1563">
        <f t="shared" si="3"/>
        <v>1</v>
      </c>
      <c r="AB34" s="1563">
        <f t="shared" si="4"/>
        <v>1</v>
      </c>
      <c r="AC34" s="1563">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28"/>
      <c r="M35" s="2120"/>
      <c r="N35" s="2120"/>
      <c r="O35" s="2127"/>
      <c r="P35" s="3453"/>
      <c r="Q35" s="1559" t="str">
        <f t="shared" si="11"/>
        <v>建筑品质</v>
      </c>
      <c r="R35" s="1560" t="s">
        <v>11</v>
      </c>
      <c r="S35" s="1561">
        <f t="shared" si="12"/>
        <v>100</v>
      </c>
      <c r="T35" s="1560" t="s">
        <v>11</v>
      </c>
      <c r="U35" s="1561">
        <f t="shared" si="13"/>
        <v>100</v>
      </c>
      <c r="V35" s="1560" t="s">
        <v>11</v>
      </c>
      <c r="W35" s="1561">
        <f t="shared" si="14"/>
        <v>100</v>
      </c>
      <c r="X35" s="1554"/>
      <c r="Y35" s="3453"/>
      <c r="Z35" s="1562" t="str">
        <f t="shared" si="15"/>
        <v>建筑品质</v>
      </c>
      <c r="AA35" s="1563">
        <f t="shared" si="3"/>
        <v>1</v>
      </c>
      <c r="AB35" s="1563">
        <f t="shared" si="4"/>
        <v>1</v>
      </c>
      <c r="AC35" s="1563">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28"/>
      <c r="M36" s="2120"/>
      <c r="N36" s="2120"/>
      <c r="O36" s="2127"/>
      <c r="P36" s="3453"/>
      <c r="Q36" s="1559" t="str">
        <f t="shared" si="11"/>
        <v>公共部分装修</v>
      </c>
      <c r="R36" s="1560" t="s">
        <v>11</v>
      </c>
      <c r="S36" s="1561">
        <f t="shared" si="12"/>
        <v>100</v>
      </c>
      <c r="T36" s="1560" t="s">
        <v>11</v>
      </c>
      <c r="U36" s="1561">
        <f t="shared" si="13"/>
        <v>100</v>
      </c>
      <c r="V36" s="1560" t="s">
        <v>11</v>
      </c>
      <c r="W36" s="1561">
        <f t="shared" si="14"/>
        <v>100</v>
      </c>
      <c r="X36" s="1554"/>
      <c r="Y36" s="3453"/>
      <c r="Z36" s="1562" t="str">
        <f t="shared" si="15"/>
        <v>公共部分装修</v>
      </c>
      <c r="AA36" s="1563">
        <f t="shared" si="3"/>
        <v>1</v>
      </c>
      <c r="AB36" s="1563">
        <f t="shared" si="4"/>
        <v>1</v>
      </c>
      <c r="AC36" s="1563">
        <f t="shared" si="5"/>
        <v>1</v>
      </c>
    </row>
    <row r="37" spans="1:29" s="1216"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21"/>
      <c r="M37" s="2122"/>
      <c r="N37" s="2122"/>
      <c r="O37" s="2123"/>
      <c r="P37" s="3453"/>
      <c r="Q37" s="1147" t="str">
        <f t="shared" si="11"/>
        <v>成新度</v>
      </c>
      <c r="R37" s="1555" t="s">
        <v>11</v>
      </c>
      <c r="S37" s="1556" t="e">
        <f t="shared" si="12"/>
        <v>#N/A</v>
      </c>
      <c r="T37" s="1555" t="s">
        <v>11</v>
      </c>
      <c r="U37" s="1556" t="e">
        <f t="shared" si="13"/>
        <v>#N/A</v>
      </c>
      <c r="V37" s="1555" t="s">
        <v>11</v>
      </c>
      <c r="W37" s="1556" t="e">
        <f t="shared" si="14"/>
        <v>#N/A</v>
      </c>
      <c r="X37" s="1557"/>
      <c r="Y37" s="3453"/>
      <c r="Z37" s="1146" t="str">
        <f t="shared" si="15"/>
        <v>成新度</v>
      </c>
      <c r="AA37" s="1558" t="e">
        <f t="shared" si="3"/>
        <v>#N/A</v>
      </c>
      <c r="AB37" s="1558" t="e">
        <f t="shared" si="4"/>
        <v>#N/A</v>
      </c>
      <c r="AC37" s="1558"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28"/>
      <c r="M38" s="2120"/>
      <c r="N38" s="2120"/>
      <c r="O38" s="2127"/>
      <c r="P38" s="3453" t="s">
        <v>550</v>
      </c>
      <c r="Q38" s="1559" t="str">
        <f t="shared" si="11"/>
        <v>物业管理</v>
      </c>
      <c r="R38" s="1560" t="s">
        <v>11</v>
      </c>
      <c r="S38" s="1561">
        <f t="shared" si="12"/>
        <v>100</v>
      </c>
      <c r="T38" s="1560" t="s">
        <v>11</v>
      </c>
      <c r="U38" s="1561">
        <f t="shared" si="13"/>
        <v>100</v>
      </c>
      <c r="V38" s="1560" t="s">
        <v>11</v>
      </c>
      <c r="W38" s="1561">
        <f t="shared" si="14"/>
        <v>100</v>
      </c>
      <c r="X38" s="1554"/>
      <c r="Y38" s="3453" t="s">
        <v>550</v>
      </c>
      <c r="Z38" s="1562" t="str">
        <f t="shared" si="15"/>
        <v>物业管理</v>
      </c>
      <c r="AA38" s="1563">
        <f t="shared" si="3"/>
        <v>1</v>
      </c>
      <c r="AB38" s="1563">
        <f t="shared" si="4"/>
        <v>1</v>
      </c>
      <c r="AC38" s="1563">
        <f t="shared" si="5"/>
        <v>1</v>
      </c>
    </row>
    <row r="39" spans="1:29" ht="15">
      <c r="A39" s="594"/>
      <c r="B39" s="1881" t="s">
        <v>2561</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28"/>
      <c r="M39" s="2120"/>
      <c r="N39" s="2120"/>
      <c r="O39" s="2127"/>
      <c r="P39" s="3453"/>
      <c r="Q39" s="1559" t="str">
        <f t="shared" si="11"/>
        <v>市政基础设施</v>
      </c>
      <c r="R39" s="1560" t="s">
        <v>11</v>
      </c>
      <c r="S39" s="1561">
        <f t="shared" si="12"/>
        <v>100</v>
      </c>
      <c r="T39" s="1560" t="s">
        <v>11</v>
      </c>
      <c r="U39" s="1561">
        <f t="shared" si="13"/>
        <v>100</v>
      </c>
      <c r="V39" s="1560" t="s">
        <v>11</v>
      </c>
      <c r="W39" s="1561">
        <f t="shared" si="14"/>
        <v>100</v>
      </c>
      <c r="X39" s="1554"/>
      <c r="Y39" s="3453"/>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453"/>
      <c r="Q40" s="1559" t="str">
        <f t="shared" si="11"/>
        <v>房型</v>
      </c>
      <c r="R40" s="1560" t="s">
        <v>11</v>
      </c>
      <c r="S40" s="1561">
        <f t="shared" si="12"/>
        <v>100</v>
      </c>
      <c r="T40" s="1560" t="s">
        <v>11</v>
      </c>
      <c r="U40" s="1561">
        <f t="shared" si="13"/>
        <v>100</v>
      </c>
      <c r="V40" s="1560" t="s">
        <v>11</v>
      </c>
      <c r="W40" s="1561">
        <f t="shared" si="14"/>
        <v>100</v>
      </c>
      <c r="X40" s="1554"/>
      <c r="Y40" s="3453"/>
      <c r="Z40" s="1562" t="str">
        <f t="shared" si="15"/>
        <v>房型</v>
      </c>
      <c r="AA40" s="1563">
        <f t="shared" si="3"/>
        <v>1</v>
      </c>
      <c r="AB40" s="1563">
        <f t="shared" si="4"/>
        <v>1</v>
      </c>
      <c r="AC40" s="1563">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453"/>
      <c r="Q41" s="1591" t="str">
        <f t="shared" si="11"/>
        <v>单套/主力户型建筑面积</v>
      </c>
      <c r="R41" s="1564" t="s">
        <v>11</v>
      </c>
      <c r="S41" s="1565">
        <f t="shared" si="12"/>
        <v>100</v>
      </c>
      <c r="T41" s="1564" t="s">
        <v>11</v>
      </c>
      <c r="U41" s="1565">
        <f t="shared" si="13"/>
        <v>100</v>
      </c>
      <c r="V41" s="1564" t="s">
        <v>11</v>
      </c>
      <c r="W41" s="1565">
        <f t="shared" si="14"/>
        <v>100</v>
      </c>
      <c r="X41" s="1566"/>
      <c r="Y41" s="3453"/>
      <c r="Z41" s="1567" t="str">
        <f t="shared" si="15"/>
        <v>单套/主力户型建筑面积</v>
      </c>
      <c r="AA41" s="1563">
        <f t="shared" si="3"/>
        <v>1</v>
      </c>
      <c r="AB41" s="1563">
        <f t="shared" si="4"/>
        <v>1</v>
      </c>
      <c r="AC41" s="1563">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28"/>
      <c r="M42" s="2120"/>
      <c r="N42" s="2120"/>
      <c r="O42" s="2127"/>
      <c r="P42" s="3453"/>
      <c r="Q42" s="1559" t="str">
        <f t="shared" si="11"/>
        <v>内部装修</v>
      </c>
      <c r="R42" s="1560" t="s">
        <v>11</v>
      </c>
      <c r="S42" s="1561">
        <f t="shared" si="12"/>
        <v>100</v>
      </c>
      <c r="T42" s="1560" t="s">
        <v>11</v>
      </c>
      <c r="U42" s="1561">
        <f t="shared" si="13"/>
        <v>100</v>
      </c>
      <c r="V42" s="1560" t="s">
        <v>11</v>
      </c>
      <c r="W42" s="1561">
        <f t="shared" si="14"/>
        <v>100</v>
      </c>
      <c r="X42" s="1554"/>
      <c r="Y42" s="3453"/>
      <c r="Z42" s="1562" t="str">
        <f t="shared" si="15"/>
        <v>内部装修</v>
      </c>
      <c r="AA42" s="1563">
        <f t="shared" si="3"/>
        <v>1</v>
      </c>
      <c r="AB42" s="1563">
        <f t="shared" si="4"/>
        <v>1</v>
      </c>
      <c r="AC42" s="1563">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8"/>
      <c r="M43" s="2120"/>
      <c r="N43" s="2120"/>
      <c r="O43" s="2127"/>
      <c r="P43" s="3453"/>
      <c r="Q43" s="1559" t="str">
        <f t="shared" si="11"/>
        <v>内部装修维护情况</v>
      </c>
      <c r="R43" s="1560" t="s">
        <v>11</v>
      </c>
      <c r="S43" s="1561">
        <f t="shared" si="12"/>
        <v>100</v>
      </c>
      <c r="T43" s="1560" t="s">
        <v>11</v>
      </c>
      <c r="U43" s="1561">
        <f t="shared" si="13"/>
        <v>100</v>
      </c>
      <c r="V43" s="1560" t="s">
        <v>11</v>
      </c>
      <c r="W43" s="1561">
        <f t="shared" si="14"/>
        <v>100</v>
      </c>
      <c r="X43" s="1554"/>
      <c r="Y43" s="3453"/>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453"/>
      <c r="Q44" s="1147">
        <f t="shared" si="11"/>
        <v>111</v>
      </c>
      <c r="R44" s="1555" t="s">
        <v>11</v>
      </c>
      <c r="S44" s="1556">
        <f t="shared" si="12"/>
        <v>100</v>
      </c>
      <c r="T44" s="1555" t="s">
        <v>11</v>
      </c>
      <c r="U44" s="1556">
        <f t="shared" si="13"/>
        <v>100</v>
      </c>
      <c r="V44" s="1555" t="s">
        <v>11</v>
      </c>
      <c r="W44" s="1556">
        <f t="shared" si="14"/>
        <v>100</v>
      </c>
      <c r="X44" s="1557"/>
      <c r="Y44" s="3453"/>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453"/>
      <c r="Q45" s="1559">
        <f t="shared" si="11"/>
        <v>111</v>
      </c>
      <c r="R45" s="1560" t="s">
        <v>11</v>
      </c>
      <c r="S45" s="1561">
        <f t="shared" si="12"/>
        <v>100</v>
      </c>
      <c r="T45" s="1560" t="s">
        <v>11</v>
      </c>
      <c r="U45" s="1561">
        <f t="shared" si="13"/>
        <v>100</v>
      </c>
      <c r="V45" s="1560" t="s">
        <v>11</v>
      </c>
      <c r="W45" s="1561">
        <f t="shared" si="14"/>
        <v>100</v>
      </c>
      <c r="X45" s="1554"/>
      <c r="Y45" s="3453"/>
      <c r="Z45" s="1562">
        <f t="shared" si="15"/>
        <v>111</v>
      </c>
      <c r="AA45" s="1563">
        <f t="shared" si="3"/>
        <v>1</v>
      </c>
      <c r="AB45" s="1563">
        <f t="shared" si="4"/>
        <v>1</v>
      </c>
      <c r="AC45" s="1563">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99"/>
      <c r="Q46" s="1559">
        <f t="shared" si="11"/>
        <v>111</v>
      </c>
      <c r="R46" s="1560" t="s">
        <v>10</v>
      </c>
      <c r="S46" s="1561">
        <f t="shared" si="12"/>
        <v>100</v>
      </c>
      <c r="T46" s="1560" t="s">
        <v>10</v>
      </c>
      <c r="U46" s="1561">
        <f t="shared" si="13"/>
        <v>100</v>
      </c>
      <c r="V46" s="1560" t="s">
        <v>10</v>
      </c>
      <c r="W46" s="1561">
        <f t="shared" si="14"/>
        <v>100</v>
      </c>
      <c r="X46" s="1554"/>
      <c r="Y46" s="3499"/>
      <c r="Z46" s="1562">
        <f t="shared" si="15"/>
        <v>111</v>
      </c>
      <c r="AA46" s="1563">
        <f t="shared" si="3"/>
        <v>1</v>
      </c>
      <c r="AB46" s="1563">
        <f t="shared" si="4"/>
        <v>1</v>
      </c>
      <c r="AC46" s="1563">
        <f t="shared" si="5"/>
        <v>1</v>
      </c>
    </row>
    <row r="47" spans="1:29" ht="15">
      <c r="A47" s="607" t="s">
        <v>736</v>
      </c>
      <c r="B47" s="887"/>
      <c r="C47" s="2592" t="s">
        <v>9</v>
      </c>
      <c r="D47" s="2593"/>
      <c r="E47" s="2594"/>
      <c r="F47" s="2595"/>
      <c r="G47" s="2596"/>
      <c r="H47" s="2597"/>
      <c r="I47" s="2594"/>
      <c r="J47" s="2597"/>
      <c r="K47" s="1592"/>
      <c r="L47" s="2130"/>
      <c r="M47" s="2131"/>
      <c r="N47" s="2120"/>
      <c r="O47" s="2131"/>
      <c r="P47" s="3416" t="str">
        <f>A47</f>
        <v>成交单价（元/平方米）</v>
      </c>
      <c r="Q47" s="3416"/>
      <c r="R47" s="3498">
        <f>E47</f>
        <v>0</v>
      </c>
      <c r="S47" s="3498"/>
      <c r="T47" s="3498">
        <f>G47</f>
        <v>0</v>
      </c>
      <c r="U47" s="3498"/>
      <c r="V47" s="3498">
        <f>I47</f>
        <v>0</v>
      </c>
      <c r="W47" s="3498"/>
      <c r="X47" s="1546"/>
      <c r="Y47" s="1568"/>
      <c r="Z47" s="1546"/>
      <c r="AA47" s="1546"/>
      <c r="AB47" s="1546"/>
      <c r="AC47" s="1546"/>
    </row>
    <row r="48" spans="1:29" ht="15.75" thickBot="1">
      <c r="A48" s="615" t="s">
        <v>2756</v>
      </c>
      <c r="B48" s="888"/>
      <c r="C48" s="2598" t="e">
        <f>R49</f>
        <v>#DIV/0!</v>
      </c>
      <c r="D48" s="2599"/>
      <c r="E48" s="2600" t="e">
        <f>R48</f>
        <v>#DIV/0!</v>
      </c>
      <c r="F48" s="2600"/>
      <c r="G48" s="2598" t="e">
        <f>T48</f>
        <v>#DIV/0!</v>
      </c>
      <c r="H48" s="2599"/>
      <c r="I48" s="2600" t="e">
        <f>V48</f>
        <v>#DIV/0!</v>
      </c>
      <c r="J48" s="2599"/>
      <c r="K48" s="1593"/>
      <c r="L48" s="2130"/>
      <c r="M48" s="2131"/>
      <c r="N48" s="2131"/>
      <c r="O48" s="2131"/>
      <c r="P48" s="3416" t="str">
        <f>A48</f>
        <v>比较价格（元/平方米）</v>
      </c>
      <c r="Q48" s="3416"/>
      <c r="R48" s="3498" t="e">
        <f>IF(F1="售价",ROUND(PRODUCT(R47,AA7:AA46),0),ROUND(PRODUCT(R47,AA7:AA46),1))</f>
        <v>#DIV/0!</v>
      </c>
      <c r="S48" s="3498"/>
      <c r="T48" s="3498" t="e">
        <f>IF(F1="售价",ROUND(PRODUCT(T47,AB7:AB46),0),ROUND(PRODUCT(T47,AB7:AB46),1))</f>
        <v>#DIV/0!</v>
      </c>
      <c r="U48" s="3498"/>
      <c r="V48" s="3498" t="e">
        <f>IF(F1="售价",ROUND(PRODUCT(V47,AC7:AC46),0),ROUND(PRODUCT(V47,AC7:AC46),1))</f>
        <v>#DIV/0!</v>
      </c>
      <c r="W48" s="3498"/>
      <c r="X48" s="1546"/>
      <c r="Y48" s="1546"/>
      <c r="Z48" s="1546"/>
      <c r="AA48" s="1546"/>
      <c r="AB48" s="1546"/>
      <c r="AC48" s="1546"/>
    </row>
    <row r="49" spans="1:29" ht="15.75" thickBot="1">
      <c r="A49" s="621" t="s">
        <v>2932</v>
      </c>
      <c r="B49" s="622"/>
      <c r="C49" s="2601" t="e">
        <f>R49</f>
        <v>#DIV/0!</v>
      </c>
      <c r="D49" s="2601"/>
      <c r="E49" s="2601"/>
      <c r="F49" s="2601"/>
      <c r="G49" s="2601"/>
      <c r="H49" s="2601"/>
      <c r="I49" s="2601"/>
      <c r="J49" s="2601"/>
      <c r="K49" s="1594"/>
      <c r="L49" s="2130"/>
      <c r="M49" s="2131"/>
      <c r="N49" s="2131"/>
      <c r="O49" s="2131"/>
      <c r="P49" s="3413" t="str">
        <f>A49</f>
        <v>估价对象XX用房的比较价格（楼面单价，元/平方米）</v>
      </c>
      <c r="Q49" s="3414"/>
      <c r="R49" s="3497" t="e">
        <f>IF(F1="售价",ROUND(AVERAGE(R48:V48),0),ROUND(AVERAGE(R48:V48),1))</f>
        <v>#DIV/0!</v>
      </c>
      <c r="S49" s="3497"/>
      <c r="T49" s="3497"/>
      <c r="U49" s="3497"/>
      <c r="V49" s="3497"/>
      <c r="W49" s="3497"/>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644" t="str">
        <f>YEAR(C7)&amp;"-"&amp;MONTH(C7)</f>
        <v>2020-6</v>
      </c>
      <c r="D58" s="2644">
        <f>EDATE(C58,-1)</f>
        <v>43952</v>
      </c>
      <c r="E58" s="2644">
        <f t="shared" ref="E58:O58" si="16">EDATE(D58,-1)</f>
        <v>43922</v>
      </c>
      <c r="F58" s="2644">
        <f t="shared" si="16"/>
        <v>43891</v>
      </c>
      <c r="G58" s="2644">
        <f t="shared" si="16"/>
        <v>43862</v>
      </c>
      <c r="H58" s="2644">
        <f t="shared" si="16"/>
        <v>43831</v>
      </c>
      <c r="I58" s="2644">
        <f t="shared" si="16"/>
        <v>43800</v>
      </c>
      <c r="J58" s="2644">
        <f t="shared" si="16"/>
        <v>43770</v>
      </c>
      <c r="K58" s="2644">
        <f t="shared" si="16"/>
        <v>43739</v>
      </c>
      <c r="L58" s="2644">
        <f t="shared" si="16"/>
        <v>43709</v>
      </c>
      <c r="M58" s="2644">
        <f t="shared" si="16"/>
        <v>43678</v>
      </c>
      <c r="N58" s="2644">
        <f t="shared" si="16"/>
        <v>43647</v>
      </c>
      <c r="O58" s="2644">
        <f t="shared" si="16"/>
        <v>43617</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0"/>
      <c r="N59" s="650"/>
      <c r="O59" s="650"/>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2554</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2555</v>
      </c>
      <c r="C82" s="2563" t="s">
        <v>2556</v>
      </c>
      <c r="D82" s="2563" t="s">
        <v>2557</v>
      </c>
      <c r="E82" s="2563" t="s">
        <v>2558</v>
      </c>
      <c r="F82" s="2563" t="s">
        <v>2559</v>
      </c>
      <c r="G82" s="2563" t="s">
        <v>2560</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2255</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718"/>
      <c r="D107" s="718"/>
      <c r="E107" s="71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688"/>
      <c r="D109" s="688"/>
      <c r="E109" s="688"/>
      <c r="F109" s="718"/>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2553</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718"/>
      <c r="D118" s="718"/>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2256</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2257</v>
      </c>
      <c r="C137" s="1905"/>
      <c r="D137" s="1905"/>
      <c r="E137" s="1905"/>
      <c r="F137" s="1905"/>
      <c r="G137" s="1906"/>
      <c r="H137" s="1907"/>
      <c r="I137" s="1908" t="s">
        <v>2258</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2259</v>
      </c>
      <c r="D138" s="1911" t="s">
        <v>2260</v>
      </c>
      <c r="E138" s="1912" t="s">
        <v>2261</v>
      </c>
      <c r="F138" s="1913" t="s">
        <v>2262</v>
      </c>
      <c r="G138" s="1911" t="s">
        <v>2263</v>
      </c>
      <c r="H138" s="1914" t="s">
        <v>2264</v>
      </c>
      <c r="I138" s="1915"/>
      <c r="J138" s="1911" t="s">
        <v>2265</v>
      </c>
      <c r="K138" s="1914" t="s">
        <v>2266</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2267</v>
      </c>
      <c r="E139" s="1885">
        <v>100</v>
      </c>
      <c r="F139" s="1886">
        <v>102.5</v>
      </c>
      <c r="G139" s="1916" t="s">
        <v>2268</v>
      </c>
      <c r="H139" s="1887">
        <v>105</v>
      </c>
      <c r="I139" s="1917" t="s">
        <v>2269</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2270</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2271</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2272</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2273</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2274</v>
      </c>
      <c r="E144" s="1891">
        <v>102</v>
      </c>
      <c r="F144" s="1897">
        <v>100</v>
      </c>
      <c r="G144" s="1920" t="s">
        <v>2274</v>
      </c>
      <c r="H144" s="1893">
        <v>105</v>
      </c>
      <c r="I144" s="1919" t="s">
        <v>2273</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2275</v>
      </c>
      <c r="C145" s="1898">
        <f>ROUND(MAX(C139:C144)/MIN(C139:C144)-1,3)</f>
        <v>7.2999999999999995E-2</v>
      </c>
      <c r="D145" s="1922"/>
      <c r="E145" s="1922"/>
      <c r="F145" s="1923" t="s">
        <v>2276</v>
      </c>
      <c r="G145" s="1924"/>
      <c r="H145" s="1925"/>
      <c r="I145" s="1926" t="s">
        <v>2273</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2285</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2286</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09" priority="15" stopIfTrue="1" operator="containsText" text="超过">
      <formula>NOT(ISERROR(SEARCH("超过",F52)))</formula>
    </cfRule>
  </conditionalFormatting>
  <conditionalFormatting sqref="J54">
    <cfRule type="containsText" dxfId="108" priority="14" stopIfTrue="1" operator="containsText" text="超过">
      <formula>NOT(ISERROR(SEARCH("超过",J54)))</formula>
    </cfRule>
  </conditionalFormatting>
  <conditionalFormatting sqref="H54">
    <cfRule type="containsText" dxfId="107" priority="13" stopIfTrue="1" operator="containsText" text="超过">
      <formula>NOT(ISERROR(SEARCH("超过",H54)))</formula>
    </cfRule>
  </conditionalFormatting>
  <conditionalFormatting sqref="F54">
    <cfRule type="containsText" dxfId="106" priority="12" stopIfTrue="1" operator="containsText" text="超过">
      <formula>NOT(ISERROR(SEARCH("超过",F54)))</formula>
    </cfRule>
  </conditionalFormatting>
  <conditionalFormatting sqref="F53 H53 J53">
    <cfRule type="containsText" dxfId="105" priority="11" stopIfTrue="1" operator="containsText" text="超过">
      <formula>NOT(ISERROR(SEARCH("超过",F53)))</formula>
    </cfRule>
  </conditionalFormatting>
  <conditionalFormatting sqref="E52">
    <cfRule type="expression" dxfId="104" priority="10" stopIfTrue="1">
      <formula>$F$52="超过30%"</formula>
    </cfRule>
  </conditionalFormatting>
  <conditionalFormatting sqref="G54">
    <cfRule type="expression" dxfId="103" priority="8" stopIfTrue="1">
      <formula>$H$54="超过30%"</formula>
    </cfRule>
  </conditionalFormatting>
  <conditionalFormatting sqref="E53">
    <cfRule type="expression" dxfId="102" priority="7" stopIfTrue="1">
      <formula>$F$53="超过20%"</formula>
    </cfRule>
  </conditionalFormatting>
  <conditionalFormatting sqref="E54">
    <cfRule type="expression" dxfId="101" priority="6" stopIfTrue="1">
      <formula>$F$54="超过30%"</formula>
    </cfRule>
  </conditionalFormatting>
  <conditionalFormatting sqref="G52">
    <cfRule type="expression" dxfId="100" priority="5" stopIfTrue="1">
      <formula>$H$52="超过30%"</formula>
    </cfRule>
  </conditionalFormatting>
  <conditionalFormatting sqref="G53">
    <cfRule type="expression" dxfId="99" priority="4" stopIfTrue="1">
      <formula>$H$53="超过20%"</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5"/>
      <c r="E1" s="506"/>
      <c r="F1" s="2647"/>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t="e">
        <f>C49</f>
        <v>#DIV/0!</v>
      </c>
      <c r="C3" s="852" t="s">
        <v>722</v>
      </c>
      <c r="D3" s="851">
        <f>SUMIF('数据-汇总表'!$C19:$C33,D1,'数据-汇总表'!$E19:$E33)</f>
        <v>0</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422" t="s">
        <v>522</v>
      </c>
      <c r="D4" s="3423"/>
      <c r="E4" s="3456" t="s">
        <v>523</v>
      </c>
      <c r="F4" s="3457"/>
      <c r="G4" s="3422" t="s">
        <v>524</v>
      </c>
      <c r="H4" s="3423"/>
      <c r="I4" s="3422" t="s">
        <v>525</v>
      </c>
      <c r="J4" s="3423"/>
      <c r="K4" s="514" t="s">
        <v>526</v>
      </c>
      <c r="L4" s="2119"/>
      <c r="M4" s="2120"/>
      <c r="N4" s="2120"/>
      <c r="O4" s="2120"/>
      <c r="P4" s="3424" t="s">
        <v>527</v>
      </c>
      <c r="Q4" s="3425"/>
      <c r="R4" s="3430" t="s">
        <v>523</v>
      </c>
      <c r="S4" s="3431"/>
      <c r="T4" s="3430" t="s">
        <v>524</v>
      </c>
      <c r="U4" s="3431"/>
      <c r="V4" s="3417" t="s">
        <v>525</v>
      </c>
      <c r="W4" s="3417"/>
      <c r="X4" s="1554"/>
      <c r="Y4" s="3430" t="s">
        <v>527</v>
      </c>
      <c r="Z4" s="3431"/>
      <c r="AA4" s="3419" t="s">
        <v>523</v>
      </c>
      <c r="AB4" s="3417" t="s">
        <v>524</v>
      </c>
      <c r="AC4" s="3419" t="s">
        <v>525</v>
      </c>
    </row>
    <row r="5" spans="1:29" ht="15">
      <c r="A5" s="515"/>
      <c r="B5" s="516"/>
      <c r="C5" s="3438" t="s">
        <v>2926</v>
      </c>
      <c r="D5" s="3439"/>
      <c r="E5" s="3458" t="s">
        <v>2927</v>
      </c>
      <c r="F5" s="3459"/>
      <c r="G5" s="3438" t="s">
        <v>2928</v>
      </c>
      <c r="H5" s="3439"/>
      <c r="I5" s="3438" t="s">
        <v>2929</v>
      </c>
      <c r="J5" s="3439"/>
      <c r="K5" s="514"/>
      <c r="L5" s="2119"/>
      <c r="M5" s="2120"/>
      <c r="N5" s="2120"/>
      <c r="O5" s="2120"/>
      <c r="P5" s="3426"/>
      <c r="Q5" s="3427"/>
      <c r="R5" s="3432"/>
      <c r="S5" s="3433"/>
      <c r="T5" s="3432"/>
      <c r="U5" s="3433"/>
      <c r="V5" s="3417"/>
      <c r="W5" s="3417"/>
      <c r="X5" s="1554"/>
      <c r="Y5" s="3432"/>
      <c r="Z5" s="3433"/>
      <c r="AA5" s="3420"/>
      <c r="AB5" s="3417"/>
      <c r="AC5" s="3420"/>
    </row>
    <row r="6" spans="1:29" ht="15.75" thickBot="1">
      <c r="A6" s="517"/>
      <c r="B6" s="518"/>
      <c r="C6" s="3436" t="s">
        <v>2930</v>
      </c>
      <c r="D6" s="3437"/>
      <c r="E6" s="3454" t="s">
        <v>2930</v>
      </c>
      <c r="F6" s="3455"/>
      <c r="G6" s="3436" t="s">
        <v>2930</v>
      </c>
      <c r="H6" s="3437"/>
      <c r="I6" s="3436" t="s">
        <v>2930</v>
      </c>
      <c r="J6" s="3437"/>
      <c r="K6" s="514" t="s">
        <v>528</v>
      </c>
      <c r="L6" s="2119"/>
      <c r="M6" s="2120"/>
      <c r="N6" s="2120"/>
      <c r="O6" s="2120"/>
      <c r="P6" s="3428"/>
      <c r="Q6" s="3429"/>
      <c r="R6" s="3432"/>
      <c r="S6" s="3433"/>
      <c r="T6" s="3434"/>
      <c r="U6" s="3435"/>
      <c r="V6" s="3417"/>
      <c r="W6" s="3417"/>
      <c r="X6" s="1554"/>
      <c r="Y6" s="3434"/>
      <c r="Z6" s="3435"/>
      <c r="AA6" s="3421"/>
      <c r="AB6" s="3417"/>
      <c r="AC6" s="3421"/>
    </row>
    <row r="7" spans="1:29" s="1216" customFormat="1" ht="15.75" thickBot="1">
      <c r="A7" s="2752"/>
      <c r="B7" s="2759" t="s">
        <v>529</v>
      </c>
      <c r="C7" s="519">
        <f>'数据-取费表'!B2</f>
        <v>44012</v>
      </c>
      <c r="D7" s="520">
        <v>100</v>
      </c>
      <c r="E7" s="521"/>
      <c r="F7" s="522">
        <f>SUMIF(58:58,YEAR(E7)&amp;"-"&amp;MONTH(E7),59:59)</f>
        <v>0</v>
      </c>
      <c r="G7" s="521"/>
      <c r="H7" s="520">
        <f>SUMIF(58:58,YEAR(G7)&amp;"-"&amp;MONTH(G7),59:59)</f>
        <v>0</v>
      </c>
      <c r="I7" s="521"/>
      <c r="J7" s="520">
        <f>SUMIF(58:58,YEAR(I7)&amp;"-"&amp;MONTH(I7),59:59)</f>
        <v>0</v>
      </c>
      <c r="K7" s="524"/>
      <c r="L7" s="2121"/>
      <c r="M7" s="2122"/>
      <c r="N7" s="2122"/>
      <c r="O7" s="2122"/>
      <c r="P7" s="3447" t="s">
        <v>530</v>
      </c>
      <c r="Q7" s="3449"/>
      <c r="R7" s="1555" t="s">
        <v>8</v>
      </c>
      <c r="S7" s="1556">
        <f t="shared" ref="S7:S15" si="0">F7</f>
        <v>0</v>
      </c>
      <c r="T7" s="1555" t="s">
        <v>8</v>
      </c>
      <c r="U7" s="1556">
        <f t="shared" ref="U7:U15" si="1">H7</f>
        <v>0</v>
      </c>
      <c r="V7" s="1555" t="s">
        <v>8</v>
      </c>
      <c r="W7" s="1556">
        <f t="shared" ref="W7:W15"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525"/>
      <c r="F8" s="522">
        <f>SUMIF(61:61,E8,62:62)-SUMIF(61:61,C8,62:62)+100</f>
        <v>0</v>
      </c>
      <c r="G8" s="525"/>
      <c r="H8" s="520">
        <f>SUMIF(61:61,G8,62:62)-SUMIF(61:61,C8,62:62)+100</f>
        <v>0</v>
      </c>
      <c r="I8" s="525"/>
      <c r="J8" s="520">
        <f>SUMIF(61:61,I8,62:62)-SUMIF(61:61,C8,62:62)+100</f>
        <v>0</v>
      </c>
      <c r="K8" s="524"/>
      <c r="L8" s="2121"/>
      <c r="M8" s="2122"/>
      <c r="N8" s="2122"/>
      <c r="O8" s="2122"/>
      <c r="P8" s="3447" t="s">
        <v>533</v>
      </c>
      <c r="Q8" s="3448"/>
      <c r="R8" s="1555" t="s">
        <v>8</v>
      </c>
      <c r="S8" s="1556">
        <f t="shared" si="0"/>
        <v>0</v>
      </c>
      <c r="T8" s="1555" t="s">
        <v>8</v>
      </c>
      <c r="U8" s="1556">
        <f t="shared" si="1"/>
        <v>0</v>
      </c>
      <c r="V8" s="1555" t="s">
        <v>8</v>
      </c>
      <c r="W8" s="1556">
        <f t="shared" si="2"/>
        <v>0</v>
      </c>
      <c r="X8" s="1557"/>
      <c r="Y8" s="3447" t="s">
        <v>533</v>
      </c>
      <c r="Z8" s="3448"/>
      <c r="AA8" s="1558" t="e">
        <f t="shared" ref="AA8:AA46" si="3">D8/F8</f>
        <v>#DIV/0!</v>
      </c>
      <c r="AB8" s="1558" t="e">
        <f t="shared" ref="AB8:AB46" si="4">D8/H8</f>
        <v>#DIV/0!</v>
      </c>
      <c r="AC8" s="1558" t="e">
        <f t="shared" ref="AC8:AC46" si="5">D8/J8</f>
        <v>#DIV/0!</v>
      </c>
    </row>
    <row r="9" spans="1:29" s="1216" customFormat="1" ht="15">
      <c r="A9" s="2754"/>
      <c r="B9" s="2761" t="s">
        <v>2752</v>
      </c>
      <c r="C9" s="857"/>
      <c r="D9" s="254">
        <v>100</v>
      </c>
      <c r="E9" s="860"/>
      <c r="F9" s="254">
        <f>SUMIF(63:63,E9,64:64)-SUMIF(63:63,C9,64:64)+100</f>
        <v>100</v>
      </c>
      <c r="G9" s="858"/>
      <c r="H9" s="254">
        <f>SUMIF(63:63,G9,64:64)-SUMIF(63:63,C9,64:64)+100</f>
        <v>100</v>
      </c>
      <c r="I9" s="858"/>
      <c r="J9" s="254">
        <f>SUMIF(63:63,I9,64:64)-SUMIF(63:63,C9,64:64)+100</f>
        <v>100</v>
      </c>
      <c r="K9" s="524"/>
      <c r="L9" s="2121"/>
      <c r="M9" s="2122"/>
      <c r="N9" s="2122"/>
      <c r="O9" s="2123"/>
      <c r="P9" s="3416" t="s">
        <v>535</v>
      </c>
      <c r="Q9" s="1147" t="str">
        <f t="shared" ref="Q9:Q15" si="6">B9</f>
        <v>用途</v>
      </c>
      <c r="R9" s="1555" t="s">
        <v>8</v>
      </c>
      <c r="S9" s="1556">
        <f t="shared" si="0"/>
        <v>100</v>
      </c>
      <c r="T9" s="1555" t="s">
        <v>8</v>
      </c>
      <c r="U9" s="1556">
        <f t="shared" si="1"/>
        <v>100</v>
      </c>
      <c r="V9" s="1555" t="s">
        <v>8</v>
      </c>
      <c r="W9" s="1556">
        <f t="shared" si="2"/>
        <v>100</v>
      </c>
      <c r="X9" s="1557"/>
      <c r="Y9" s="3341" t="s">
        <v>536</v>
      </c>
      <c r="Z9" s="1146" t="str">
        <f t="shared" ref="Z9:Z15" si="7">Q9</f>
        <v>用途</v>
      </c>
      <c r="AA9" s="1558">
        <f t="shared" si="3"/>
        <v>1</v>
      </c>
      <c r="AB9" s="1558">
        <f t="shared" si="4"/>
        <v>1</v>
      </c>
      <c r="AC9" s="1558">
        <f t="shared" si="5"/>
        <v>1</v>
      </c>
    </row>
    <row r="10" spans="1:29" s="1334" customFormat="1" ht="27">
      <c r="A10" s="2755"/>
      <c r="B10" s="2760" t="s">
        <v>2753</v>
      </c>
      <c r="C10" s="861"/>
      <c r="D10" s="255">
        <v>100</v>
      </c>
      <c r="E10" s="861"/>
      <c r="F10" s="255">
        <f>SUMIF(65:65,E10,66:66)-SUMIF(65:65,C10,66:66)+100</f>
        <v>100</v>
      </c>
      <c r="G10" s="862"/>
      <c r="H10" s="255">
        <f>SUMIF(65:65,G10,66:66)-SUMIF(65:65,C10,66:66)+100</f>
        <v>100</v>
      </c>
      <c r="I10" s="861"/>
      <c r="J10" s="255">
        <f>SUMIF(65:65,I10,66:66)-SUMIF(65:65,C10,66:66)+100</f>
        <v>100</v>
      </c>
      <c r="K10" s="58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6"/>
      <c r="B11" s="2760" t="s">
        <v>2754</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6"/>
      <c r="M11" s="2120"/>
      <c r="N11" s="2120"/>
      <c r="O11" s="2127"/>
      <c r="P11" s="3416"/>
      <c r="Q11" s="1147" t="str">
        <f t="shared" si="6"/>
        <v>容积率</v>
      </c>
      <c r="R11" s="1555" t="s">
        <v>8</v>
      </c>
      <c r="S11" s="1556" t="e">
        <f t="shared" si="0"/>
        <v>#N/A</v>
      </c>
      <c r="T11" s="1555" t="s">
        <v>8</v>
      </c>
      <c r="U11" s="1556" t="e">
        <f t="shared" si="1"/>
        <v>#N/A</v>
      </c>
      <c r="V11" s="1555" t="s">
        <v>8</v>
      </c>
      <c r="W11" s="1556" t="e">
        <f t="shared" si="2"/>
        <v>#N/A</v>
      </c>
      <c r="X11" s="1557"/>
      <c r="Y11" s="3341"/>
      <c r="Z11" s="1146" t="str">
        <f t="shared" si="7"/>
        <v>容积率</v>
      </c>
      <c r="AA11" s="1558" t="e">
        <f t="shared" si="3"/>
        <v>#N/A</v>
      </c>
      <c r="AB11" s="1558" t="e">
        <f t="shared" si="4"/>
        <v>#N/A</v>
      </c>
      <c r="AC11" s="1558" t="e">
        <f t="shared" si="5"/>
        <v>#N/A</v>
      </c>
    </row>
    <row r="12" spans="1:29" s="1216" customFormat="1" ht="15">
      <c r="A12" s="2757"/>
      <c r="B12" s="2763">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
      <c r="A13" s="2757"/>
      <c r="B13" s="2763">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15.75" thickBot="1">
      <c r="A14" s="2758"/>
      <c r="B14" s="2764">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416"/>
      <c r="Q14" s="1147">
        <f t="shared" si="6"/>
        <v>111</v>
      </c>
      <c r="R14" s="1555" t="s">
        <v>8</v>
      </c>
      <c r="S14" s="1556">
        <f t="shared" si="0"/>
        <v>100</v>
      </c>
      <c r="T14" s="1555" t="s">
        <v>8</v>
      </c>
      <c r="U14" s="1556">
        <f t="shared" si="1"/>
        <v>100</v>
      </c>
      <c r="V14" s="1555" t="s">
        <v>8</v>
      </c>
      <c r="W14" s="1556">
        <f t="shared" si="2"/>
        <v>100</v>
      </c>
      <c r="X14" s="1557"/>
      <c r="Y14" s="3341"/>
      <c r="Z14" s="1146">
        <f t="shared" si="7"/>
        <v>111</v>
      </c>
      <c r="AA14" s="1558">
        <f t="shared" si="3"/>
        <v>1</v>
      </c>
      <c r="AB14" s="1558">
        <f t="shared" si="4"/>
        <v>1</v>
      </c>
      <c r="AC14" s="1558">
        <f t="shared" si="5"/>
        <v>1</v>
      </c>
    </row>
    <row r="15" spans="1:29" ht="71.25">
      <c r="A15" s="2750" t="s">
        <v>2750</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8"/>
      <c r="M15" s="2120"/>
      <c r="N15" s="2120"/>
      <c r="O15" s="2127"/>
      <c r="P15" s="3450" t="s">
        <v>540</v>
      </c>
      <c r="Q15" s="1559" t="str">
        <f t="shared" si="6"/>
        <v>商业繁华度</v>
      </c>
      <c r="R15" s="1560" t="s">
        <v>8</v>
      </c>
      <c r="S15" s="1561">
        <f t="shared" si="0"/>
        <v>100</v>
      </c>
      <c r="T15" s="1560" t="s">
        <v>8</v>
      </c>
      <c r="U15" s="1561">
        <f t="shared" si="1"/>
        <v>100</v>
      </c>
      <c r="V15" s="1560" t="s">
        <v>8</v>
      </c>
      <c r="W15" s="1561">
        <f t="shared" si="2"/>
        <v>100</v>
      </c>
      <c r="X15" s="1554"/>
      <c r="Y15" s="3450" t="s">
        <v>540</v>
      </c>
      <c r="Z15" s="1562" t="str">
        <f t="shared" si="7"/>
        <v>商业繁华度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51"/>
      <c r="Q16" s="1559"/>
      <c r="R16" s="1560"/>
      <c r="S16" s="1561"/>
      <c r="T16" s="1560"/>
      <c r="U16" s="1561"/>
      <c r="V16" s="1560"/>
      <c r="W16" s="1561"/>
      <c r="X16" s="1554"/>
      <c r="Y16" s="3451"/>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8"/>
      <c r="M17" s="2120"/>
      <c r="N17" s="2120"/>
      <c r="O17" s="2127"/>
      <c r="P17" s="3451"/>
      <c r="Q17" s="1559" t="str">
        <f>B17</f>
        <v>交通便捷度</v>
      </c>
      <c r="R17" s="1560" t="s">
        <v>8</v>
      </c>
      <c r="S17" s="1561">
        <f>F17</f>
        <v>100</v>
      </c>
      <c r="T17" s="1560" t="s">
        <v>8</v>
      </c>
      <c r="U17" s="1561">
        <f>H17</f>
        <v>100</v>
      </c>
      <c r="V17" s="1560" t="s">
        <v>8</v>
      </c>
      <c r="W17" s="1561">
        <f>J17</f>
        <v>100</v>
      </c>
      <c r="X17" s="1554"/>
      <c r="Y17" s="3451"/>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51"/>
      <c r="Q18" s="1559"/>
      <c r="R18" s="1560"/>
      <c r="S18" s="1561"/>
      <c r="T18" s="1560"/>
      <c r="U18" s="1561"/>
      <c r="V18" s="1560"/>
      <c r="W18" s="1561"/>
      <c r="X18" s="1554"/>
      <c r="Y18" s="3451"/>
      <c r="Z18" s="1562"/>
      <c r="AA18" s="1563">
        <v>1</v>
      </c>
      <c r="AB18" s="1563">
        <v>1</v>
      </c>
      <c r="AC18" s="1563">
        <v>1</v>
      </c>
    </row>
    <row r="19" spans="1:29" ht="42.75">
      <c r="A19" s="532"/>
      <c r="B19" s="2565" t="s">
        <v>2543</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8"/>
      <c r="M19" s="2120"/>
      <c r="N19" s="2120"/>
      <c r="O19" s="2127"/>
      <c r="P19" s="3451"/>
      <c r="Q19" s="1559" t="str">
        <f>B19</f>
        <v>公共配套设施</v>
      </c>
      <c r="R19" s="1560" t="s">
        <v>8</v>
      </c>
      <c r="S19" s="1561">
        <f>F19</f>
        <v>100</v>
      </c>
      <c r="T19" s="1560" t="s">
        <v>8</v>
      </c>
      <c r="U19" s="1561">
        <f>H19</f>
        <v>100</v>
      </c>
      <c r="V19" s="1560" t="s">
        <v>8</v>
      </c>
      <c r="W19" s="1561">
        <f>J19</f>
        <v>100</v>
      </c>
      <c r="X19" s="1554"/>
      <c r="Y19" s="3451"/>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99"/>
      <c r="L20" s="2128"/>
      <c r="M20" s="2120"/>
      <c r="N20" s="2120"/>
      <c r="O20" s="2127"/>
      <c r="P20" s="3451"/>
      <c r="Q20" s="1559"/>
      <c r="R20" s="1560"/>
      <c r="S20" s="1561"/>
      <c r="T20" s="1560"/>
      <c r="U20" s="1561"/>
      <c r="V20" s="1560"/>
      <c r="W20" s="1561"/>
      <c r="X20" s="1554"/>
      <c r="Y20" s="3451"/>
      <c r="Z20" s="1562"/>
      <c r="AA20" s="1563">
        <v>1</v>
      </c>
      <c r="AB20" s="1563">
        <v>1</v>
      </c>
      <c r="AC20" s="1563">
        <v>1</v>
      </c>
    </row>
    <row r="21" spans="1:29" ht="28.5">
      <c r="A21" s="532"/>
      <c r="B21" s="2558" t="s">
        <v>2555</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8"/>
      <c r="M21" s="2120"/>
      <c r="N21" s="2120"/>
      <c r="O21" s="2127"/>
      <c r="P21" s="3451"/>
      <c r="Q21" s="2544" t="str">
        <f>B21</f>
        <v>基础设施水平</v>
      </c>
      <c r="R21" s="1560" t="s">
        <v>8</v>
      </c>
      <c r="S21" s="1561">
        <f>F21</f>
        <v>100</v>
      </c>
      <c r="T21" s="1560" t="s">
        <v>8</v>
      </c>
      <c r="U21" s="1561">
        <f>H21</f>
        <v>100</v>
      </c>
      <c r="V21" s="1560" t="s">
        <v>8</v>
      </c>
      <c r="W21" s="1561">
        <f>J21</f>
        <v>100</v>
      </c>
      <c r="X21" s="2546"/>
      <c r="Y21" s="3451"/>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7"/>
      <c r="L22" s="2128"/>
      <c r="M22" s="2120"/>
      <c r="N22" s="2120"/>
      <c r="O22" s="2127"/>
      <c r="P22" s="3451"/>
      <c r="Q22" s="2544"/>
      <c r="R22" s="1560"/>
      <c r="S22" s="1561"/>
      <c r="T22" s="1560"/>
      <c r="U22" s="1561"/>
      <c r="V22" s="1560"/>
      <c r="W22" s="1561"/>
      <c r="X22" s="2546"/>
      <c r="Y22" s="3451"/>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8"/>
      <c r="M23" s="2120"/>
      <c r="N23" s="2120"/>
      <c r="O23" s="2127"/>
      <c r="P23" s="3451"/>
      <c r="Q23" s="1559" t="str">
        <f>B23</f>
        <v>自然及人文环境</v>
      </c>
      <c r="R23" s="1560" t="s">
        <v>8</v>
      </c>
      <c r="S23" s="1561">
        <f>F23</f>
        <v>100</v>
      </c>
      <c r="T23" s="1560" t="s">
        <v>8</v>
      </c>
      <c r="U23" s="1561">
        <f>H23</f>
        <v>100</v>
      </c>
      <c r="V23" s="1560" t="s">
        <v>8</v>
      </c>
      <c r="W23" s="1561">
        <f>J23</f>
        <v>100</v>
      </c>
      <c r="X23" s="1554"/>
      <c r="Y23" s="3451"/>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99"/>
      <c r="L24" s="2128"/>
      <c r="M24" s="2120"/>
      <c r="N24" s="2120"/>
      <c r="O24" s="2127"/>
      <c r="P24" s="3451"/>
      <c r="Q24" s="1559"/>
      <c r="R24" s="1560"/>
      <c r="S24" s="1561"/>
      <c r="T24" s="1560"/>
      <c r="U24" s="1561"/>
      <c r="V24" s="1560"/>
      <c r="W24" s="1561"/>
      <c r="X24" s="1554"/>
      <c r="Y24" s="3451"/>
      <c r="Z24" s="1562"/>
      <c r="AA24" s="1563">
        <v>1</v>
      </c>
      <c r="AB24" s="1563">
        <v>1</v>
      </c>
      <c r="AC24" s="1563">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8"/>
      <c r="M25" s="2120"/>
      <c r="N25" s="2120"/>
      <c r="O25" s="2127"/>
      <c r="P25" s="3451"/>
      <c r="Q25" s="1559" t="str">
        <f t="shared" ref="Q25:Q46" si="11">B25</f>
        <v>临街状况</v>
      </c>
      <c r="R25" s="1560" t="s">
        <v>8</v>
      </c>
      <c r="S25" s="1561">
        <f>F25</f>
        <v>100</v>
      </c>
      <c r="T25" s="1560" t="s">
        <v>8</v>
      </c>
      <c r="U25" s="1561">
        <f>H25</f>
        <v>100</v>
      </c>
      <c r="V25" s="1560" t="s">
        <v>8</v>
      </c>
      <c r="W25" s="1561">
        <f>J25</f>
        <v>100</v>
      </c>
      <c r="X25" s="1554"/>
      <c r="Y25" s="3451"/>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451"/>
      <c r="Q26" s="1559" t="str">
        <f t="shared" si="11"/>
        <v>平面位置/可视性</v>
      </c>
      <c r="R26" s="1560" t="s">
        <v>8</v>
      </c>
      <c r="S26" s="1561">
        <f>F26</f>
        <v>100</v>
      </c>
      <c r="T26" s="1560" t="s">
        <v>8</v>
      </c>
      <c r="U26" s="1561">
        <f>H26</f>
        <v>100</v>
      </c>
      <c r="V26" s="1560" t="s">
        <v>8</v>
      </c>
      <c r="W26" s="1561">
        <f>J26</f>
        <v>100</v>
      </c>
      <c r="X26" s="1554"/>
      <c r="Y26" s="3451"/>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451"/>
      <c r="Q27" s="1147" t="str">
        <f t="shared" si="11"/>
        <v>人流量</v>
      </c>
      <c r="R27" s="1555" t="s">
        <v>8</v>
      </c>
      <c r="S27" s="1556">
        <f>F27</f>
        <v>100</v>
      </c>
      <c r="T27" s="1555" t="s">
        <v>8</v>
      </c>
      <c r="U27" s="1556">
        <f>H27</f>
        <v>100</v>
      </c>
      <c r="V27" s="1555" t="s">
        <v>8</v>
      </c>
      <c r="W27" s="1556">
        <f>J27</f>
        <v>100</v>
      </c>
      <c r="X27" s="1557"/>
      <c r="Y27" s="3451"/>
      <c r="Z27" s="1146" t="str">
        <f>Q27</f>
        <v>人流量</v>
      </c>
      <c r="AA27" s="1563">
        <f>D27/F27</f>
        <v>1</v>
      </c>
      <c r="AB27" s="1563">
        <f>D27/H27</f>
        <v>1</v>
      </c>
      <c r="AC27" s="1563">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8"/>
      <c r="M28" s="2120"/>
      <c r="N28" s="2120"/>
      <c r="O28" s="2127"/>
      <c r="P28" s="3451"/>
      <c r="Q28" s="1559" t="str">
        <f t="shared" si="11"/>
        <v>楼层</v>
      </c>
      <c r="R28" s="1560" t="s">
        <v>8</v>
      </c>
      <c r="S28" s="1561">
        <f t="shared" ref="S28:S46" si="12">F28</f>
        <v>100</v>
      </c>
      <c r="T28" s="1560" t="s">
        <v>8</v>
      </c>
      <c r="U28" s="1561">
        <f t="shared" ref="U28:U46" si="13">H28</f>
        <v>100</v>
      </c>
      <c r="V28" s="1560" t="s">
        <v>8</v>
      </c>
      <c r="W28" s="1561">
        <f t="shared" ref="W28:W46" si="14">J28</f>
        <v>100</v>
      </c>
      <c r="X28" s="1554"/>
      <c r="Y28" s="3451"/>
      <c r="Z28" s="1562" t="str">
        <f t="shared" ref="Z28:Z46" si="15">Q28</f>
        <v>楼层</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451"/>
      <c r="Q29" s="1559">
        <f t="shared" si="11"/>
        <v>111</v>
      </c>
      <c r="R29" s="1560" t="s">
        <v>8</v>
      </c>
      <c r="S29" s="1561">
        <f t="shared" si="12"/>
        <v>100</v>
      </c>
      <c r="T29" s="1560" t="s">
        <v>8</v>
      </c>
      <c r="U29" s="1561">
        <f t="shared" si="13"/>
        <v>100</v>
      </c>
      <c r="V29" s="1560" t="s">
        <v>8</v>
      </c>
      <c r="W29" s="1561">
        <f t="shared" si="14"/>
        <v>100</v>
      </c>
      <c r="X29" s="1554"/>
      <c r="Y29" s="3451"/>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451"/>
      <c r="Q30" s="1559">
        <f t="shared" si="11"/>
        <v>111</v>
      </c>
      <c r="R30" s="1560" t="s">
        <v>8</v>
      </c>
      <c r="S30" s="1561">
        <f t="shared" si="12"/>
        <v>100</v>
      </c>
      <c r="T30" s="1560" t="s">
        <v>8</v>
      </c>
      <c r="U30" s="1561">
        <f t="shared" si="13"/>
        <v>100</v>
      </c>
      <c r="V30" s="1560" t="s">
        <v>8</v>
      </c>
      <c r="W30" s="1561">
        <f t="shared" si="14"/>
        <v>100</v>
      </c>
      <c r="X30" s="1554"/>
      <c r="Y30" s="3451"/>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451"/>
      <c r="Q31" s="1559">
        <f t="shared" si="11"/>
        <v>111</v>
      </c>
      <c r="R31" s="1560" t="s">
        <v>8</v>
      </c>
      <c r="S31" s="1561">
        <f t="shared" si="12"/>
        <v>100</v>
      </c>
      <c r="T31" s="1560" t="s">
        <v>8</v>
      </c>
      <c r="U31" s="1561">
        <f t="shared" si="13"/>
        <v>100</v>
      </c>
      <c r="V31" s="1560" t="s">
        <v>8</v>
      </c>
      <c r="W31" s="1561">
        <f t="shared" si="14"/>
        <v>100</v>
      </c>
      <c r="X31" s="1554"/>
      <c r="Y31" s="3451"/>
      <c r="Z31" s="1562">
        <f t="shared" si="15"/>
        <v>111</v>
      </c>
      <c r="AA31" s="1563">
        <f t="shared" si="3"/>
        <v>1</v>
      </c>
      <c r="AB31" s="1563">
        <f t="shared" si="4"/>
        <v>1</v>
      </c>
      <c r="AC31" s="1563">
        <f t="shared" si="5"/>
        <v>1</v>
      </c>
    </row>
    <row r="32" spans="1:29" ht="15">
      <c r="A32" s="2747" t="s">
        <v>2751</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8"/>
      <c r="M32" s="2120"/>
      <c r="N32" s="2120"/>
      <c r="O32" s="2127"/>
      <c r="P32" s="3452" t="s">
        <v>550</v>
      </c>
      <c r="Q32" s="1559" t="str">
        <f t="shared" si="11"/>
        <v>商业类型</v>
      </c>
      <c r="R32" s="1560" t="s">
        <v>8</v>
      </c>
      <c r="S32" s="1561">
        <f t="shared" si="12"/>
        <v>100</v>
      </c>
      <c r="T32" s="1560" t="s">
        <v>8</v>
      </c>
      <c r="U32" s="1561">
        <f t="shared" si="13"/>
        <v>100</v>
      </c>
      <c r="V32" s="1560" t="s">
        <v>8</v>
      </c>
      <c r="W32" s="1561">
        <f t="shared" si="14"/>
        <v>100</v>
      </c>
      <c r="X32" s="1554"/>
      <c r="Y32" s="3453" t="s">
        <v>550</v>
      </c>
      <c r="Z32" s="1562" t="str">
        <f t="shared" si="15"/>
        <v>商业类型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6"/>
      <c r="M33" s="2157"/>
      <c r="N33" s="2157"/>
      <c r="O33" s="2129"/>
      <c r="P33" s="3453"/>
      <c r="Q33" s="1591" t="str">
        <f t="shared" si="11"/>
        <v>项目建筑规模</v>
      </c>
      <c r="R33" s="1564" t="s">
        <v>8</v>
      </c>
      <c r="S33" s="1565" t="e">
        <f t="shared" si="12"/>
        <v>#N/A</v>
      </c>
      <c r="T33" s="1564" t="s">
        <v>8</v>
      </c>
      <c r="U33" s="1565" t="e">
        <f t="shared" si="13"/>
        <v>#N/A</v>
      </c>
      <c r="V33" s="1564" t="s">
        <v>8</v>
      </c>
      <c r="W33" s="1565" t="e">
        <f t="shared" si="14"/>
        <v>#N/A</v>
      </c>
      <c r="X33" s="1566"/>
      <c r="Y33" s="3453"/>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453"/>
      <c r="Q34" s="1559" t="str">
        <f t="shared" si="11"/>
        <v>建筑结构</v>
      </c>
      <c r="R34" s="1560" t="s">
        <v>8</v>
      </c>
      <c r="S34" s="1561">
        <f t="shared" si="12"/>
        <v>100</v>
      </c>
      <c r="T34" s="1560" t="s">
        <v>8</v>
      </c>
      <c r="U34" s="1561">
        <f t="shared" si="13"/>
        <v>100</v>
      </c>
      <c r="V34" s="1560" t="s">
        <v>8</v>
      </c>
      <c r="W34" s="1561">
        <f t="shared" si="14"/>
        <v>100</v>
      </c>
      <c r="X34" s="1554"/>
      <c r="Y34" s="3453"/>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453"/>
      <c r="Q35" s="1559" t="str">
        <f t="shared" si="11"/>
        <v>公共部分装修</v>
      </c>
      <c r="R35" s="1560" t="s">
        <v>8</v>
      </c>
      <c r="S35" s="1561">
        <f t="shared" si="12"/>
        <v>100</v>
      </c>
      <c r="T35" s="1560" t="s">
        <v>8</v>
      </c>
      <c r="U35" s="1561">
        <f t="shared" si="13"/>
        <v>100</v>
      </c>
      <c r="V35" s="1560" t="s">
        <v>8</v>
      </c>
      <c r="W35" s="1561">
        <f t="shared" si="14"/>
        <v>100</v>
      </c>
      <c r="X35" s="1554"/>
      <c r="Y35" s="3453"/>
      <c r="Z35" s="1562" t="str">
        <f t="shared" si="15"/>
        <v>公共部分装修</v>
      </c>
      <c r="AA35" s="1563">
        <f t="shared" si="3"/>
        <v>1</v>
      </c>
      <c r="AB35" s="1563">
        <f t="shared" si="4"/>
        <v>1</v>
      </c>
      <c r="AC35" s="1563">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8"/>
      <c r="M36" s="2120"/>
      <c r="N36" s="2120"/>
      <c r="O36" s="2127"/>
      <c r="P36" s="3453"/>
      <c r="Q36" s="1559" t="str">
        <f t="shared" si="11"/>
        <v>成新度</v>
      </c>
      <c r="R36" s="1560" t="s">
        <v>8</v>
      </c>
      <c r="S36" s="1561" t="e">
        <f t="shared" si="12"/>
        <v>#N/A</v>
      </c>
      <c r="T36" s="1560" t="s">
        <v>8</v>
      </c>
      <c r="U36" s="1561" t="e">
        <f t="shared" si="13"/>
        <v>#N/A</v>
      </c>
      <c r="V36" s="1560" t="s">
        <v>8</v>
      </c>
      <c r="W36" s="1561" t="e">
        <f t="shared" si="14"/>
        <v>#N/A</v>
      </c>
      <c r="X36" s="1554"/>
      <c r="Y36" s="3453"/>
      <c r="Z36" s="1562" t="str">
        <f t="shared" si="15"/>
        <v>成新度</v>
      </c>
      <c r="AA36" s="1563" t="e">
        <f t="shared" si="3"/>
        <v>#N/A</v>
      </c>
      <c r="AB36" s="1563" t="e">
        <f t="shared" si="4"/>
        <v>#N/A</v>
      </c>
      <c r="AC36" s="1563" t="e">
        <f t="shared" si="5"/>
        <v>#N/A</v>
      </c>
    </row>
    <row r="37" spans="1:29" s="1216" customFormat="1" ht="15">
      <c r="A37" s="600"/>
      <c r="B37" s="1881" t="s">
        <v>2562</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453"/>
      <c r="Q37" s="1147" t="str">
        <f t="shared" si="11"/>
        <v>市政基础设施</v>
      </c>
      <c r="R37" s="1555" t="s">
        <v>8</v>
      </c>
      <c r="S37" s="1556">
        <f t="shared" si="12"/>
        <v>100</v>
      </c>
      <c r="T37" s="1555" t="s">
        <v>8</v>
      </c>
      <c r="U37" s="1556">
        <f t="shared" si="13"/>
        <v>100</v>
      </c>
      <c r="V37" s="1555" t="s">
        <v>8</v>
      </c>
      <c r="W37" s="1556">
        <f t="shared" si="14"/>
        <v>100</v>
      </c>
      <c r="X37" s="1557"/>
      <c r="Y37" s="3453"/>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453" t="s">
        <v>766</v>
      </c>
      <c r="Q38" s="1559" t="str">
        <f t="shared" si="11"/>
        <v>业态</v>
      </c>
      <c r="R38" s="1560" t="s">
        <v>8</v>
      </c>
      <c r="S38" s="1561">
        <f t="shared" si="12"/>
        <v>100</v>
      </c>
      <c r="T38" s="1560" t="s">
        <v>8</v>
      </c>
      <c r="U38" s="1561">
        <f t="shared" si="13"/>
        <v>100</v>
      </c>
      <c r="V38" s="1560" t="s">
        <v>8</v>
      </c>
      <c r="W38" s="1561">
        <f t="shared" si="14"/>
        <v>100</v>
      </c>
      <c r="X38" s="1554"/>
      <c r="Y38" s="3453"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53"/>
      <c r="Q39" s="1559" t="str">
        <f t="shared" si="11"/>
        <v>层高</v>
      </c>
      <c r="R39" s="1560" t="s">
        <v>8</v>
      </c>
      <c r="S39" s="1561">
        <f t="shared" si="12"/>
        <v>100</v>
      </c>
      <c r="T39" s="1560" t="s">
        <v>8</v>
      </c>
      <c r="U39" s="1561">
        <f t="shared" si="13"/>
        <v>100</v>
      </c>
      <c r="V39" s="1560" t="s">
        <v>8</v>
      </c>
      <c r="W39" s="1561">
        <f t="shared" si="14"/>
        <v>100</v>
      </c>
      <c r="X39" s="1554"/>
      <c r="Y39" s="3453"/>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453"/>
      <c r="Q40" s="1559" t="str">
        <f t="shared" si="11"/>
        <v>单套建筑面积</v>
      </c>
      <c r="R40" s="1560" t="s">
        <v>8</v>
      </c>
      <c r="S40" s="1561">
        <f t="shared" si="12"/>
        <v>100</v>
      </c>
      <c r="T40" s="1560" t="s">
        <v>8</v>
      </c>
      <c r="U40" s="1561">
        <f t="shared" si="13"/>
        <v>100</v>
      </c>
      <c r="V40" s="1560" t="s">
        <v>8</v>
      </c>
      <c r="W40" s="1561">
        <f t="shared" si="14"/>
        <v>100</v>
      </c>
      <c r="X40" s="1554"/>
      <c r="Y40" s="3453"/>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453"/>
      <c r="Q41" s="1591" t="str">
        <f t="shared" si="11"/>
        <v>进深比</v>
      </c>
      <c r="R41" s="1564" t="s">
        <v>8</v>
      </c>
      <c r="S41" s="1565">
        <f t="shared" si="12"/>
        <v>100</v>
      </c>
      <c r="T41" s="1564" t="s">
        <v>8</v>
      </c>
      <c r="U41" s="1565">
        <f t="shared" si="13"/>
        <v>100</v>
      </c>
      <c r="V41" s="1564" t="s">
        <v>8</v>
      </c>
      <c r="W41" s="1565">
        <f t="shared" si="14"/>
        <v>100</v>
      </c>
      <c r="X41" s="1566"/>
      <c r="Y41" s="3453"/>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453"/>
      <c r="Q42" s="1559" t="str">
        <f t="shared" si="11"/>
        <v>内部装修</v>
      </c>
      <c r="R42" s="1560" t="s">
        <v>8</v>
      </c>
      <c r="S42" s="1561">
        <f t="shared" si="12"/>
        <v>100</v>
      </c>
      <c r="T42" s="1560" t="s">
        <v>8</v>
      </c>
      <c r="U42" s="1561">
        <f t="shared" si="13"/>
        <v>100</v>
      </c>
      <c r="V42" s="1560" t="s">
        <v>8</v>
      </c>
      <c r="W42" s="1561">
        <f t="shared" si="14"/>
        <v>100</v>
      </c>
      <c r="X42" s="1554"/>
      <c r="Y42" s="3453"/>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453"/>
      <c r="Q43" s="1559" t="str">
        <f t="shared" si="11"/>
        <v>内部装修维护情况</v>
      </c>
      <c r="R43" s="1560" t="s">
        <v>8</v>
      </c>
      <c r="S43" s="1561">
        <f t="shared" si="12"/>
        <v>100</v>
      </c>
      <c r="T43" s="1560" t="s">
        <v>8</v>
      </c>
      <c r="U43" s="1561">
        <f t="shared" si="13"/>
        <v>100</v>
      </c>
      <c r="V43" s="1560" t="s">
        <v>8</v>
      </c>
      <c r="W43" s="1561">
        <f t="shared" si="14"/>
        <v>100</v>
      </c>
      <c r="X43" s="1554"/>
      <c r="Y43" s="3453"/>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453"/>
      <c r="Q44" s="1147">
        <f t="shared" si="11"/>
        <v>111</v>
      </c>
      <c r="R44" s="1555" t="s">
        <v>8</v>
      </c>
      <c r="S44" s="1556">
        <f t="shared" si="12"/>
        <v>100</v>
      </c>
      <c r="T44" s="1555" t="s">
        <v>8</v>
      </c>
      <c r="U44" s="1556">
        <f t="shared" si="13"/>
        <v>100</v>
      </c>
      <c r="V44" s="1555" t="s">
        <v>8</v>
      </c>
      <c r="W44" s="1556">
        <f t="shared" si="14"/>
        <v>100</v>
      </c>
      <c r="X44" s="1557"/>
      <c r="Y44" s="3453"/>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453"/>
      <c r="Q45" s="1559">
        <f t="shared" si="11"/>
        <v>111</v>
      </c>
      <c r="R45" s="1560" t="s">
        <v>8</v>
      </c>
      <c r="S45" s="1561">
        <f t="shared" si="12"/>
        <v>100</v>
      </c>
      <c r="T45" s="1560" t="s">
        <v>8</v>
      </c>
      <c r="U45" s="1561">
        <f t="shared" si="13"/>
        <v>100</v>
      </c>
      <c r="V45" s="1560" t="s">
        <v>8</v>
      </c>
      <c r="W45" s="1561">
        <f t="shared" si="14"/>
        <v>100</v>
      </c>
      <c r="X45" s="1554"/>
      <c r="Y45" s="3453"/>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99"/>
      <c r="Q46" s="1559">
        <f t="shared" si="11"/>
        <v>111</v>
      </c>
      <c r="R46" s="1560" t="s">
        <v>8</v>
      </c>
      <c r="S46" s="1561">
        <f t="shared" si="12"/>
        <v>100</v>
      </c>
      <c r="T46" s="1560" t="s">
        <v>8</v>
      </c>
      <c r="U46" s="1561">
        <f t="shared" si="13"/>
        <v>100</v>
      </c>
      <c r="V46" s="1560" t="s">
        <v>8</v>
      </c>
      <c r="W46" s="1561">
        <f t="shared" si="14"/>
        <v>100</v>
      </c>
      <c r="X46" s="1554"/>
      <c r="Y46" s="3499"/>
      <c r="Z46" s="1562">
        <f t="shared" si="15"/>
        <v>111</v>
      </c>
      <c r="AA46" s="1563">
        <f t="shared" si="3"/>
        <v>1</v>
      </c>
      <c r="AB46" s="1563">
        <f t="shared" si="4"/>
        <v>1</v>
      </c>
      <c r="AC46" s="1563">
        <f t="shared" si="5"/>
        <v>1</v>
      </c>
    </row>
    <row r="47" spans="1:29" ht="15">
      <c r="A47" s="607" t="s">
        <v>736</v>
      </c>
      <c r="B47" s="887"/>
      <c r="C47" s="2592" t="s">
        <v>1</v>
      </c>
      <c r="D47" s="2593"/>
      <c r="E47" s="2594"/>
      <c r="F47" s="2595"/>
      <c r="G47" s="2596"/>
      <c r="H47" s="2597"/>
      <c r="I47" s="2594"/>
      <c r="J47" s="2597"/>
      <c r="K47" s="1597"/>
      <c r="L47" s="2130"/>
      <c r="M47" s="2131"/>
      <c r="N47" s="2120"/>
      <c r="O47" s="2131"/>
      <c r="P47" s="3416" t="str">
        <f>A47</f>
        <v>成交单价（元/平方米）</v>
      </c>
      <c r="Q47" s="3416"/>
      <c r="R47" s="3498">
        <f>E47</f>
        <v>0</v>
      </c>
      <c r="S47" s="3498"/>
      <c r="T47" s="3498">
        <f>G47</f>
        <v>0</v>
      </c>
      <c r="U47" s="3498"/>
      <c r="V47" s="3498">
        <f>I47</f>
        <v>0</v>
      </c>
      <c r="W47" s="3498"/>
      <c r="X47" s="1546"/>
      <c r="Y47" s="1568"/>
      <c r="Z47" s="1546"/>
      <c r="AA47" s="1546"/>
      <c r="AB47" s="1546"/>
      <c r="AC47" s="1546"/>
    </row>
    <row r="48" spans="1:29" ht="15.75" thickBot="1">
      <c r="A48" s="615" t="s">
        <v>2756</v>
      </c>
      <c r="B48" s="888"/>
      <c r="C48" s="2598" t="e">
        <f>R49</f>
        <v>#DIV/0!</v>
      </c>
      <c r="D48" s="2599"/>
      <c r="E48" s="2600" t="e">
        <f>R48</f>
        <v>#DIV/0!</v>
      </c>
      <c r="F48" s="2600"/>
      <c r="G48" s="2598" t="e">
        <f>T48</f>
        <v>#DIV/0!</v>
      </c>
      <c r="H48" s="2599"/>
      <c r="I48" s="2600" t="e">
        <f>V48</f>
        <v>#DIV/0!</v>
      </c>
      <c r="J48" s="2599"/>
      <c r="K48" s="1598"/>
      <c r="L48" s="2130"/>
      <c r="M48" s="2131"/>
      <c r="N48" s="2120"/>
      <c r="O48" s="2131"/>
      <c r="P48" s="3416" t="str">
        <f>A48</f>
        <v>比较价格（元/平方米）</v>
      </c>
      <c r="Q48" s="3416"/>
      <c r="R48" s="3498" t="e">
        <f>IF(F1="售价",ROUND(PRODUCT(R47,AA7:AA46),0),ROUND(PRODUCT(R47,AA7:AA46),1))</f>
        <v>#DIV/0!</v>
      </c>
      <c r="S48" s="3498"/>
      <c r="T48" s="3498" t="e">
        <f>IF(F1="售价",ROUND(PRODUCT(T47,AB7:AB46),0),ROUND(PRODUCT(T47,AB7:AB46),1))</f>
        <v>#DIV/0!</v>
      </c>
      <c r="U48" s="3498"/>
      <c r="V48" s="3498" t="e">
        <f>IF(F1="售价",ROUND(PRODUCT(V47,AC7:AC46),0),ROUND(PRODUCT(V47,AC7:AC46),1))</f>
        <v>#DIV/0!</v>
      </c>
      <c r="W48" s="3498"/>
      <c r="X48" s="1546"/>
      <c r="Y48" s="1546"/>
      <c r="Z48" s="1546"/>
      <c r="AA48" s="1546"/>
      <c r="AB48" s="1546"/>
      <c r="AC48" s="1546"/>
    </row>
    <row r="49" spans="1:29" ht="15.75" thickBot="1">
      <c r="A49" s="621" t="s">
        <v>2932</v>
      </c>
      <c r="B49" s="622"/>
      <c r="C49" s="2601" t="e">
        <f>R49</f>
        <v>#DIV/0!</v>
      </c>
      <c r="D49" s="2601"/>
      <c r="E49" s="2601"/>
      <c r="F49" s="2601"/>
      <c r="G49" s="2601"/>
      <c r="H49" s="2601"/>
      <c r="I49" s="2601"/>
      <c r="J49" s="2601"/>
      <c r="K49" s="1599"/>
      <c r="L49" s="2130"/>
      <c r="M49" s="2131"/>
      <c r="N49" s="2120"/>
      <c r="O49" s="2131"/>
      <c r="P49" s="3413" t="str">
        <f>A49</f>
        <v>估价对象XX用房的比较价格（楼面单价，元/平方米）</v>
      </c>
      <c r="Q49" s="3414"/>
      <c r="R49" s="3497" t="e">
        <f>IF(F1="售价",ROUND(AVERAGE(R48:V48),0),ROUND(AVERAGE(R48:V48),1))</f>
        <v>#DIV/0!</v>
      </c>
      <c r="S49" s="3497"/>
      <c r="T49" s="3497"/>
      <c r="U49" s="3497"/>
      <c r="V49" s="3497"/>
      <c r="W49" s="3497"/>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642" t="str">
        <f>YEAR(C7)&amp;"-"&amp;MONTH(C7)</f>
        <v>2020-6</v>
      </c>
      <c r="D58" s="2644">
        <f>EDATE(C58,-1)</f>
        <v>43952</v>
      </c>
      <c r="E58" s="2644">
        <f t="shared" ref="E58:O58" si="16">EDATE(D58,-1)</f>
        <v>43922</v>
      </c>
      <c r="F58" s="2644">
        <f t="shared" si="16"/>
        <v>43891</v>
      </c>
      <c r="G58" s="2644">
        <f t="shared" si="16"/>
        <v>43862</v>
      </c>
      <c r="H58" s="2644">
        <f t="shared" si="16"/>
        <v>43831</v>
      </c>
      <c r="I58" s="2644">
        <f t="shared" si="16"/>
        <v>43800</v>
      </c>
      <c r="J58" s="2644">
        <f t="shared" si="16"/>
        <v>43770</v>
      </c>
      <c r="K58" s="2644">
        <f t="shared" si="16"/>
        <v>43739</v>
      </c>
      <c r="L58" s="2644">
        <f t="shared" si="16"/>
        <v>43709</v>
      </c>
      <c r="M58" s="2644">
        <f t="shared" si="16"/>
        <v>43678</v>
      </c>
      <c r="N58" s="2644">
        <f t="shared" si="16"/>
        <v>43647</v>
      </c>
      <c r="O58" s="2644">
        <f t="shared" si="16"/>
        <v>43617</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2554</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2555</v>
      </c>
      <c r="C82" s="2563" t="s">
        <v>2556</v>
      </c>
      <c r="D82" s="2563" t="s">
        <v>2557</v>
      </c>
      <c r="E82" s="2563" t="s">
        <v>2558</v>
      </c>
      <c r="F82" s="2563" t="s">
        <v>2559</v>
      </c>
      <c r="G82" s="2563" t="s">
        <v>2560</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c r="D92" s="688"/>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688"/>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2553</v>
      </c>
      <c r="C112" s="688"/>
      <c r="D112" s="688"/>
      <c r="E112" s="688"/>
      <c r="F112" s="688"/>
      <c r="G112" s="688"/>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95" priority="17" stopIfTrue="1" operator="containsText" text="超过">
      <formula>NOT(ISERROR(SEARCH("超过",F52)))</formula>
    </cfRule>
  </conditionalFormatting>
  <conditionalFormatting sqref="H54">
    <cfRule type="containsText" dxfId="94" priority="15" stopIfTrue="1" operator="containsText" text="超过">
      <formula>NOT(ISERROR(SEARCH("超过",H54)))</formula>
    </cfRule>
  </conditionalFormatting>
  <conditionalFormatting sqref="F54">
    <cfRule type="containsText" dxfId="93" priority="14" stopIfTrue="1" operator="containsText" text="超过">
      <formula>NOT(ISERROR(SEARCH("超过",F54)))</formula>
    </cfRule>
  </conditionalFormatting>
  <conditionalFormatting sqref="F53 H53">
    <cfRule type="containsText" dxfId="92" priority="13" stopIfTrue="1" operator="containsText" text="超过">
      <formula>NOT(ISERROR(SEARCH("超过",F53)))</formula>
    </cfRule>
  </conditionalFormatting>
  <conditionalFormatting sqref="E52">
    <cfRule type="expression" dxfId="91" priority="12" stopIfTrue="1">
      <formula>$F$52="超过30%"</formula>
    </cfRule>
  </conditionalFormatting>
  <conditionalFormatting sqref="E53">
    <cfRule type="expression" dxfId="90" priority="11" stopIfTrue="1">
      <formula>$F$53="超过20%"</formula>
    </cfRule>
  </conditionalFormatting>
  <conditionalFormatting sqref="E54">
    <cfRule type="expression" dxfId="89" priority="10" stopIfTrue="1">
      <formula>$F$54="超过30%"</formula>
    </cfRule>
  </conditionalFormatting>
  <conditionalFormatting sqref="G54">
    <cfRule type="expression" dxfId="88" priority="9" stopIfTrue="1">
      <formula>$H$54="超过30%"</formula>
    </cfRule>
  </conditionalFormatting>
  <conditionalFormatting sqref="G52">
    <cfRule type="expression" dxfId="87" priority="8" stopIfTrue="1">
      <formula>$H$52="超过30%"</formula>
    </cfRule>
  </conditionalFormatting>
  <conditionalFormatting sqref="G53">
    <cfRule type="expression" dxfId="86" priority="7" stopIfTrue="1">
      <formula>$H$53="超过20%"</formula>
    </cfRule>
  </conditionalFormatting>
  <conditionalFormatting sqref="J52">
    <cfRule type="containsText" dxfId="85" priority="6" stopIfTrue="1" operator="containsText" text="超过">
      <formula>NOT(ISERROR(SEARCH("超过",J52)))</formula>
    </cfRule>
  </conditionalFormatting>
  <conditionalFormatting sqref="J54">
    <cfRule type="containsText" dxfId="84" priority="5" stopIfTrue="1" operator="containsText" text="超过">
      <formula>NOT(ISERROR(SEARCH("超过",J54)))</formula>
    </cfRule>
  </conditionalFormatting>
  <conditionalFormatting sqref="J53">
    <cfRule type="containsText" dxfId="83" priority="4" stopIfTrue="1" operator="containsText" text="超过">
      <formula>NOT(ISERROR(SEARCH("超过",J53)))</formula>
    </cfRule>
  </conditionalFormatting>
  <conditionalFormatting sqref="I52">
    <cfRule type="expression" dxfId="82" priority="3" stopIfTrue="1">
      <formula>$J$52="超过30%"</formula>
    </cfRule>
  </conditionalFormatting>
  <conditionalFormatting sqref="I53">
    <cfRule type="expression" dxfId="81" priority="2" stopIfTrue="1">
      <formula>$J$53="超过20%"</formula>
    </cfRule>
  </conditionalFormatting>
  <conditionalFormatting sqref="I54">
    <cfRule type="expression" dxfId="8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topLeftCell="A24" zoomScale="80" zoomScaleNormal="80" workbookViewId="0">
      <selection activeCell="E45" sqref="E45"/>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t="s">
        <v>1677</v>
      </c>
      <c r="E1" s="506"/>
      <c r="F1" s="2647" t="s">
        <v>3011</v>
      </c>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f>ROUND(B3*D3/10000,0)</f>
        <v>41295</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f>C50</f>
        <v>24149</v>
      </c>
      <c r="C3" s="852" t="s">
        <v>722</v>
      </c>
      <c r="D3" s="851">
        <f>SUMIF('数据-汇总表'!$C19:$C33,D1,'数据-汇总表'!$E19:$E33)</f>
        <v>17100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422" t="s">
        <v>522</v>
      </c>
      <c r="D4" s="3423"/>
      <c r="E4" s="3456" t="s">
        <v>523</v>
      </c>
      <c r="F4" s="3457"/>
      <c r="G4" s="3422" t="s">
        <v>524</v>
      </c>
      <c r="H4" s="3423"/>
      <c r="I4" s="3422" t="s">
        <v>525</v>
      </c>
      <c r="J4" s="3423"/>
      <c r="K4" s="514" t="s">
        <v>526</v>
      </c>
      <c r="L4" s="2119"/>
      <c r="M4" s="2120"/>
      <c r="N4" s="2120"/>
      <c r="O4" s="2120"/>
      <c r="P4" s="3501" t="s">
        <v>527</v>
      </c>
      <c r="Q4" s="3425"/>
      <c r="R4" s="3430" t="s">
        <v>523</v>
      </c>
      <c r="S4" s="3431"/>
      <c r="T4" s="3430" t="s">
        <v>524</v>
      </c>
      <c r="U4" s="3431"/>
      <c r="V4" s="3417" t="s">
        <v>525</v>
      </c>
      <c r="W4" s="3417"/>
      <c r="X4" s="1554"/>
      <c r="Y4" s="3430" t="s">
        <v>527</v>
      </c>
      <c r="Z4" s="3431"/>
      <c r="AA4" s="3419" t="s">
        <v>523</v>
      </c>
      <c r="AB4" s="3419" t="s">
        <v>524</v>
      </c>
      <c r="AC4" s="3419" t="s">
        <v>525</v>
      </c>
    </row>
    <row r="5" spans="1:29" ht="15">
      <c r="A5" s="515"/>
      <c r="B5" s="516"/>
      <c r="C5" s="3438" t="s">
        <v>3024</v>
      </c>
      <c r="D5" s="3439"/>
      <c r="E5" s="3458" t="str">
        <f>[1]办公案例!B29</f>
        <v>金融街园中园</v>
      </c>
      <c r="F5" s="3459"/>
      <c r="G5" s="3438" t="str">
        <f>[1]办公案例!B60</f>
        <v>金融街园中园</v>
      </c>
      <c r="H5" s="3439"/>
      <c r="I5" s="3438" t="str">
        <f>[1]办公案例!B90</f>
        <v>通州万达广场</v>
      </c>
      <c r="J5" s="3439"/>
      <c r="K5" s="514"/>
      <c r="L5" s="2119"/>
      <c r="M5" s="2120"/>
      <c r="N5" s="2120"/>
      <c r="O5" s="2120"/>
      <c r="P5" s="3502"/>
      <c r="Q5" s="3427"/>
      <c r="R5" s="3432"/>
      <c r="S5" s="3433"/>
      <c r="T5" s="3432"/>
      <c r="U5" s="3433"/>
      <c r="V5" s="3417"/>
      <c r="W5" s="3417"/>
      <c r="X5" s="1554"/>
      <c r="Y5" s="3432"/>
      <c r="Z5" s="3433"/>
      <c r="AA5" s="3420"/>
      <c r="AB5" s="3420"/>
      <c r="AC5" s="3420"/>
    </row>
    <row r="6" spans="1:29" ht="15.75" thickBot="1">
      <c r="A6" s="517"/>
      <c r="B6" s="518"/>
      <c r="C6" s="3504" t="s">
        <v>3025</v>
      </c>
      <c r="D6" s="3437"/>
      <c r="E6" s="3505" t="s">
        <v>3026</v>
      </c>
      <c r="F6" s="3455"/>
      <c r="G6" s="3436" t="str">
        <f>E6</f>
        <v>通州区永顺镇</v>
      </c>
      <c r="H6" s="3437"/>
      <c r="I6" s="3504" t="s">
        <v>3027</v>
      </c>
      <c r="J6" s="3437"/>
      <c r="K6" s="514" t="s">
        <v>528</v>
      </c>
      <c r="L6" s="2119"/>
      <c r="M6" s="2120"/>
      <c r="N6" s="2120"/>
      <c r="O6" s="2120"/>
      <c r="P6" s="3503"/>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v>43891</v>
      </c>
      <c r="F7" s="522">
        <f>SUMIF(59:59,YEAR(E7)&amp;"-"&amp;MONTH(E7),60:60)</f>
        <v>100</v>
      </c>
      <c r="G7" s="521">
        <v>43891</v>
      </c>
      <c r="H7" s="520">
        <f>SUMIF(59:59,YEAR(G7)&amp;"-"&amp;MONTH(G7),60:60)</f>
        <v>100</v>
      </c>
      <c r="I7" s="521">
        <v>43800</v>
      </c>
      <c r="J7" s="520">
        <f>SUMIF(59:59,YEAR(I7)&amp;"-"&amp;MONTH(I7),60:60)</f>
        <v>100</v>
      </c>
      <c r="K7" s="524"/>
      <c r="L7" s="2121"/>
      <c r="M7" s="2122"/>
      <c r="N7" s="2122"/>
      <c r="O7" s="2122"/>
      <c r="P7" s="3449" t="s">
        <v>530</v>
      </c>
      <c r="Q7" s="3449"/>
      <c r="R7" s="1555" t="s">
        <v>8</v>
      </c>
      <c r="S7" s="1556">
        <f t="shared" ref="S7:S15" si="0">F7</f>
        <v>100</v>
      </c>
      <c r="T7" s="1555" t="s">
        <v>8</v>
      </c>
      <c r="U7" s="1556">
        <f t="shared" ref="U7:U15" si="1">H7</f>
        <v>100</v>
      </c>
      <c r="V7" s="1555" t="s">
        <v>8</v>
      </c>
      <c r="W7" s="1556">
        <f t="shared" ref="W7:W15" si="2">J7</f>
        <v>100</v>
      </c>
      <c r="X7" s="1557"/>
      <c r="Y7" s="3447" t="s">
        <v>530</v>
      </c>
      <c r="Z7" s="3448"/>
      <c r="AA7" s="1558">
        <f>D7/F7</f>
        <v>1</v>
      </c>
      <c r="AB7" s="1558">
        <f>D7/H7</f>
        <v>1</v>
      </c>
      <c r="AC7" s="1558">
        <f>D7/J7</f>
        <v>1</v>
      </c>
    </row>
    <row r="8" spans="1:29" s="1216" customFormat="1" ht="15.75" thickBot="1">
      <c r="A8" s="2753"/>
      <c r="B8" s="2760" t="s">
        <v>531</v>
      </c>
      <c r="C8" s="525" t="s">
        <v>576</v>
      </c>
      <c r="D8" s="520">
        <v>100</v>
      </c>
      <c r="E8" s="525" t="s">
        <v>3028</v>
      </c>
      <c r="F8" s="522">
        <f>SUMIF(62:62,E8,63:63)-SUMIF(62:62,C8,63:63)+100</f>
        <v>100</v>
      </c>
      <c r="G8" s="525" t="s">
        <v>576</v>
      </c>
      <c r="H8" s="520">
        <f>SUMIF(62:62,G8,63:63)-SUMIF(62:62,C8,63:63)+100</f>
        <v>100</v>
      </c>
      <c r="I8" s="525" t="s">
        <v>576</v>
      </c>
      <c r="J8" s="520">
        <f>SUMIF(62:62,I8,63:63)-SUMIF(62:62,C8,63:63)+100</f>
        <v>100</v>
      </c>
      <c r="K8" s="524"/>
      <c r="L8" s="2121"/>
      <c r="M8" s="2122"/>
      <c r="N8" s="2122"/>
      <c r="O8" s="2122"/>
      <c r="P8" s="3449" t="s">
        <v>533</v>
      </c>
      <c r="Q8" s="3448"/>
      <c r="R8" s="1555" t="s">
        <v>8</v>
      </c>
      <c r="S8" s="1556">
        <f t="shared" si="0"/>
        <v>100</v>
      </c>
      <c r="T8" s="1555" t="s">
        <v>8</v>
      </c>
      <c r="U8" s="1556">
        <f t="shared" si="1"/>
        <v>100</v>
      </c>
      <c r="V8" s="1555" t="s">
        <v>8</v>
      </c>
      <c r="W8" s="1556">
        <f t="shared" si="2"/>
        <v>100</v>
      </c>
      <c r="X8" s="1557"/>
      <c r="Y8" s="3447" t="s">
        <v>533</v>
      </c>
      <c r="Z8" s="3448"/>
      <c r="AA8" s="1558">
        <f t="shared" ref="AA8:AA47" si="3">D8/F8</f>
        <v>1</v>
      </c>
      <c r="AB8" s="1558">
        <f t="shared" ref="AB8:AB47" si="4">D8/H8</f>
        <v>1</v>
      </c>
      <c r="AC8" s="1558">
        <f t="shared" ref="AC8:AC47" si="5">D8/J8</f>
        <v>1</v>
      </c>
    </row>
    <row r="9" spans="1:29" s="1216" customFormat="1" ht="15">
      <c r="A9" s="2754"/>
      <c r="B9" s="2761" t="s">
        <v>2752</v>
      </c>
      <c r="C9" s="3192" t="s">
        <v>3029</v>
      </c>
      <c r="D9" s="254">
        <v>100</v>
      </c>
      <c r="E9" s="860" t="s">
        <v>1677</v>
      </c>
      <c r="F9" s="254">
        <f>SUMIF(64:64,E9,65:65)-SUMIF(64:64,C9,65:65)+100</f>
        <v>100</v>
      </c>
      <c r="G9" s="860" t="s">
        <v>1677</v>
      </c>
      <c r="H9" s="254">
        <f>SUMIF(64:64,G9,65:65)-SUMIF(64:64,C9,65:65)+100</f>
        <v>100</v>
      </c>
      <c r="I9" s="860" t="s">
        <v>1677</v>
      </c>
      <c r="J9" s="254">
        <f>SUMIF(64:64,I9,65:65)-SUMIF(64:64,C9,65:65)+100</f>
        <v>100</v>
      </c>
      <c r="K9" s="524"/>
      <c r="L9" s="2121"/>
      <c r="M9" s="2122"/>
      <c r="N9" s="2122"/>
      <c r="O9" s="2122"/>
      <c r="P9" s="3416" t="s">
        <v>535</v>
      </c>
      <c r="Q9" s="1147" t="str">
        <f t="shared" ref="Q9:Q15" si="6">B9</f>
        <v>用途</v>
      </c>
      <c r="R9" s="1555" t="s">
        <v>8</v>
      </c>
      <c r="S9" s="1556">
        <f t="shared" si="0"/>
        <v>100</v>
      </c>
      <c r="T9" s="1555" t="s">
        <v>8</v>
      </c>
      <c r="U9" s="1556">
        <f t="shared" si="1"/>
        <v>100</v>
      </c>
      <c r="V9" s="1555" t="s">
        <v>8</v>
      </c>
      <c r="W9" s="1556">
        <f t="shared" si="2"/>
        <v>100</v>
      </c>
      <c r="X9" s="1557"/>
      <c r="Y9" s="3341" t="s">
        <v>536</v>
      </c>
      <c r="Z9" s="1146" t="str">
        <f t="shared" ref="Z9:Z15" si="7">Q9</f>
        <v>用途</v>
      </c>
      <c r="AA9" s="1558">
        <f t="shared" si="3"/>
        <v>1</v>
      </c>
      <c r="AB9" s="1558">
        <f t="shared" si="4"/>
        <v>1</v>
      </c>
      <c r="AC9" s="1558">
        <f t="shared" si="5"/>
        <v>1</v>
      </c>
    </row>
    <row r="10" spans="1:29" s="1334" customFormat="1" ht="27">
      <c r="A10" s="2755"/>
      <c r="B10" s="2760" t="s">
        <v>2753</v>
      </c>
      <c r="C10" s="861" t="s">
        <v>3030</v>
      </c>
      <c r="D10" s="255">
        <v>100</v>
      </c>
      <c r="E10" s="861" t="s">
        <v>3030</v>
      </c>
      <c r="F10" s="255">
        <f>SUMIF(66:66,E10,67:67)-SUMIF(66:66,C10,67:67)+100</f>
        <v>100</v>
      </c>
      <c r="G10" s="861" t="s">
        <v>3030</v>
      </c>
      <c r="H10" s="255">
        <f>SUMIF(66:66,G10,67:67)-SUMIF(66:66,C10,67:67)+100</f>
        <v>100</v>
      </c>
      <c r="I10" s="861" t="s">
        <v>3030</v>
      </c>
      <c r="J10" s="255">
        <f>SUMIF(66:66,I10,67:67)-SUMIF(66:66,C10,67:67)+100</f>
        <v>100</v>
      </c>
      <c r="K10" s="584">
        <v>2</v>
      </c>
      <c r="L10" s="2124"/>
      <c r="M10" s="2164"/>
      <c r="N10" s="2164"/>
      <c r="O10" s="2164"/>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75" thickBot="1">
      <c r="A11" s="2756"/>
      <c r="B11" s="2760" t="s">
        <v>2754</v>
      </c>
      <c r="C11" s="533">
        <v>1</v>
      </c>
      <c r="D11" s="255">
        <v>100</v>
      </c>
      <c r="E11" s="533">
        <v>1</v>
      </c>
      <c r="F11" s="255">
        <f>LOOKUP(E11,69:69,70:70)-LOOKUP(C11,69:69,70:70)+100</f>
        <v>100</v>
      </c>
      <c r="G11" s="534">
        <v>1</v>
      </c>
      <c r="H11" s="255">
        <f>LOOKUP(G11,69:69,70:70)-LOOKUP(C11,69:69,70:70)+100</f>
        <v>100</v>
      </c>
      <c r="I11" s="533">
        <v>1</v>
      </c>
      <c r="J11" s="255">
        <f>LOOKUP(I11,69:69,70:70)-LOOKUP(C11,69:69,70:70)+100</f>
        <v>100</v>
      </c>
      <c r="K11" s="584"/>
      <c r="L11" s="2126"/>
      <c r="M11" s="2120"/>
      <c r="N11" s="2120"/>
      <c r="O11" s="2120"/>
      <c r="P11" s="3416"/>
      <c r="Q11" s="1147" t="str">
        <f t="shared" si="6"/>
        <v>容积率</v>
      </c>
      <c r="R11" s="1555" t="s">
        <v>8</v>
      </c>
      <c r="S11" s="1556">
        <f t="shared" si="0"/>
        <v>100</v>
      </c>
      <c r="T11" s="1555" t="s">
        <v>8</v>
      </c>
      <c r="U11" s="1556">
        <f t="shared" si="1"/>
        <v>100</v>
      </c>
      <c r="V11" s="1555" t="s">
        <v>8</v>
      </c>
      <c r="W11" s="1556">
        <f t="shared" si="2"/>
        <v>100</v>
      </c>
      <c r="X11" s="1557"/>
      <c r="Y11" s="3341"/>
      <c r="Z11" s="1146" t="str">
        <f t="shared" si="7"/>
        <v>容积率</v>
      </c>
      <c r="AA11" s="1558">
        <f t="shared" si="3"/>
        <v>1</v>
      </c>
      <c r="AB11" s="1558">
        <f t="shared" si="4"/>
        <v>1</v>
      </c>
      <c r="AC11" s="1558">
        <f t="shared" si="5"/>
        <v>1</v>
      </c>
    </row>
    <row r="12" spans="1:29" s="1216" customFormat="1" ht="15" hidden="1">
      <c r="A12" s="2757"/>
      <c r="B12" s="2763">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 hidden="1">
      <c r="A13" s="2757"/>
      <c r="B13" s="2763">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15.75" hidden="1" thickBot="1">
      <c r="A14" s="2758"/>
      <c r="B14" s="2764">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416"/>
      <c r="Q14" s="1147">
        <f t="shared" si="6"/>
        <v>111</v>
      </c>
      <c r="R14" s="1555" t="s">
        <v>8</v>
      </c>
      <c r="S14" s="1556">
        <f t="shared" si="0"/>
        <v>100</v>
      </c>
      <c r="T14" s="1555" t="s">
        <v>8</v>
      </c>
      <c r="U14" s="1556">
        <f t="shared" si="1"/>
        <v>100</v>
      </c>
      <c r="V14" s="1555" t="s">
        <v>8</v>
      </c>
      <c r="W14" s="1556">
        <f t="shared" si="2"/>
        <v>100</v>
      </c>
      <c r="X14" s="1557"/>
      <c r="Y14" s="3341"/>
      <c r="Z14" s="1146">
        <f t="shared" si="7"/>
        <v>111</v>
      </c>
      <c r="AA14" s="1558">
        <f t="shared" si="3"/>
        <v>1</v>
      </c>
      <c r="AB14" s="1558">
        <f t="shared" si="4"/>
        <v>1</v>
      </c>
      <c r="AC14" s="1558">
        <f t="shared" si="5"/>
        <v>1</v>
      </c>
    </row>
    <row r="15" spans="1:29" ht="71.25">
      <c r="A15" s="2750" t="s">
        <v>2750</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102</v>
      </c>
      <c r="K15" s="3194">
        <v>2</v>
      </c>
      <c r="L15" s="2128"/>
      <c r="M15" s="2120"/>
      <c r="N15" s="2120"/>
      <c r="O15" s="2120"/>
      <c r="P15" s="3450" t="s">
        <v>540</v>
      </c>
      <c r="Q15" s="1559" t="str">
        <f t="shared" si="6"/>
        <v>办公集聚程度</v>
      </c>
      <c r="R15" s="1560" t="s">
        <v>8</v>
      </c>
      <c r="S15" s="1561">
        <f t="shared" si="0"/>
        <v>100</v>
      </c>
      <c r="T15" s="1560" t="s">
        <v>8</v>
      </c>
      <c r="U15" s="1561">
        <f t="shared" si="1"/>
        <v>100</v>
      </c>
      <c r="V15" s="1560" t="s">
        <v>8</v>
      </c>
      <c r="W15" s="1561">
        <f t="shared" si="2"/>
        <v>102</v>
      </c>
      <c r="X15" s="1554"/>
      <c r="Y15" s="3450" t="s">
        <v>540</v>
      </c>
      <c r="Z15" s="1562" t="str">
        <f t="shared" si="7"/>
        <v>办公集聚程度</v>
      </c>
      <c r="AA15" s="1563">
        <f t="shared" si="3"/>
        <v>1</v>
      </c>
      <c r="AB15" s="1563">
        <f t="shared" si="4"/>
        <v>1</v>
      </c>
      <c r="AC15" s="1563">
        <f t="shared" si="5"/>
        <v>0.98039215686274506</v>
      </c>
    </row>
    <row r="16" spans="1:29" ht="15">
      <c r="A16" s="532"/>
      <c r="B16" s="553"/>
      <c r="C16" s="554" t="s">
        <v>3021</v>
      </c>
      <c r="D16" s="555"/>
      <c r="E16" s="554" t="s">
        <v>3021</v>
      </c>
      <c r="F16" s="555"/>
      <c r="G16" s="554" t="s">
        <v>3021</v>
      </c>
      <c r="H16" s="559"/>
      <c r="I16" s="576" t="s">
        <v>3022</v>
      </c>
      <c r="J16" s="555"/>
      <c r="K16" s="899"/>
      <c r="L16" s="2128"/>
      <c r="M16" s="2120"/>
      <c r="N16" s="2120"/>
      <c r="O16" s="2120"/>
      <c r="P16" s="3451"/>
      <c r="Q16" s="1559"/>
      <c r="R16" s="1560"/>
      <c r="S16" s="1561"/>
      <c r="T16" s="1560"/>
      <c r="U16" s="1561"/>
      <c r="V16" s="1560"/>
      <c r="W16" s="1561"/>
      <c r="X16" s="1554"/>
      <c r="Y16" s="3451"/>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101</v>
      </c>
      <c r="K17" s="898">
        <v>1</v>
      </c>
      <c r="L17" s="2128"/>
      <c r="M17" s="2120"/>
      <c r="N17" s="2120"/>
      <c r="O17" s="2120"/>
      <c r="P17" s="3451"/>
      <c r="Q17" s="1559" t="str">
        <f>B17</f>
        <v>交通便捷度</v>
      </c>
      <c r="R17" s="1560" t="s">
        <v>8</v>
      </c>
      <c r="S17" s="1561">
        <f>F17</f>
        <v>100</v>
      </c>
      <c r="T17" s="1560" t="s">
        <v>8</v>
      </c>
      <c r="U17" s="1561">
        <f>H17</f>
        <v>100</v>
      </c>
      <c r="V17" s="1560" t="s">
        <v>8</v>
      </c>
      <c r="W17" s="1561">
        <f>J17</f>
        <v>101</v>
      </c>
      <c r="X17" s="1554"/>
      <c r="Y17" s="3451"/>
      <c r="Z17" s="1562" t="str">
        <f>Q17</f>
        <v>交通便捷度</v>
      </c>
      <c r="AA17" s="1563">
        <f t="shared" si="3"/>
        <v>1</v>
      </c>
      <c r="AB17" s="1563">
        <f t="shared" si="4"/>
        <v>1</v>
      </c>
      <c r="AC17" s="1563">
        <f t="shared" si="5"/>
        <v>0.99009900990099009</v>
      </c>
    </row>
    <row r="18" spans="1:29" ht="15">
      <c r="A18" s="532"/>
      <c r="B18" s="566"/>
      <c r="C18" s="554" t="s">
        <v>3021</v>
      </c>
      <c r="D18" s="559"/>
      <c r="E18" s="554" t="s">
        <v>3021</v>
      </c>
      <c r="F18" s="559"/>
      <c r="G18" s="554" t="s">
        <v>3021</v>
      </c>
      <c r="H18" s="555"/>
      <c r="I18" s="576" t="s">
        <v>3022</v>
      </c>
      <c r="J18" s="555"/>
      <c r="K18" s="899"/>
      <c r="L18" s="2128"/>
      <c r="M18" s="2120"/>
      <c r="N18" s="2120"/>
      <c r="O18" s="2120"/>
      <c r="P18" s="3451"/>
      <c r="Q18" s="1559"/>
      <c r="R18" s="1560"/>
      <c r="S18" s="1561"/>
      <c r="T18" s="1560"/>
      <c r="U18" s="1561"/>
      <c r="V18" s="1560"/>
      <c r="W18" s="1561"/>
      <c r="X18" s="1554"/>
      <c r="Y18" s="3451"/>
      <c r="Z18" s="1562"/>
      <c r="AA18" s="1563">
        <v>1</v>
      </c>
      <c r="AB18" s="1563">
        <v>1</v>
      </c>
      <c r="AC18" s="1563">
        <v>1</v>
      </c>
    </row>
    <row r="19" spans="1:29" ht="42.75">
      <c r="A19" s="532"/>
      <c r="B19" s="2568" t="s">
        <v>2543</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101</v>
      </c>
      <c r="K19" s="898">
        <v>1</v>
      </c>
      <c r="L19" s="2128"/>
      <c r="M19" s="2120"/>
      <c r="N19" s="2120"/>
      <c r="O19" s="2120"/>
      <c r="P19" s="3451"/>
      <c r="Q19" s="1559" t="str">
        <f>B19</f>
        <v>公共配套设施</v>
      </c>
      <c r="R19" s="1560" t="s">
        <v>8</v>
      </c>
      <c r="S19" s="1561">
        <f>F19</f>
        <v>100</v>
      </c>
      <c r="T19" s="1560" t="s">
        <v>8</v>
      </c>
      <c r="U19" s="1561">
        <f>H19</f>
        <v>100</v>
      </c>
      <c r="V19" s="1560" t="s">
        <v>8</v>
      </c>
      <c r="W19" s="1561">
        <f>J19</f>
        <v>101</v>
      </c>
      <c r="X19" s="1554"/>
      <c r="Y19" s="3451"/>
      <c r="Z19" s="1562" t="str">
        <f>Q19</f>
        <v>公共配套设施</v>
      </c>
      <c r="AA19" s="1563">
        <f t="shared" si="3"/>
        <v>1</v>
      </c>
      <c r="AB19" s="1563">
        <f t="shared" si="4"/>
        <v>1</v>
      </c>
      <c r="AC19" s="1563">
        <f t="shared" si="5"/>
        <v>0.99009900990099009</v>
      </c>
    </row>
    <row r="20" spans="1:29" ht="15">
      <c r="A20" s="532"/>
      <c r="B20" s="566"/>
      <c r="C20" s="554" t="s">
        <v>3021</v>
      </c>
      <c r="D20" s="555"/>
      <c r="E20" s="554" t="s">
        <v>3021</v>
      </c>
      <c r="F20" s="555"/>
      <c r="G20" s="554" t="s">
        <v>3021</v>
      </c>
      <c r="H20" s="555"/>
      <c r="I20" s="556" t="s">
        <v>3022</v>
      </c>
      <c r="J20" s="555"/>
      <c r="K20" s="899"/>
      <c r="L20" s="2128"/>
      <c r="M20" s="2120"/>
      <c r="N20" s="2120"/>
      <c r="O20" s="2120"/>
      <c r="P20" s="3451"/>
      <c r="Q20" s="1559"/>
      <c r="R20" s="1560"/>
      <c r="S20" s="1561"/>
      <c r="T20" s="1560"/>
      <c r="U20" s="1561"/>
      <c r="V20" s="1560"/>
      <c r="W20" s="1561"/>
      <c r="X20" s="1554"/>
      <c r="Y20" s="3451"/>
      <c r="Z20" s="1562"/>
      <c r="AA20" s="1563">
        <v>1</v>
      </c>
      <c r="AB20" s="1563">
        <v>1</v>
      </c>
      <c r="AC20" s="1563">
        <v>1</v>
      </c>
    </row>
    <row r="21" spans="1:29" ht="28.5">
      <c r="A21" s="532"/>
      <c r="B21" s="2556" t="s">
        <v>2555</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v>1</v>
      </c>
      <c r="L21" s="2128"/>
      <c r="M21" s="2120"/>
      <c r="N21" s="2120"/>
      <c r="O21" s="2120"/>
      <c r="P21" s="3451"/>
      <c r="Q21" s="2544" t="str">
        <f>B21</f>
        <v>基础设施水平</v>
      </c>
      <c r="R21" s="1560" t="s">
        <v>8</v>
      </c>
      <c r="S21" s="1561">
        <f>F21</f>
        <v>100</v>
      </c>
      <c r="T21" s="1560" t="s">
        <v>8</v>
      </c>
      <c r="U21" s="1561">
        <f>H21</f>
        <v>100</v>
      </c>
      <c r="V21" s="1560" t="s">
        <v>8</v>
      </c>
      <c r="W21" s="1561">
        <f>J21</f>
        <v>100</v>
      </c>
      <c r="X21" s="2546"/>
      <c r="Y21" s="3451"/>
      <c r="Z21" s="2545" t="str">
        <f>Q21</f>
        <v>基础设施水平</v>
      </c>
      <c r="AA21" s="1563">
        <f t="shared" ref="AA21" si="8">D21/F21</f>
        <v>1</v>
      </c>
      <c r="AB21" s="1563">
        <f t="shared" ref="AB21" si="9">D21/H21</f>
        <v>1</v>
      </c>
      <c r="AC21" s="1563">
        <f t="shared" ref="AC21" si="10">D21/J21</f>
        <v>1</v>
      </c>
    </row>
    <row r="22" spans="1:29" ht="15">
      <c r="A22" s="532"/>
      <c r="B22" s="578"/>
      <c r="C22" s="554" t="s">
        <v>3031</v>
      </c>
      <c r="D22" s="555"/>
      <c r="E22" s="576" t="s">
        <v>3031</v>
      </c>
      <c r="F22" s="555"/>
      <c r="G22" s="576" t="s">
        <v>3031</v>
      </c>
      <c r="H22" s="555"/>
      <c r="I22" s="576" t="s">
        <v>3031</v>
      </c>
      <c r="J22" s="555"/>
      <c r="K22" s="2567"/>
      <c r="L22" s="2128"/>
      <c r="M22" s="2120"/>
      <c r="N22" s="2120"/>
      <c r="O22" s="2120"/>
      <c r="P22" s="3451"/>
      <c r="Q22" s="2544"/>
      <c r="R22" s="1560"/>
      <c r="S22" s="1561"/>
      <c r="T22" s="1560"/>
      <c r="U22" s="1561"/>
      <c r="V22" s="1560"/>
      <c r="W22" s="1561"/>
      <c r="X22" s="2546"/>
      <c r="Y22" s="3451"/>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v>1</v>
      </c>
      <c r="L23" s="2128"/>
      <c r="M23" s="2120"/>
      <c r="N23" s="2120"/>
      <c r="O23" s="2120"/>
      <c r="P23" s="3451"/>
      <c r="Q23" s="1559" t="str">
        <f>B23</f>
        <v>环境质量</v>
      </c>
      <c r="R23" s="1560" t="s">
        <v>8</v>
      </c>
      <c r="S23" s="1561">
        <f>F23</f>
        <v>100</v>
      </c>
      <c r="T23" s="1560" t="s">
        <v>8</v>
      </c>
      <c r="U23" s="1561">
        <f>H23</f>
        <v>100</v>
      </c>
      <c r="V23" s="1560" t="s">
        <v>8</v>
      </c>
      <c r="W23" s="1561">
        <f>J23</f>
        <v>100</v>
      </c>
      <c r="X23" s="1554"/>
      <c r="Y23" s="3451"/>
      <c r="Z23" s="1562" t="str">
        <f>Q23</f>
        <v>环境质量</v>
      </c>
      <c r="AA23" s="1563">
        <f t="shared" si="3"/>
        <v>1</v>
      </c>
      <c r="AB23" s="1563">
        <f t="shared" si="4"/>
        <v>1</v>
      </c>
      <c r="AC23" s="1563">
        <f t="shared" si="5"/>
        <v>1</v>
      </c>
    </row>
    <row r="24" spans="1:29" ht="15">
      <c r="A24" s="532"/>
      <c r="B24" s="578"/>
      <c r="C24" s="556" t="s">
        <v>3022</v>
      </c>
      <c r="D24" s="555"/>
      <c r="E24" s="556" t="s">
        <v>3022</v>
      </c>
      <c r="F24" s="555"/>
      <c r="G24" s="556" t="s">
        <v>3022</v>
      </c>
      <c r="H24" s="555"/>
      <c r="I24" s="556" t="s">
        <v>3022</v>
      </c>
      <c r="J24" s="555"/>
      <c r="K24" s="899"/>
      <c r="L24" s="2128"/>
      <c r="M24" s="2120"/>
      <c r="N24" s="2120"/>
      <c r="O24" s="2120"/>
      <c r="P24" s="3451"/>
      <c r="Q24" s="1559"/>
      <c r="R24" s="1560"/>
      <c r="S24" s="1561"/>
      <c r="T24" s="1560"/>
      <c r="U24" s="1561"/>
      <c r="V24" s="1560"/>
      <c r="W24" s="1561"/>
      <c r="X24" s="1554"/>
      <c r="Y24" s="3451"/>
      <c r="Z24" s="1562"/>
      <c r="AA24" s="1563">
        <v>1</v>
      </c>
      <c r="AB24" s="1563">
        <v>1</v>
      </c>
      <c r="AC24" s="1563">
        <v>1</v>
      </c>
    </row>
    <row r="25" spans="1:29" ht="27">
      <c r="A25" s="515"/>
      <c r="B25" s="560" t="s">
        <v>548</v>
      </c>
      <c r="C25" s="912"/>
      <c r="D25" s="540">
        <v>100</v>
      </c>
      <c r="E25" s="539"/>
      <c r="F25" s="540">
        <f>SUMIF(87:87,E26,88:88)-SUMIF(87:87,C26,88:88)+100</f>
        <v>97</v>
      </c>
      <c r="G25" s="912"/>
      <c r="H25" s="540">
        <f>SUMIF(87:87,G26,88:88)-SUMIF(87:87,C26,88:88)+100</f>
        <v>97</v>
      </c>
      <c r="I25" s="539"/>
      <c r="J25" s="540">
        <f>SUMIF(87:87,I26,88:88)-SUMIF(87:87,C26,88:88)+100</f>
        <v>100</v>
      </c>
      <c r="K25" s="3194">
        <v>3</v>
      </c>
      <c r="L25" s="2128"/>
      <c r="M25" s="2120"/>
      <c r="N25" s="2120"/>
      <c r="O25" s="2120"/>
      <c r="P25" s="3451"/>
      <c r="Q25" s="1559" t="str">
        <f>B25</f>
        <v>毗邻道路的类型与等级</v>
      </c>
      <c r="R25" s="1560" t="s">
        <v>8</v>
      </c>
      <c r="S25" s="1561">
        <f>F25</f>
        <v>97</v>
      </c>
      <c r="T25" s="1560" t="s">
        <v>8</v>
      </c>
      <c r="U25" s="1561">
        <f>H25</f>
        <v>97</v>
      </c>
      <c r="V25" s="1560" t="s">
        <v>8</v>
      </c>
      <c r="W25" s="1561">
        <f>J25</f>
        <v>100</v>
      </c>
      <c r="X25" s="1554"/>
      <c r="Y25" s="3451"/>
      <c r="Z25" s="1562" t="str">
        <f>Q25</f>
        <v>毗邻道路的类型与等级</v>
      </c>
      <c r="AA25" s="1563">
        <f t="shared" si="3"/>
        <v>1.0309278350515463</v>
      </c>
      <c r="AB25" s="1563">
        <f t="shared" si="4"/>
        <v>1.0309278350515463</v>
      </c>
      <c r="AC25" s="1563">
        <f t="shared" si="5"/>
        <v>1</v>
      </c>
    </row>
    <row r="26" spans="1:29" ht="15">
      <c r="A26" s="515"/>
      <c r="B26" s="566"/>
      <c r="C26" s="580" t="s">
        <v>3033</v>
      </c>
      <c r="D26" s="540"/>
      <c r="E26" s="583" t="s">
        <v>3034</v>
      </c>
      <c r="F26" s="540"/>
      <c r="G26" s="583" t="s">
        <v>3034</v>
      </c>
      <c r="H26" s="540"/>
      <c r="I26" s="583" t="s">
        <v>3033</v>
      </c>
      <c r="J26" s="540"/>
      <c r="K26" s="899"/>
      <c r="L26" s="2128"/>
      <c r="M26" s="2120"/>
      <c r="N26" s="2120"/>
      <c r="O26" s="2120"/>
      <c r="P26" s="3451"/>
      <c r="Q26" s="1559"/>
      <c r="R26" s="1560"/>
      <c r="S26" s="1561"/>
      <c r="T26" s="1560"/>
      <c r="U26" s="1561"/>
      <c r="V26" s="1560"/>
      <c r="W26" s="1561"/>
      <c r="X26" s="1554"/>
      <c r="Y26" s="3451"/>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451"/>
      <c r="Q27" s="1559" t="str">
        <f t="shared" ref="Q27:Q47" si="11">B27</f>
        <v>楼层</v>
      </c>
      <c r="R27" s="1560" t="s">
        <v>8</v>
      </c>
      <c r="S27" s="1561">
        <f>F27</f>
        <v>100</v>
      </c>
      <c r="T27" s="1560" t="s">
        <v>8</v>
      </c>
      <c r="U27" s="1561">
        <f>H27</f>
        <v>100</v>
      </c>
      <c r="V27" s="1560" t="s">
        <v>8</v>
      </c>
      <c r="W27" s="1561">
        <f>J27</f>
        <v>100</v>
      </c>
      <c r="X27" s="1554"/>
      <c r="Y27" s="3451"/>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451"/>
      <c r="Q28" s="1147" t="str">
        <f t="shared" si="11"/>
        <v>朝向</v>
      </c>
      <c r="R28" s="1555" t="s">
        <v>8</v>
      </c>
      <c r="S28" s="1556">
        <f>F28</f>
        <v>100</v>
      </c>
      <c r="T28" s="1555" t="s">
        <v>8</v>
      </c>
      <c r="U28" s="1556">
        <f>H28</f>
        <v>100</v>
      </c>
      <c r="V28" s="1555" t="s">
        <v>8</v>
      </c>
      <c r="W28" s="1556">
        <f>J28</f>
        <v>100</v>
      </c>
      <c r="X28" s="1557"/>
      <c r="Y28" s="3451"/>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451"/>
      <c r="Q29" s="1559">
        <f t="shared" si="11"/>
        <v>111</v>
      </c>
      <c r="R29" s="1560" t="s">
        <v>8</v>
      </c>
      <c r="S29" s="1561">
        <f t="shared" ref="S29:S47" si="12">F29</f>
        <v>100</v>
      </c>
      <c r="T29" s="1560" t="s">
        <v>8</v>
      </c>
      <c r="U29" s="1561">
        <f t="shared" ref="U29:U47" si="13">H29</f>
        <v>100</v>
      </c>
      <c r="V29" s="1560" t="s">
        <v>8</v>
      </c>
      <c r="W29" s="1561">
        <f t="shared" ref="W29:W47" si="14">J29</f>
        <v>100</v>
      </c>
      <c r="X29" s="1554"/>
      <c r="Y29" s="3451"/>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451"/>
      <c r="Q30" s="1559">
        <f t="shared" si="11"/>
        <v>111</v>
      </c>
      <c r="R30" s="1560" t="s">
        <v>8</v>
      </c>
      <c r="S30" s="1561">
        <f t="shared" si="12"/>
        <v>100</v>
      </c>
      <c r="T30" s="1560" t="s">
        <v>8</v>
      </c>
      <c r="U30" s="1561">
        <f t="shared" si="13"/>
        <v>100</v>
      </c>
      <c r="V30" s="1560" t="s">
        <v>8</v>
      </c>
      <c r="W30" s="1561">
        <f t="shared" si="14"/>
        <v>100</v>
      </c>
      <c r="X30" s="1554"/>
      <c r="Y30" s="3451"/>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451"/>
      <c r="Q31" s="1559">
        <f t="shared" si="11"/>
        <v>111</v>
      </c>
      <c r="R31" s="1560" t="s">
        <v>8</v>
      </c>
      <c r="S31" s="1561">
        <f t="shared" si="12"/>
        <v>100</v>
      </c>
      <c r="T31" s="1560" t="s">
        <v>8</v>
      </c>
      <c r="U31" s="1561">
        <f t="shared" si="13"/>
        <v>100</v>
      </c>
      <c r="V31" s="1560" t="s">
        <v>8</v>
      </c>
      <c r="W31" s="1561">
        <f t="shared" si="14"/>
        <v>100</v>
      </c>
      <c r="X31" s="1554"/>
      <c r="Y31" s="3451"/>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451"/>
      <c r="Q32" s="1559">
        <f t="shared" si="11"/>
        <v>111</v>
      </c>
      <c r="R32" s="1560" t="s">
        <v>8</v>
      </c>
      <c r="S32" s="1561">
        <f t="shared" si="12"/>
        <v>100</v>
      </c>
      <c r="T32" s="1560" t="s">
        <v>8</v>
      </c>
      <c r="U32" s="1561">
        <f t="shared" si="13"/>
        <v>100</v>
      </c>
      <c r="V32" s="1560" t="s">
        <v>8</v>
      </c>
      <c r="W32" s="1561">
        <f t="shared" si="14"/>
        <v>100</v>
      </c>
      <c r="X32" s="1554"/>
      <c r="Y32" s="3451"/>
      <c r="Z32" s="1562">
        <f t="shared" si="15"/>
        <v>111</v>
      </c>
      <c r="AA32" s="1563">
        <f t="shared" si="3"/>
        <v>1</v>
      </c>
      <c r="AB32" s="1563">
        <f t="shared" si="4"/>
        <v>1</v>
      </c>
      <c r="AC32" s="1563">
        <f t="shared" si="5"/>
        <v>1</v>
      </c>
    </row>
    <row r="33" spans="1:29" ht="15">
      <c r="A33" s="2747" t="s">
        <v>2751</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452" t="s">
        <v>550</v>
      </c>
      <c r="Q33" s="1559" t="str">
        <f t="shared" si="11"/>
        <v>建筑类型</v>
      </c>
      <c r="R33" s="1560" t="s">
        <v>8</v>
      </c>
      <c r="S33" s="1561">
        <f t="shared" si="12"/>
        <v>100</v>
      </c>
      <c r="T33" s="1560" t="s">
        <v>8</v>
      </c>
      <c r="U33" s="1561">
        <f t="shared" si="13"/>
        <v>100</v>
      </c>
      <c r="V33" s="1560" t="s">
        <v>8</v>
      </c>
      <c r="W33" s="1561">
        <f t="shared" si="14"/>
        <v>100</v>
      </c>
      <c r="X33" s="1554"/>
      <c r="Y33" s="3453" t="s">
        <v>550</v>
      </c>
      <c r="Z33" s="1562" t="str">
        <f t="shared" si="15"/>
        <v>建筑类型</v>
      </c>
      <c r="AA33" s="1563">
        <f t="shared" si="3"/>
        <v>1</v>
      </c>
      <c r="AB33" s="1563">
        <f t="shared" si="4"/>
        <v>1</v>
      </c>
      <c r="AC33" s="1563">
        <f t="shared" si="5"/>
        <v>1</v>
      </c>
    </row>
    <row r="34" spans="1:29" s="1335" customFormat="1" ht="15">
      <c r="A34" s="603"/>
      <c r="B34" s="527" t="s">
        <v>726</v>
      </c>
      <c r="C34" s="880">
        <f>'数据-汇总表'!F19</f>
        <v>17100</v>
      </c>
      <c r="D34" s="255">
        <v>100</v>
      </c>
      <c r="E34" s="534">
        <v>575</v>
      </c>
      <c r="F34" s="863">
        <f>LOOKUP(E34,104:104,105:105)-LOOKUP(C34,104:104,105:105)+100</f>
        <v>106</v>
      </c>
      <c r="G34" s="533">
        <v>2000</v>
      </c>
      <c r="H34" s="255">
        <f>LOOKUP(G34,104:104,105:105)-LOOKUP(C34,104:104,105:105)+100</f>
        <v>100</v>
      </c>
      <c r="I34" s="533">
        <v>71.569999999999993</v>
      </c>
      <c r="J34" s="255">
        <f>LOOKUP(I34,104:104,105:105)-LOOKUP(C34,104:104,105:105)+100</f>
        <v>104</v>
      </c>
      <c r="K34" s="581"/>
      <c r="L34" s="2126"/>
      <c r="M34" s="2157"/>
      <c r="N34" s="2157"/>
      <c r="O34" s="2157"/>
      <c r="P34" s="3453"/>
      <c r="Q34" s="1591" t="str">
        <f t="shared" si="11"/>
        <v>项目建筑规模</v>
      </c>
      <c r="R34" s="1564" t="s">
        <v>8</v>
      </c>
      <c r="S34" s="1565">
        <f t="shared" si="12"/>
        <v>106</v>
      </c>
      <c r="T34" s="1564" t="s">
        <v>8</v>
      </c>
      <c r="U34" s="1565">
        <f t="shared" si="13"/>
        <v>100</v>
      </c>
      <c r="V34" s="1564" t="s">
        <v>8</v>
      </c>
      <c r="W34" s="1565">
        <f t="shared" si="14"/>
        <v>104</v>
      </c>
      <c r="X34" s="1566"/>
      <c r="Y34" s="3453"/>
      <c r="Z34" s="1567" t="str">
        <f t="shared" si="15"/>
        <v>项目建筑规模</v>
      </c>
      <c r="AA34" s="1563">
        <f t="shared" si="3"/>
        <v>0.94339622641509435</v>
      </c>
      <c r="AB34" s="1563">
        <f t="shared" si="4"/>
        <v>1</v>
      </c>
      <c r="AC34" s="1563">
        <f t="shared" si="5"/>
        <v>0.96153846153846156</v>
      </c>
    </row>
    <row r="35" spans="1:29" ht="15">
      <c r="A35" s="594"/>
      <c r="B35" s="527" t="s">
        <v>727</v>
      </c>
      <c r="C35" s="574" t="s">
        <v>3036</v>
      </c>
      <c r="D35" s="540">
        <v>100</v>
      </c>
      <c r="E35" s="574" t="s">
        <v>3036</v>
      </c>
      <c r="F35" s="575">
        <f>SUMIF(106:106,E35,107:107)-SUMIF(106:106,C35,107:107)+100</f>
        <v>100</v>
      </c>
      <c r="G35" s="574" t="s">
        <v>3036</v>
      </c>
      <c r="H35" s="540">
        <f>SUMIF(106:106,G35,107:107)-SUMIF(106:106,C35,107:107)+100</f>
        <v>100</v>
      </c>
      <c r="I35" s="574" t="s">
        <v>3036</v>
      </c>
      <c r="J35" s="540">
        <f>SUMIF(106:106,I35,107:107)-SUMIF(106:106,C35,107:107)+100</f>
        <v>100</v>
      </c>
      <c r="K35" s="584"/>
      <c r="L35" s="2128"/>
      <c r="M35" s="2120"/>
      <c r="N35" s="2120"/>
      <c r="O35" s="2120"/>
      <c r="P35" s="3453"/>
      <c r="Q35" s="1559" t="str">
        <f t="shared" si="11"/>
        <v>建筑结构</v>
      </c>
      <c r="R35" s="1560" t="s">
        <v>8</v>
      </c>
      <c r="S35" s="1561">
        <f t="shared" si="12"/>
        <v>100</v>
      </c>
      <c r="T35" s="1560" t="s">
        <v>8</v>
      </c>
      <c r="U35" s="1561">
        <f t="shared" si="13"/>
        <v>100</v>
      </c>
      <c r="V35" s="1560" t="s">
        <v>8</v>
      </c>
      <c r="W35" s="1561">
        <f t="shared" si="14"/>
        <v>100</v>
      </c>
      <c r="X35" s="1554"/>
      <c r="Y35" s="3453"/>
      <c r="Z35" s="1562" t="str">
        <f t="shared" si="15"/>
        <v>建筑结构</v>
      </c>
      <c r="AA35" s="1563">
        <f t="shared" si="3"/>
        <v>1</v>
      </c>
      <c r="AB35" s="1563">
        <f t="shared" si="4"/>
        <v>1</v>
      </c>
      <c r="AC35" s="1563">
        <f t="shared" si="5"/>
        <v>1</v>
      </c>
    </row>
    <row r="36" spans="1:29" ht="15">
      <c r="A36" s="594"/>
      <c r="B36" s="527" t="s">
        <v>763</v>
      </c>
      <c r="C36" s="574" t="s">
        <v>3038</v>
      </c>
      <c r="D36" s="540">
        <v>100</v>
      </c>
      <c r="E36" s="574" t="s">
        <v>3037</v>
      </c>
      <c r="F36" s="575">
        <f>SUMIF(108:108,E36,109:109)-SUMIF(108:108,C36,109:109)+100</f>
        <v>101</v>
      </c>
      <c r="G36" s="574" t="s">
        <v>3037</v>
      </c>
      <c r="H36" s="540">
        <f>SUMIF(108:108,G36,109:109)-SUMIF(108:108,C36,109:109)+100</f>
        <v>101</v>
      </c>
      <c r="I36" s="574" t="s">
        <v>3037</v>
      </c>
      <c r="J36" s="540">
        <f>SUMIF(108:108,I36,109:109)-SUMIF(108:108,C36,109:109)+100</f>
        <v>101</v>
      </c>
      <c r="K36" s="3199">
        <v>1</v>
      </c>
      <c r="L36" s="2128"/>
      <c r="M36" s="2120"/>
      <c r="N36" s="2120"/>
      <c r="O36" s="2120"/>
      <c r="P36" s="3453"/>
      <c r="Q36" s="1559" t="str">
        <f t="shared" si="11"/>
        <v>公共部分装修</v>
      </c>
      <c r="R36" s="1560" t="s">
        <v>8</v>
      </c>
      <c r="S36" s="1561">
        <f t="shared" si="12"/>
        <v>101</v>
      </c>
      <c r="T36" s="1560" t="s">
        <v>8</v>
      </c>
      <c r="U36" s="1561">
        <f t="shared" si="13"/>
        <v>101</v>
      </c>
      <c r="V36" s="1560" t="s">
        <v>8</v>
      </c>
      <c r="W36" s="1561">
        <f t="shared" si="14"/>
        <v>101</v>
      </c>
      <c r="X36" s="1554"/>
      <c r="Y36" s="3453"/>
      <c r="Z36" s="1562" t="str">
        <f t="shared" si="15"/>
        <v>公共部分装修</v>
      </c>
      <c r="AA36" s="1563">
        <f t="shared" si="3"/>
        <v>0.99009900990099009</v>
      </c>
      <c r="AB36" s="1563">
        <f t="shared" si="4"/>
        <v>0.99009900990099009</v>
      </c>
      <c r="AC36" s="1563">
        <f t="shared" si="5"/>
        <v>0.99009900990099009</v>
      </c>
    </row>
    <row r="37" spans="1:29" ht="15">
      <c r="A37" s="594"/>
      <c r="B37" s="527" t="s">
        <v>764</v>
      </c>
      <c r="C37" s="883">
        <v>1</v>
      </c>
      <c r="D37" s="540">
        <v>100</v>
      </c>
      <c r="E37" s="883">
        <v>1</v>
      </c>
      <c r="F37" s="575">
        <f>LOOKUP(E37,111:111,112:112)-LOOKUP(C37,111:111,112:112)+100</f>
        <v>100</v>
      </c>
      <c r="G37" s="883">
        <v>1</v>
      </c>
      <c r="H37" s="575">
        <f>LOOKUP(G37,111:111,112:112)-LOOKUP(C37,111:111,112:112)+100</f>
        <v>100</v>
      </c>
      <c r="I37" s="883">
        <v>1</v>
      </c>
      <c r="J37" s="540">
        <f>LOOKUP(I37,111:111,112:112)-LOOKUP(C37,111:111,112:112)+100</f>
        <v>100</v>
      </c>
      <c r="K37" s="584"/>
      <c r="L37" s="2128"/>
      <c r="M37" s="2120"/>
      <c r="N37" s="2120"/>
      <c r="O37" s="2120"/>
      <c r="P37" s="3453"/>
      <c r="Q37" s="1559" t="str">
        <f t="shared" si="11"/>
        <v>成新度</v>
      </c>
      <c r="R37" s="1560" t="s">
        <v>8</v>
      </c>
      <c r="S37" s="1561">
        <f t="shared" si="12"/>
        <v>100</v>
      </c>
      <c r="T37" s="1560" t="s">
        <v>8</v>
      </c>
      <c r="U37" s="1561">
        <f t="shared" si="13"/>
        <v>100</v>
      </c>
      <c r="V37" s="1560" t="s">
        <v>8</v>
      </c>
      <c r="W37" s="1561">
        <f t="shared" si="14"/>
        <v>100</v>
      </c>
      <c r="X37" s="1554"/>
      <c r="Y37" s="3453"/>
      <c r="Z37" s="1562" t="str">
        <f t="shared" si="15"/>
        <v>成新度</v>
      </c>
      <c r="AA37" s="1563">
        <f t="shared" si="3"/>
        <v>1</v>
      </c>
      <c r="AB37" s="1563">
        <f t="shared" si="4"/>
        <v>1</v>
      </c>
      <c r="AC37" s="1563">
        <f t="shared" si="5"/>
        <v>1</v>
      </c>
    </row>
    <row r="38" spans="1:29" s="1216" customFormat="1" ht="15">
      <c r="A38" s="600"/>
      <c r="B38" s="527" t="s">
        <v>781</v>
      </c>
      <c r="C38" s="574" t="s">
        <v>3041</v>
      </c>
      <c r="D38" s="255">
        <v>100</v>
      </c>
      <c r="E38" s="574" t="s">
        <v>3041</v>
      </c>
      <c r="F38" s="575">
        <f>SUMIF(113:113,E38,114:114)-SUMIF(113:113,C38,114:114)+100</f>
        <v>100</v>
      </c>
      <c r="G38" s="574" t="s">
        <v>3041</v>
      </c>
      <c r="H38" s="540">
        <f>SUMIF(113:113,G38,114:114)-SUMIF(113:113,C38,114:114)+100</f>
        <v>100</v>
      </c>
      <c r="I38" s="574" t="s">
        <v>3041</v>
      </c>
      <c r="J38" s="540">
        <f>SUMIF(113:113,I38,114:114)-SUMIF(113:113,C38,114:114)+100</f>
        <v>100</v>
      </c>
      <c r="K38" s="3200">
        <v>2</v>
      </c>
      <c r="L38" s="2121"/>
      <c r="M38" s="2122"/>
      <c r="N38" s="2122"/>
      <c r="O38" s="2122"/>
      <c r="P38" s="3453"/>
      <c r="Q38" s="1147" t="str">
        <f t="shared" si="11"/>
        <v>写字楼等级</v>
      </c>
      <c r="R38" s="1555" t="s">
        <v>8</v>
      </c>
      <c r="S38" s="1556">
        <f t="shared" si="12"/>
        <v>100</v>
      </c>
      <c r="T38" s="1555" t="s">
        <v>8</v>
      </c>
      <c r="U38" s="1556">
        <f t="shared" si="13"/>
        <v>100</v>
      </c>
      <c r="V38" s="1555" t="s">
        <v>8</v>
      </c>
      <c r="W38" s="1556">
        <f t="shared" si="14"/>
        <v>100</v>
      </c>
      <c r="X38" s="1557"/>
      <c r="Y38" s="3453"/>
      <c r="Z38" s="1146" t="str">
        <f t="shared" si="15"/>
        <v>写字楼等级</v>
      </c>
      <c r="AA38" s="1558">
        <f t="shared" si="3"/>
        <v>1</v>
      </c>
      <c r="AB38" s="1558">
        <f t="shared" si="4"/>
        <v>1</v>
      </c>
      <c r="AC38" s="1558">
        <f t="shared" si="5"/>
        <v>1</v>
      </c>
    </row>
    <row r="39" spans="1:29" ht="15">
      <c r="A39" s="594"/>
      <c r="B39" s="527" t="s">
        <v>782</v>
      </c>
      <c r="C39" s="574" t="s">
        <v>3043</v>
      </c>
      <c r="D39" s="540">
        <v>100</v>
      </c>
      <c r="E39" s="574" t="s">
        <v>3043</v>
      </c>
      <c r="F39" s="575">
        <f>SUMIF(115:115,E39,116:116)-SUMIF(115:115,C39,116:116)+100</f>
        <v>100</v>
      </c>
      <c r="G39" s="574" t="s">
        <v>3043</v>
      </c>
      <c r="H39" s="540">
        <f>SUMIF(115:115,G39,116:116)-SUMIF(115:115,C39,116:116)+100</f>
        <v>100</v>
      </c>
      <c r="I39" s="574" t="s">
        <v>3043</v>
      </c>
      <c r="J39" s="540">
        <f>SUMIF(115:115,I39,116:116)-SUMIF(115:115,C39,116:116)+100</f>
        <v>100</v>
      </c>
      <c r="K39" s="584">
        <v>2</v>
      </c>
      <c r="L39" s="2128"/>
      <c r="M39" s="2120"/>
      <c r="N39" s="2120"/>
      <c r="O39" s="2120"/>
      <c r="P39" s="3453" t="s">
        <v>550</v>
      </c>
      <c r="Q39" s="1559" t="str">
        <f t="shared" si="11"/>
        <v>物业管理</v>
      </c>
      <c r="R39" s="1560" t="s">
        <v>8</v>
      </c>
      <c r="S39" s="1561">
        <f t="shared" si="12"/>
        <v>100</v>
      </c>
      <c r="T39" s="1560" t="s">
        <v>8</v>
      </c>
      <c r="U39" s="1561">
        <f t="shared" si="13"/>
        <v>100</v>
      </c>
      <c r="V39" s="1560" t="s">
        <v>8</v>
      </c>
      <c r="W39" s="1561">
        <f t="shared" si="14"/>
        <v>100</v>
      </c>
      <c r="X39" s="1554"/>
      <c r="Y39" s="3453" t="s">
        <v>550</v>
      </c>
      <c r="Z39" s="1562" t="str">
        <f t="shared" si="15"/>
        <v>物业管理</v>
      </c>
      <c r="AA39" s="1563">
        <f t="shared" si="3"/>
        <v>1</v>
      </c>
      <c r="AB39" s="1563">
        <f t="shared" si="4"/>
        <v>1</v>
      </c>
      <c r="AC39" s="1563">
        <f t="shared" si="5"/>
        <v>1</v>
      </c>
    </row>
    <row r="40" spans="1:29" ht="15">
      <c r="A40" s="594"/>
      <c r="B40" s="1881" t="s">
        <v>2562</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453"/>
      <c r="Q40" s="1559" t="str">
        <f t="shared" si="11"/>
        <v>市政基础设施</v>
      </c>
      <c r="R40" s="1560" t="s">
        <v>8</v>
      </c>
      <c r="S40" s="1561">
        <f t="shared" si="12"/>
        <v>100</v>
      </c>
      <c r="T40" s="1560" t="s">
        <v>8</v>
      </c>
      <c r="U40" s="1561">
        <f t="shared" si="13"/>
        <v>100</v>
      </c>
      <c r="V40" s="1560" t="s">
        <v>8</v>
      </c>
      <c r="W40" s="1561">
        <f t="shared" si="14"/>
        <v>100</v>
      </c>
      <c r="X40" s="1554"/>
      <c r="Y40" s="3453"/>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453"/>
      <c r="Q41" s="1559" t="str">
        <f t="shared" si="11"/>
        <v>层高</v>
      </c>
      <c r="R41" s="1560" t="s">
        <v>8</v>
      </c>
      <c r="S41" s="1561">
        <f t="shared" si="12"/>
        <v>100</v>
      </c>
      <c r="T41" s="1560" t="s">
        <v>8</v>
      </c>
      <c r="U41" s="1561">
        <f t="shared" si="13"/>
        <v>100</v>
      </c>
      <c r="V41" s="1560" t="s">
        <v>8</v>
      </c>
      <c r="W41" s="1561">
        <f t="shared" si="14"/>
        <v>100</v>
      </c>
      <c r="X41" s="1554"/>
      <c r="Y41" s="3453"/>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453"/>
      <c r="Q42" s="1591" t="str">
        <f t="shared" si="11"/>
        <v>单套建筑面积</v>
      </c>
      <c r="R42" s="1564" t="s">
        <v>8</v>
      </c>
      <c r="S42" s="1565">
        <f t="shared" si="12"/>
        <v>100</v>
      </c>
      <c r="T42" s="1564" t="s">
        <v>8</v>
      </c>
      <c r="U42" s="1565">
        <f t="shared" si="13"/>
        <v>100</v>
      </c>
      <c r="V42" s="1564" t="s">
        <v>8</v>
      </c>
      <c r="W42" s="1565">
        <f t="shared" si="14"/>
        <v>100</v>
      </c>
      <c r="X42" s="1566"/>
      <c r="Y42" s="3453"/>
      <c r="Z42" s="1567" t="str">
        <f t="shared" si="15"/>
        <v>单套建筑面积</v>
      </c>
      <c r="AA42" s="1563">
        <f t="shared" si="3"/>
        <v>1</v>
      </c>
      <c r="AB42" s="1563">
        <f t="shared" si="4"/>
        <v>1</v>
      </c>
      <c r="AC42" s="1563">
        <f t="shared" si="5"/>
        <v>1</v>
      </c>
    </row>
    <row r="43" spans="1:29" ht="15">
      <c r="A43" s="594"/>
      <c r="B43" s="527" t="s">
        <v>770</v>
      </c>
      <c r="C43" s="574" t="s">
        <v>3040</v>
      </c>
      <c r="D43" s="540">
        <v>100</v>
      </c>
      <c r="E43" s="574" t="s">
        <v>3037</v>
      </c>
      <c r="F43" s="575">
        <f>SUMIF(123:123,E43,124:124)-SUMIF(123:123,C43,124:124)+100</f>
        <v>103</v>
      </c>
      <c r="G43" s="574" t="s">
        <v>3037</v>
      </c>
      <c r="H43" s="540">
        <f>SUMIF(123:123,G43,124:124)-SUMIF(123:123,C43,124:124)+100</f>
        <v>103</v>
      </c>
      <c r="I43" s="574" t="s">
        <v>3039</v>
      </c>
      <c r="J43" s="540">
        <f>SUMIF(123:123,I43,124:124)-SUMIF(123:123,C43,124:124)+100</f>
        <v>101</v>
      </c>
      <c r="K43" s="3199">
        <v>1</v>
      </c>
      <c r="L43" s="2128"/>
      <c r="M43" s="2120"/>
      <c r="N43" s="2120"/>
      <c r="O43" s="2120"/>
      <c r="P43" s="3453"/>
      <c r="Q43" s="1559" t="str">
        <f t="shared" si="11"/>
        <v>内部装修</v>
      </c>
      <c r="R43" s="1560" t="s">
        <v>8</v>
      </c>
      <c r="S43" s="1561">
        <f t="shared" si="12"/>
        <v>103</v>
      </c>
      <c r="T43" s="1560" t="s">
        <v>8</v>
      </c>
      <c r="U43" s="1561">
        <f t="shared" si="13"/>
        <v>103</v>
      </c>
      <c r="V43" s="1560" t="s">
        <v>8</v>
      </c>
      <c r="W43" s="1561">
        <f t="shared" si="14"/>
        <v>101</v>
      </c>
      <c r="X43" s="1554"/>
      <c r="Y43" s="3453"/>
      <c r="Z43" s="1562" t="str">
        <f t="shared" si="15"/>
        <v>内部装修</v>
      </c>
      <c r="AA43" s="1563">
        <f t="shared" si="3"/>
        <v>0.970873786407767</v>
      </c>
      <c r="AB43" s="1563">
        <f t="shared" si="4"/>
        <v>0.970873786407767</v>
      </c>
      <c r="AC43" s="1563">
        <f t="shared" si="5"/>
        <v>0.99009900990099009</v>
      </c>
    </row>
    <row r="44" spans="1:29" ht="27">
      <c r="A44" s="594"/>
      <c r="B44" s="527" t="s">
        <v>735</v>
      </c>
      <c r="C44" s="574" t="s">
        <v>3022</v>
      </c>
      <c r="D44" s="540">
        <v>100</v>
      </c>
      <c r="E44" s="574" t="s">
        <v>3022</v>
      </c>
      <c r="F44" s="575">
        <f>SUMIF(125:125,E44,126:126)-SUMIF(125:125,C44,126:126)+100</f>
        <v>100</v>
      </c>
      <c r="G44" s="574" t="s">
        <v>3022</v>
      </c>
      <c r="H44" s="540">
        <f>SUMIF(125:125,G44,126:126)-SUMIF(125:125,C44,126:126)+100</f>
        <v>100</v>
      </c>
      <c r="I44" s="574" t="s">
        <v>3022</v>
      </c>
      <c r="J44" s="540">
        <f>SUMIF(125:125,I44,126:126)-SUMIF(125:125,C44,126:126)+100</f>
        <v>100</v>
      </c>
      <c r="K44" s="584">
        <v>1</v>
      </c>
      <c r="L44" s="2128"/>
      <c r="M44" s="2120"/>
      <c r="N44" s="2120"/>
      <c r="O44" s="2120"/>
      <c r="P44" s="3453"/>
      <c r="Q44" s="1559" t="str">
        <f t="shared" si="11"/>
        <v>内部装修维护情况</v>
      </c>
      <c r="R44" s="1560" t="s">
        <v>8</v>
      </c>
      <c r="S44" s="1561">
        <f t="shared" si="12"/>
        <v>100</v>
      </c>
      <c r="T44" s="1560" t="s">
        <v>8</v>
      </c>
      <c r="U44" s="1561">
        <f t="shared" si="13"/>
        <v>100</v>
      </c>
      <c r="V44" s="1560" t="s">
        <v>8</v>
      </c>
      <c r="W44" s="1561">
        <f t="shared" si="14"/>
        <v>100</v>
      </c>
      <c r="X44" s="1554"/>
      <c r="Y44" s="3453"/>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453"/>
      <c r="Q45" s="1147">
        <f t="shared" si="11"/>
        <v>111</v>
      </c>
      <c r="R45" s="1555" t="s">
        <v>8</v>
      </c>
      <c r="S45" s="1556">
        <f t="shared" si="12"/>
        <v>100</v>
      </c>
      <c r="T45" s="1555" t="s">
        <v>8</v>
      </c>
      <c r="U45" s="1556">
        <f t="shared" si="13"/>
        <v>100</v>
      </c>
      <c r="V45" s="1555" t="s">
        <v>8</v>
      </c>
      <c r="W45" s="1556">
        <f t="shared" si="14"/>
        <v>100</v>
      </c>
      <c r="X45" s="1557"/>
      <c r="Y45" s="3453"/>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453"/>
      <c r="Q46" s="1559">
        <f t="shared" si="11"/>
        <v>111</v>
      </c>
      <c r="R46" s="1560" t="s">
        <v>8</v>
      </c>
      <c r="S46" s="1561">
        <f t="shared" si="12"/>
        <v>100</v>
      </c>
      <c r="T46" s="1560" t="s">
        <v>8</v>
      </c>
      <c r="U46" s="1561">
        <f t="shared" si="13"/>
        <v>100</v>
      </c>
      <c r="V46" s="1560" t="s">
        <v>8</v>
      </c>
      <c r="W46" s="1561">
        <f t="shared" si="14"/>
        <v>100</v>
      </c>
      <c r="X46" s="1554"/>
      <c r="Y46" s="3453"/>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99"/>
      <c r="Q47" s="1559">
        <f t="shared" si="11"/>
        <v>111</v>
      </c>
      <c r="R47" s="1560" t="s">
        <v>8</v>
      </c>
      <c r="S47" s="1561">
        <f t="shared" si="12"/>
        <v>100</v>
      </c>
      <c r="T47" s="1560" t="s">
        <v>8</v>
      </c>
      <c r="U47" s="1561">
        <f t="shared" si="13"/>
        <v>100</v>
      </c>
      <c r="V47" s="1560" t="s">
        <v>8</v>
      </c>
      <c r="W47" s="1561">
        <f t="shared" si="14"/>
        <v>100</v>
      </c>
      <c r="X47" s="1554"/>
      <c r="Y47" s="3499"/>
      <c r="Z47" s="1562">
        <f t="shared" si="15"/>
        <v>111</v>
      </c>
      <c r="AA47" s="1563">
        <f t="shared" si="3"/>
        <v>1</v>
      </c>
      <c r="AB47" s="1563">
        <f t="shared" si="4"/>
        <v>1</v>
      </c>
      <c r="AC47" s="1563">
        <f t="shared" si="5"/>
        <v>1</v>
      </c>
    </row>
    <row r="48" spans="1:29" ht="15">
      <c r="A48" s="607" t="s">
        <v>736</v>
      </c>
      <c r="B48" s="887"/>
      <c r="C48" s="2592" t="s">
        <v>1</v>
      </c>
      <c r="D48" s="2593"/>
      <c r="E48" s="2594">
        <v>22600</v>
      </c>
      <c r="F48" s="2595"/>
      <c r="G48" s="2596">
        <v>25000</v>
      </c>
      <c r="H48" s="2597"/>
      <c r="I48" s="2594">
        <v>29300</v>
      </c>
      <c r="J48" s="2597"/>
      <c r="K48" s="1597"/>
      <c r="L48" s="2130"/>
      <c r="M48" s="2120"/>
      <c r="N48" s="2120"/>
      <c r="O48" s="2120"/>
      <c r="P48" s="3414" t="str">
        <f>A48</f>
        <v>成交单价（元/平方米）</v>
      </c>
      <c r="Q48" s="3416"/>
      <c r="R48" s="3498">
        <f>E48</f>
        <v>22600</v>
      </c>
      <c r="S48" s="3498"/>
      <c r="T48" s="3498">
        <f>G48</f>
        <v>25000</v>
      </c>
      <c r="U48" s="3498"/>
      <c r="V48" s="3498">
        <f>I48</f>
        <v>29300</v>
      </c>
      <c r="W48" s="3498"/>
      <c r="X48" s="1546"/>
      <c r="Y48" s="1568"/>
      <c r="Z48" s="1546"/>
      <c r="AA48" s="1546"/>
      <c r="AB48" s="1546"/>
      <c r="AC48" s="1546"/>
    </row>
    <row r="49" spans="1:29" ht="15.75" thickBot="1">
      <c r="A49" s="615" t="s">
        <v>2756</v>
      </c>
      <c r="B49" s="888"/>
      <c r="C49" s="2598">
        <f>R50</f>
        <v>24149</v>
      </c>
      <c r="D49" s="2599"/>
      <c r="E49" s="2600">
        <f>R49</f>
        <v>21129</v>
      </c>
      <c r="F49" s="2600"/>
      <c r="G49" s="2598">
        <f>T49</f>
        <v>24775</v>
      </c>
      <c r="H49" s="2599"/>
      <c r="I49" s="2600">
        <f>V49</f>
        <v>26543</v>
      </c>
      <c r="J49" s="2599"/>
      <c r="K49" s="1598"/>
      <c r="L49" s="2130"/>
      <c r="M49" s="2120"/>
      <c r="N49" s="2120"/>
      <c r="O49" s="2120"/>
      <c r="P49" s="3414" t="str">
        <f>A49</f>
        <v>比较价格（元/平方米）</v>
      </c>
      <c r="Q49" s="3416"/>
      <c r="R49" s="3498">
        <f>IF(F1="售价",ROUND(PRODUCT(R48,AA7:AA47),0),ROUND(PRODUCT(R48,AA7:AA47),1))</f>
        <v>21129</v>
      </c>
      <c r="S49" s="3498"/>
      <c r="T49" s="3498">
        <f>IF(F1="售价",ROUND(PRODUCT(T48,AB7:AB47),0),ROUND(PRODUCT(T48,AB7:AB47),1))</f>
        <v>24775</v>
      </c>
      <c r="U49" s="3498"/>
      <c r="V49" s="3498">
        <f>IF(F1="售价",ROUND(PRODUCT(V48,AC7:AC47),0),ROUND(PRODUCT(V48,AC7:AC47),1))</f>
        <v>26543</v>
      </c>
      <c r="W49" s="3498"/>
      <c r="X49" s="1546"/>
      <c r="Y49" s="1546"/>
      <c r="Z49" s="1546"/>
      <c r="AA49" s="1546"/>
      <c r="AB49" s="1546"/>
      <c r="AC49" s="1546"/>
    </row>
    <row r="50" spans="1:29" ht="15.75" thickBot="1">
      <c r="A50" s="621" t="s">
        <v>2932</v>
      </c>
      <c r="B50" s="622"/>
      <c r="C50" s="2601">
        <f>R50</f>
        <v>24149</v>
      </c>
      <c r="D50" s="2601"/>
      <c r="E50" s="2601"/>
      <c r="F50" s="2601"/>
      <c r="G50" s="2601"/>
      <c r="H50" s="2601"/>
      <c r="I50" s="2601"/>
      <c r="J50" s="2601"/>
      <c r="K50" s="1599"/>
      <c r="L50" s="2130"/>
      <c r="M50" s="2120"/>
      <c r="N50" s="2120"/>
      <c r="O50" s="2120"/>
      <c r="P50" s="3500" t="str">
        <f>A50</f>
        <v>估价对象XX用房的比较价格（楼面单价，元/平方米）</v>
      </c>
      <c r="Q50" s="3414"/>
      <c r="R50" s="3497">
        <f>IF(F1="售价",ROUND(AVERAGE(R49:V49),0),ROUND(AVERAGE(R49:V49),1))</f>
        <v>24149</v>
      </c>
      <c r="S50" s="3497"/>
      <c r="T50" s="3497"/>
      <c r="U50" s="3497"/>
      <c r="V50" s="3497"/>
      <c r="W50" s="3497"/>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6.9619953618249797E-2</v>
      </c>
      <c r="F53" s="627" t="str">
        <f>IF(OR(E53&gt;=0.3,E53&lt;=-0.3),"超过30%","")</f>
        <v/>
      </c>
      <c r="G53" s="626">
        <f>IF(G48&lt;G49,G49/G48-1,G48/G49-1)</f>
        <v>9.0817356205852295E-3</v>
      </c>
      <c r="H53" s="627" t="str">
        <f>IF(OR(G53&gt;=0.3,G53&lt;=-0.3),"超过30%","")</f>
        <v/>
      </c>
      <c r="I53" s="626">
        <f>IF(I48&lt;I49,I49/I48-1,I48/I49-1)</f>
        <v>0.10386919338431988</v>
      </c>
      <c r="J53" s="627" t="str">
        <f>IF(OR(I53&gt;=0.3,I53&lt;=-0.3),"超过30%","")</f>
        <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0.17255904207487349</v>
      </c>
      <c r="F54" s="627" t="str">
        <f>IF(OR(E54&gt;=0.2,E54&lt;=-0.2),"超过20%","")</f>
        <v/>
      </c>
      <c r="G54" s="626">
        <f>IF(G49&lt;I49,I49/G49-1,G49/I49-1)</f>
        <v>7.136226034308768E-2</v>
      </c>
      <c r="H54" s="627" t="str">
        <f>IF(OR(G54&gt;=0.2,G54&lt;=-0.2),"超过20%","")</f>
        <v/>
      </c>
      <c r="I54" s="626">
        <f>IF(I49&lt;E49,E49/I49-1,I49/E49-1)</f>
        <v>0.25623550570306208</v>
      </c>
      <c r="J54" s="627" t="str">
        <f>IF(OR(I54&gt;=0.2,I54&lt;=-0.2),"超过20%","")</f>
        <v>超过20%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0.10619469026548667</v>
      </c>
      <c r="F55" s="627" t="str">
        <f>IF(OR(E55&gt;=0.3,E55&lt;=-0.3),"超过30%","")</f>
        <v/>
      </c>
      <c r="G55" s="626">
        <f>IF(G48&lt;I48,I48/G48-1,G48/I48-1)</f>
        <v>0.17199999999999993</v>
      </c>
      <c r="H55" s="627" t="str">
        <f>IF(OR(G55&gt;=0.3,G55&lt;=-0.3),"超过30%","")</f>
        <v/>
      </c>
      <c r="I55" s="626">
        <f>IF(I48&lt;E48,E48/I48-1,I48/E48-1)</f>
        <v>0.29646017699115035</v>
      </c>
      <c r="J55" s="627" t="str">
        <f>IF(OR(I55&gt;=0.3,I55&lt;=-0.3),"超过30%","")</f>
        <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642" t="str">
        <f>YEAR(C7)&amp;"-"&amp;MONTH(C7)</f>
        <v>2020-6</v>
      </c>
      <c r="D59" s="2644">
        <f>EDATE(C59,-1)</f>
        <v>43952</v>
      </c>
      <c r="E59" s="2644">
        <f t="shared" ref="E59:O59" si="16">EDATE(D59,-1)</f>
        <v>43922</v>
      </c>
      <c r="F59" s="2644">
        <f t="shared" si="16"/>
        <v>43891</v>
      </c>
      <c r="G59" s="2644">
        <f t="shared" si="16"/>
        <v>43862</v>
      </c>
      <c r="H59" s="2644">
        <f t="shared" si="16"/>
        <v>43831</v>
      </c>
      <c r="I59" s="2644">
        <f t="shared" si="16"/>
        <v>43800</v>
      </c>
      <c r="J59" s="2644">
        <f t="shared" si="16"/>
        <v>43770</v>
      </c>
      <c r="K59" s="2644">
        <f t="shared" si="16"/>
        <v>43739</v>
      </c>
      <c r="L59" s="2644">
        <f t="shared" si="16"/>
        <v>43709</v>
      </c>
      <c r="M59" s="2644">
        <f t="shared" si="16"/>
        <v>43678</v>
      </c>
      <c r="N59" s="2644">
        <f t="shared" si="16"/>
        <v>43647</v>
      </c>
      <c r="O59" s="2644">
        <f t="shared" si="16"/>
        <v>43617</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v>100</v>
      </c>
      <c r="E60" s="650">
        <v>100</v>
      </c>
      <c r="F60" s="650">
        <v>100</v>
      </c>
      <c r="G60" s="650">
        <v>100</v>
      </c>
      <c r="H60" s="650">
        <v>100</v>
      </c>
      <c r="I60" s="650">
        <v>100</v>
      </c>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t="str">
        <f>C9</f>
        <v>办公</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98</v>
      </c>
      <c r="G67" s="679">
        <f>F67-$K10</f>
        <v>96</v>
      </c>
      <c r="H67" s="679">
        <f>G67-$K10</f>
        <v>94</v>
      </c>
      <c r="I67" s="679">
        <f>H67-$K10</f>
        <v>92</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1（含）-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v>1</v>
      </c>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98</v>
      </c>
      <c r="E78" s="679">
        <f>D78-$K15</f>
        <v>96</v>
      </c>
      <c r="F78" s="679">
        <f>E78-$K15</f>
        <v>94</v>
      </c>
      <c r="G78" s="679">
        <f>F78-$K15</f>
        <v>92</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99</v>
      </c>
      <c r="E80" s="679">
        <f>D80-$K17</f>
        <v>98</v>
      </c>
      <c r="F80" s="679">
        <f>E80-$K17</f>
        <v>97</v>
      </c>
      <c r="G80" s="679">
        <f>F80-$K17</f>
        <v>96</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2554</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99</v>
      </c>
      <c r="E82" s="679">
        <f>D82-$K19</f>
        <v>98</v>
      </c>
      <c r="F82" s="679">
        <f>E82-$K19</f>
        <v>97</v>
      </c>
      <c r="G82" s="679">
        <f>F82-$K19</f>
        <v>96</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2555</v>
      </c>
      <c r="C83" s="2563" t="s">
        <v>2556</v>
      </c>
      <c r="D83" s="2563" t="s">
        <v>2557</v>
      </c>
      <c r="E83" s="2563" t="s">
        <v>2558</v>
      </c>
      <c r="F83" s="2563" t="s">
        <v>2559</v>
      </c>
      <c r="G83" s="2563" t="s">
        <v>2560</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99</v>
      </c>
      <c r="E84" s="679">
        <f>D84-$K21</f>
        <v>98</v>
      </c>
      <c r="F84" s="679">
        <f>E84-$K21</f>
        <v>97</v>
      </c>
      <c r="G84" s="679">
        <f>F84-$K21</f>
        <v>96</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99</v>
      </c>
      <c r="E86" s="679">
        <f>D86-$K23</f>
        <v>98</v>
      </c>
      <c r="F86" s="679">
        <f>E86-$K23</f>
        <v>97</v>
      </c>
      <c r="G86" s="679">
        <f>F86-$K23</f>
        <v>96</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3193" t="s">
        <v>3032</v>
      </c>
      <c r="D87" s="3193" t="s">
        <v>3033</v>
      </c>
      <c r="E87" s="3193" t="s">
        <v>3034</v>
      </c>
      <c r="F87" s="3193" t="s">
        <v>3035</v>
      </c>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97</v>
      </c>
      <c r="E88" s="679">
        <f t="shared" si="19"/>
        <v>94</v>
      </c>
      <c r="F88" s="679">
        <f t="shared" si="19"/>
        <v>91</v>
      </c>
      <c r="G88" s="679">
        <f t="shared" si="19"/>
        <v>88</v>
      </c>
      <c r="H88" s="679">
        <f t="shared" si="19"/>
        <v>85</v>
      </c>
      <c r="I88" s="679">
        <f t="shared" si="19"/>
        <v>82</v>
      </c>
      <c r="J88" s="679">
        <f t="shared" si="19"/>
        <v>79</v>
      </c>
      <c r="K88" s="679">
        <f t="shared" si="19"/>
        <v>76</v>
      </c>
      <c r="L88" s="679">
        <f t="shared" si="19"/>
        <v>73</v>
      </c>
      <c r="M88" s="679">
        <f t="shared" si="19"/>
        <v>70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29.25" thickTop="1">
      <c r="A103" s="669"/>
      <c r="B103" s="673" t="s">
        <v>748</v>
      </c>
      <c r="C103" s="708" t="str">
        <f>C104&amp;"(含)"&amp;"-"&amp;D104</f>
        <v>0(含)-500</v>
      </c>
      <c r="D103" s="708" t="str">
        <f t="shared" ref="D103:L103" si="23">D104&amp;"(含)"&amp;"-"&amp;E104</f>
        <v>500(含)-1000</v>
      </c>
      <c r="E103" s="708" t="str">
        <f t="shared" si="23"/>
        <v>1000(含)-1500</v>
      </c>
      <c r="F103" s="708" t="str">
        <f t="shared" si="23"/>
        <v>1500(含)-2000</v>
      </c>
      <c r="G103" s="708" t="str">
        <f t="shared" si="23"/>
        <v>2000(含)-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3195">
        <v>0</v>
      </c>
      <c r="D104" s="3195">
        <v>500</v>
      </c>
      <c r="E104" s="3195">
        <v>1000</v>
      </c>
      <c r="F104" s="3195">
        <v>1500</v>
      </c>
      <c r="G104" s="3195">
        <v>2000</v>
      </c>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3196">
        <v>100</v>
      </c>
      <c r="D105" s="3197">
        <v>102</v>
      </c>
      <c r="E105" s="3197">
        <v>100</v>
      </c>
      <c r="F105" s="3197">
        <v>98</v>
      </c>
      <c r="G105" s="3197">
        <v>96</v>
      </c>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3193" t="s">
        <v>3036</v>
      </c>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3193" t="s">
        <v>3037</v>
      </c>
      <c r="D108" s="3193" t="s">
        <v>3038</v>
      </c>
      <c r="E108" s="3193" t="s">
        <v>3039</v>
      </c>
      <c r="F108" s="3198" t="s">
        <v>3040</v>
      </c>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99</v>
      </c>
      <c r="E109" s="679">
        <f t="shared" si="25"/>
        <v>98</v>
      </c>
      <c r="F109" s="679">
        <f t="shared" si="25"/>
        <v>97</v>
      </c>
      <c r="G109" s="679">
        <f t="shared" si="25"/>
        <v>96</v>
      </c>
      <c r="H109" s="679">
        <f t="shared" si="25"/>
        <v>95</v>
      </c>
      <c r="I109" s="679">
        <f t="shared" si="25"/>
        <v>94</v>
      </c>
      <c r="J109" s="679">
        <f t="shared" si="25"/>
        <v>93</v>
      </c>
      <c r="K109" s="679">
        <f t="shared" si="25"/>
        <v>92</v>
      </c>
      <c r="L109" s="679">
        <f t="shared" si="25"/>
        <v>91</v>
      </c>
      <c r="M109" s="680">
        <f t="shared" si="25"/>
        <v>90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3193" t="s">
        <v>3041</v>
      </c>
      <c r="D113" s="3193" t="s">
        <v>3042</v>
      </c>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98</v>
      </c>
      <c r="E114" s="679">
        <f t="shared" ref="E114:M114" si="27">D114-$K38</f>
        <v>96</v>
      </c>
      <c r="F114" s="679">
        <f t="shared" si="27"/>
        <v>94</v>
      </c>
      <c r="G114" s="679">
        <f t="shared" si="27"/>
        <v>92</v>
      </c>
      <c r="H114" s="679">
        <f t="shared" si="27"/>
        <v>90</v>
      </c>
      <c r="I114" s="679">
        <f t="shared" si="27"/>
        <v>88</v>
      </c>
      <c r="J114" s="679">
        <f t="shared" si="27"/>
        <v>86</v>
      </c>
      <c r="K114" s="679">
        <f t="shared" si="27"/>
        <v>84</v>
      </c>
      <c r="L114" s="679">
        <f t="shared" si="27"/>
        <v>82</v>
      </c>
      <c r="M114" s="679">
        <f t="shared" si="27"/>
        <v>80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3193" t="s">
        <v>3043</v>
      </c>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98</v>
      </c>
      <c r="E116" s="679">
        <f t="shared" si="28"/>
        <v>96</v>
      </c>
      <c r="F116" s="679">
        <f t="shared" si="28"/>
        <v>94</v>
      </c>
      <c r="G116" s="679">
        <f t="shared" si="28"/>
        <v>92</v>
      </c>
      <c r="H116" s="679">
        <f t="shared" si="28"/>
        <v>90</v>
      </c>
      <c r="I116" s="679">
        <f t="shared" si="28"/>
        <v>88</v>
      </c>
      <c r="J116" s="679">
        <f t="shared" si="28"/>
        <v>86</v>
      </c>
      <c r="K116" s="679">
        <f t="shared" si="28"/>
        <v>84</v>
      </c>
      <c r="L116" s="679">
        <f t="shared" si="28"/>
        <v>82</v>
      </c>
      <c r="M116" s="680">
        <f t="shared" si="28"/>
        <v>80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2553</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3193" t="s">
        <v>3037</v>
      </c>
      <c r="D123" s="3193" t="s">
        <v>3038</v>
      </c>
      <c r="E123" s="3193" t="s">
        <v>3039</v>
      </c>
      <c r="F123" s="3198" t="s">
        <v>3040</v>
      </c>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99</v>
      </c>
      <c r="E124" s="679">
        <f t="shared" si="30"/>
        <v>98</v>
      </c>
      <c r="F124" s="679">
        <f t="shared" si="30"/>
        <v>97</v>
      </c>
      <c r="G124" s="679">
        <f t="shared" si="30"/>
        <v>96</v>
      </c>
      <c r="H124" s="679">
        <f t="shared" si="30"/>
        <v>95</v>
      </c>
      <c r="I124" s="679">
        <f t="shared" si="30"/>
        <v>94</v>
      </c>
      <c r="J124" s="679">
        <f t="shared" si="30"/>
        <v>93</v>
      </c>
      <c r="K124" s="679">
        <f t="shared" si="30"/>
        <v>92</v>
      </c>
      <c r="L124" s="679">
        <f t="shared" si="30"/>
        <v>91</v>
      </c>
      <c r="M124" s="680">
        <f t="shared" si="30"/>
        <v>90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99</v>
      </c>
      <c r="E126" s="679">
        <f>D126-$K44</f>
        <v>98</v>
      </c>
      <c r="F126" s="679">
        <f>E126-$K44</f>
        <v>97</v>
      </c>
      <c r="G126" s="679">
        <f>F126-$K44</f>
        <v>96</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3193" t="s">
        <v>1678</v>
      </c>
      <c r="D127" s="3193" t="s">
        <v>3044</v>
      </c>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v>100</v>
      </c>
      <c r="D128" s="671">
        <v>90</v>
      </c>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9" priority="16" stopIfTrue="1" operator="containsText" text="超过">
      <formula>NOT(ISERROR(SEARCH("超过",F53)))</formula>
    </cfRule>
  </conditionalFormatting>
  <conditionalFormatting sqref="H55">
    <cfRule type="containsText" dxfId="78" priority="15" stopIfTrue="1" operator="containsText" text="超过">
      <formula>NOT(ISERROR(SEARCH("超过",H55)))</formula>
    </cfRule>
  </conditionalFormatting>
  <conditionalFormatting sqref="F55">
    <cfRule type="containsText" dxfId="77" priority="14" stopIfTrue="1" operator="containsText" text="超过">
      <formula>NOT(ISERROR(SEARCH("超过",F55)))</formula>
    </cfRule>
  </conditionalFormatting>
  <conditionalFormatting sqref="F54 H54">
    <cfRule type="containsText" dxfId="76" priority="13" stopIfTrue="1" operator="containsText" text="超过">
      <formula>NOT(ISERROR(SEARCH("超过",F54)))</formula>
    </cfRule>
  </conditionalFormatting>
  <conditionalFormatting sqref="E53">
    <cfRule type="expression" dxfId="75" priority="12" stopIfTrue="1">
      <formula>$F$53="超过30%"</formula>
    </cfRule>
  </conditionalFormatting>
  <conditionalFormatting sqref="E54">
    <cfRule type="expression" dxfId="74" priority="11" stopIfTrue="1">
      <formula>$F$54="超过20%"</formula>
    </cfRule>
  </conditionalFormatting>
  <conditionalFormatting sqref="E55">
    <cfRule type="expression" dxfId="73" priority="10" stopIfTrue="1">
      <formula>$F$55="超过30%"</formula>
    </cfRule>
  </conditionalFormatting>
  <conditionalFormatting sqref="G55">
    <cfRule type="expression" dxfId="72" priority="9" stopIfTrue="1">
      <formula>$H$55="超过30%"</formula>
    </cfRule>
  </conditionalFormatting>
  <conditionalFormatting sqref="G53">
    <cfRule type="expression" dxfId="71" priority="8" stopIfTrue="1">
      <formula>$H$53="超过30%"</formula>
    </cfRule>
  </conditionalFormatting>
  <conditionalFormatting sqref="G54">
    <cfRule type="expression" dxfId="70" priority="7" stopIfTrue="1">
      <formula>$H$54="超过20%"</formula>
    </cfRule>
  </conditionalFormatting>
  <conditionalFormatting sqref="J53">
    <cfRule type="containsText" dxfId="69" priority="6" stopIfTrue="1" operator="containsText" text="超过">
      <formula>NOT(ISERROR(SEARCH("超过",J53)))</formula>
    </cfRule>
  </conditionalFormatting>
  <conditionalFormatting sqref="J55">
    <cfRule type="containsText" dxfId="68" priority="5" stopIfTrue="1" operator="containsText" text="超过">
      <formula>NOT(ISERROR(SEARCH("超过",J55)))</formula>
    </cfRule>
  </conditionalFormatting>
  <conditionalFormatting sqref="J54">
    <cfRule type="containsText" dxfId="67" priority="4" stopIfTrue="1" operator="containsText" text="超过">
      <formula>NOT(ISERROR(SEARCH("超过",J54)))</formula>
    </cfRule>
  </conditionalFormatting>
  <conditionalFormatting sqref="I53">
    <cfRule type="expression" dxfId="66" priority="3" stopIfTrue="1">
      <formula>$J$53="超过30%"</formula>
    </cfRule>
  </conditionalFormatting>
  <conditionalFormatting sqref="I54">
    <cfRule type="expression" dxfId="65" priority="2" stopIfTrue="1">
      <formula>$J$53+$J$54="超过20%"</formula>
    </cfRule>
  </conditionalFormatting>
  <conditionalFormatting sqref="I55">
    <cfRule type="expression" dxfId="6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249977111117893"/>
  </sheetPr>
  <dimension ref="A29:D90"/>
  <sheetViews>
    <sheetView topLeftCell="A22" zoomScale="70" zoomScaleNormal="70" workbookViewId="0">
      <selection activeCell="J16" sqref="J16"/>
    </sheetView>
  </sheetViews>
  <sheetFormatPr defaultColWidth="8.875" defaultRowHeight="13.5"/>
  <cols>
    <col min="1" max="16384" width="8.875" style="3190"/>
  </cols>
  <sheetData>
    <row r="29" spans="1:4">
      <c r="A29" s="3190" t="s">
        <v>3004</v>
      </c>
      <c r="B29" s="3190" t="s">
        <v>3005</v>
      </c>
      <c r="D29" s="3191">
        <v>22600</v>
      </c>
    </row>
    <row r="60" spans="1:4">
      <c r="A60" s="3190" t="s">
        <v>3006</v>
      </c>
      <c r="B60" s="3190" t="str">
        <f>B29</f>
        <v>金融街园中园</v>
      </c>
      <c r="D60" s="3191">
        <v>25000</v>
      </c>
    </row>
    <row r="90" spans="1:4">
      <c r="A90" s="3190" t="s">
        <v>3007</v>
      </c>
      <c r="B90" s="3190" t="s">
        <v>3008</v>
      </c>
      <c r="D90" s="3191">
        <v>29300</v>
      </c>
    </row>
  </sheetData>
  <phoneticPr fontId="228" type="noConversion"/>
  <pageMargins left="0.75" right="0.75" top="1" bottom="1" header="0.3" footer="0.3"/>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80" zoomScaleNormal="80" workbookViewId="0">
      <selection activeCell="D28" sqref="D28"/>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25" style="2045" customWidth="1"/>
    <col min="17" max="17" width="13.75" style="2045" customWidth="1"/>
    <col min="18" max="18" width="22.25" style="2045" customWidth="1"/>
    <col min="19" max="19" width="1.5" style="2045" customWidth="1"/>
    <col min="20" max="25" width="9" style="2045"/>
    <col min="26" max="16384" width="9" style="2046"/>
  </cols>
  <sheetData>
    <row r="1" spans="1:25" s="2040" customFormat="1" ht="21">
      <c r="A1" s="772" t="s">
        <v>628</v>
      </c>
      <c r="B1" s="738"/>
      <c r="C1" s="773" t="s">
        <v>1677</v>
      </c>
      <c r="D1" s="2036"/>
      <c r="E1" s="2352" t="s">
        <v>2371</v>
      </c>
      <c r="F1" s="2353" t="e">
        <f>J54</f>
        <v>#REF!</v>
      </c>
      <c r="G1" s="774">
        <f>MATCH(C1,'数据-取费表'!A6:A16,0)+5</f>
        <v>6</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8507</v>
      </c>
      <c r="C2" s="1347"/>
      <c r="D2" s="2041"/>
      <c r="E2" s="2042"/>
      <c r="F2" s="2042"/>
      <c r="G2" s="1577"/>
      <c r="H2" s="1359"/>
      <c r="I2" s="2043"/>
      <c r="J2" s="2043"/>
      <c r="K2" s="2044"/>
      <c r="L2" s="2043"/>
      <c r="M2" s="2043"/>
    </row>
    <row r="3" spans="1:25" ht="18" customHeight="1">
      <c r="A3" s="1631" t="s">
        <v>1686</v>
      </c>
      <c r="B3" s="1388">
        <f ca="1">ROUND(B2*10000/'数据-汇总表'!E3,0)</f>
        <v>4975</v>
      </c>
      <c r="C3" s="1347"/>
      <c r="D3" s="2041"/>
      <c r="E3" s="2042"/>
      <c r="F3" s="2042"/>
      <c r="G3" s="1577"/>
      <c r="H3" s="776" t="s">
        <v>695</v>
      </c>
      <c r="I3" s="2043"/>
      <c r="J3" s="2043"/>
      <c r="K3" s="2044"/>
      <c r="L3" s="2043"/>
      <c r="M3" s="2043"/>
    </row>
    <row r="4" spans="1:25" ht="18" customHeight="1">
      <c r="A4" s="1632" t="s">
        <v>696</v>
      </c>
      <c r="B4" s="1348">
        <f ca="1">ROUND(B2*10000/'数据-汇总表'!D3,0)</f>
        <v>15467</v>
      </c>
      <c r="C4" s="428"/>
      <c r="D4" s="2041"/>
      <c r="E4" s="2042"/>
      <c r="F4" s="2042"/>
      <c r="G4" s="1577"/>
      <c r="H4" s="776"/>
      <c r="I4" s="2043"/>
      <c r="J4" s="2043"/>
      <c r="K4" s="2044"/>
      <c r="L4" s="2043"/>
      <c r="M4" s="2043"/>
    </row>
    <row r="5" spans="1:25" ht="18" customHeight="1" thickBot="1">
      <c r="A5" s="1633"/>
      <c r="B5" s="430">
        <f ca="1">ROUND(B2/('数据-汇总表'!D3/666.67),0)</f>
        <v>1031</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2455</v>
      </c>
      <c r="C7" s="53">
        <f ca="1">C8+C12+C14</f>
        <v>1520</v>
      </c>
      <c r="D7" s="2461" t="s">
        <v>2458</v>
      </c>
      <c r="E7" s="2455"/>
      <c r="F7" s="2456"/>
      <c r="G7" s="1579"/>
      <c r="H7" s="781">
        <v>1</v>
      </c>
      <c r="I7" s="782" t="s">
        <v>2455</v>
      </c>
      <c r="J7" s="53">
        <f ca="1">J8+J12+J14</f>
        <v>0</v>
      </c>
      <c r="K7" s="2461" t="s">
        <v>2458</v>
      </c>
      <c r="L7" s="2455"/>
      <c r="M7" s="2456"/>
    </row>
    <row r="8" spans="1:25" ht="18" customHeight="1">
      <c r="A8" s="1816" t="s">
        <v>1824</v>
      </c>
      <c r="B8" s="3472" t="s">
        <v>2460</v>
      </c>
      <c r="C8" s="1811">
        <f ca="1">ROUND(F8*F10*F9*(1-F11)/10000,0)</f>
        <v>1518</v>
      </c>
      <c r="D8" s="1808" t="s">
        <v>2531</v>
      </c>
      <c r="E8" s="61" t="s">
        <v>637</v>
      </c>
      <c r="F8" s="785">
        <f ca="1">INDIRECT("'数据-取费表'!u"&amp;$G$1)</f>
        <v>2.56</v>
      </c>
      <c r="G8" s="1579"/>
      <c r="H8" s="2469" t="s">
        <v>1824</v>
      </c>
      <c r="I8" s="3472" t="s">
        <v>2460</v>
      </c>
      <c r="J8" s="783">
        <f ca="1">ROUND(M8*M10*M9*(1-M11)/10000,0)</f>
        <v>0</v>
      </c>
      <c r="K8" s="341" t="s">
        <v>2531</v>
      </c>
      <c r="L8" s="784" t="s">
        <v>1738</v>
      </c>
      <c r="M8" s="785">
        <f ca="1">INDIRECT("'数据-取费表'!z"&amp;$G$1)</f>
        <v>0</v>
      </c>
    </row>
    <row r="9" spans="1:25" ht="18" customHeight="1">
      <c r="A9" s="2465"/>
      <c r="B9" s="3473"/>
      <c r="C9" s="1812"/>
      <c r="D9" s="1809"/>
      <c r="E9" s="61" t="s">
        <v>638</v>
      </c>
      <c r="F9" s="785">
        <f ca="1">IF(INDIRECT("'数据-取费表'!ah"&amp;$G$1)="",INDIRECT("'数据-取费表'!k"&amp;$G$1),INDIRECT("'数据-取费表'!ah"&amp;$G$1))</f>
        <v>17100</v>
      </c>
      <c r="G9" s="1579"/>
      <c r="H9" s="2454"/>
      <c r="I9" s="3473"/>
      <c r="J9" s="788"/>
      <c r="K9" s="789"/>
      <c r="L9" s="784" t="s">
        <v>1739</v>
      </c>
      <c r="M9" s="785">
        <f ca="1">F9</f>
        <v>17100</v>
      </c>
    </row>
    <row r="10" spans="1:25" ht="18" customHeight="1">
      <c r="A10" s="2458"/>
      <c r="B10" s="3474"/>
      <c r="C10" s="1812"/>
      <c r="D10" s="1809"/>
      <c r="E10" s="61" t="s">
        <v>639</v>
      </c>
      <c r="F10" s="785">
        <f ca="1">INDIRECT("'数据-取费表'!ai"&amp;$G$1)</f>
        <v>365</v>
      </c>
      <c r="G10" s="1579"/>
      <c r="H10" s="2454"/>
      <c r="I10" s="3474"/>
      <c r="J10" s="788"/>
      <c r="K10" s="789"/>
      <c r="L10" s="784" t="s">
        <v>1740</v>
      </c>
      <c r="M10" s="785">
        <f ca="1">INDIRECT("'数据-取费表'!ai"&amp;$G$1)</f>
        <v>365</v>
      </c>
    </row>
    <row r="11" spans="1:25" ht="18" customHeight="1">
      <c r="A11" s="786"/>
      <c r="B11" s="3475"/>
      <c r="C11" s="1812"/>
      <c r="D11" s="1809"/>
      <c r="E11" s="61" t="s">
        <v>640</v>
      </c>
      <c r="F11" s="794">
        <f ca="1">INDIRECT("'数据-取费表'!w"&amp;$G$1)</f>
        <v>0.05</v>
      </c>
      <c r="G11" s="1579"/>
      <c r="H11" s="2470"/>
      <c r="I11" s="3474"/>
      <c r="J11" s="788"/>
      <c r="K11" s="789"/>
      <c r="L11" s="795" t="s">
        <v>1741</v>
      </c>
      <c r="M11" s="796">
        <f ca="1">INDIRECT("'数据-取费表'!ab"&amp;$G$1)</f>
        <v>0</v>
      </c>
    </row>
    <row r="12" spans="1:25" ht="18" customHeight="1">
      <c r="A12" s="1816" t="s">
        <v>1825</v>
      </c>
      <c r="B12" s="2459" t="s">
        <v>2456</v>
      </c>
      <c r="C12" s="799">
        <f ca="1">ROUND(IF(F12="押一",C8/12*F13,IF(F12="押二",C8/12*2*F13,IF(F12="押三",C8/12*3*F13,C13*F13))),0)</f>
        <v>2</v>
      </c>
      <c r="D12" s="2466" t="s">
        <v>2970</v>
      </c>
      <c r="E12" s="2463" t="s">
        <v>2461</v>
      </c>
      <c r="F12" s="2586" t="s">
        <v>3046</v>
      </c>
      <c r="G12" s="1579"/>
      <c r="H12" s="2526" t="s">
        <v>1825</v>
      </c>
      <c r="I12" s="2531" t="s">
        <v>2456</v>
      </c>
      <c r="J12" s="783">
        <f ca="1">ROUND(IF(M12="押一",J8/12*M13,IF(M12="押二",J8/12*2*M13,IF(M12="押三",J8/12*3*M13,J13*M13))),0)</f>
        <v>0</v>
      </c>
      <c r="K12" s="2466" t="s">
        <v>2970</v>
      </c>
      <c r="L12" s="2463" t="s">
        <v>2461</v>
      </c>
      <c r="M12" s="2586"/>
    </row>
    <row r="13" spans="1:25" ht="18" customHeight="1">
      <c r="A13" s="790"/>
      <c r="B13" s="2460" t="s">
        <v>2570</v>
      </c>
      <c r="C13" s="2464"/>
      <c r="D13" s="789"/>
      <c r="E13" s="2463" t="s">
        <v>2453</v>
      </c>
      <c r="F13" s="796">
        <f ca="1">'数据-取费表'!B39</f>
        <v>1.4999999999999999E-2</v>
      </c>
      <c r="G13" s="1579"/>
      <c r="H13" s="2527"/>
      <c r="I13" s="2460" t="s">
        <v>2570</v>
      </c>
      <c r="J13" s="2464"/>
      <c r="K13" s="2528"/>
      <c r="L13" s="2463" t="s">
        <v>2453</v>
      </c>
      <c r="M13" s="2457">
        <f ca="1">'数据-取费表'!B39</f>
        <v>1.4999999999999999E-2</v>
      </c>
    </row>
    <row r="14" spans="1:25" ht="18" customHeight="1" thickBot="1">
      <c r="A14" s="2502" t="s">
        <v>2464</v>
      </c>
      <c r="B14" s="2503" t="s">
        <v>2457</v>
      </c>
      <c r="C14" s="2504"/>
      <c r="D14" s="2505"/>
      <c r="E14" s="2506"/>
      <c r="F14" s="2507"/>
      <c r="G14" s="1579"/>
      <c r="H14" s="2516" t="s">
        <v>2464</v>
      </c>
      <c r="I14" s="2529" t="s">
        <v>2457</v>
      </c>
      <c r="J14" s="2530"/>
      <c r="K14" s="2505"/>
      <c r="L14" s="2506"/>
      <c r="M14" s="2519"/>
    </row>
    <row r="15" spans="1:25" ht="18" customHeight="1" thickTop="1">
      <c r="A15" s="1815" t="s">
        <v>1874</v>
      </c>
      <c r="B15" s="1813" t="s">
        <v>641</v>
      </c>
      <c r="C15" s="792">
        <f ca="1">ROUND(C31*F15,0)</f>
        <v>9159</v>
      </c>
      <c r="D15" s="1820" t="s">
        <v>642</v>
      </c>
      <c r="E15" s="795" t="s">
        <v>643</v>
      </c>
      <c r="F15" s="800">
        <f ca="1">INDIRECT("'数据-取费表'!y"&amp;$G$1)</f>
        <v>1</v>
      </c>
      <c r="G15" s="1579"/>
      <c r="H15" s="1815" t="s">
        <v>1826</v>
      </c>
      <c r="I15" s="1813" t="s">
        <v>644</v>
      </c>
      <c r="J15" s="1805">
        <f ca="1">ROUND(J16*J17,0)</f>
        <v>9159</v>
      </c>
      <c r="K15" s="1807" t="s">
        <v>642</v>
      </c>
      <c r="L15" s="801"/>
      <c r="M15" s="802"/>
    </row>
    <row r="16" spans="1:25" ht="18" customHeight="1">
      <c r="A16" s="803" t="s">
        <v>1875</v>
      </c>
      <c r="B16" s="784" t="s">
        <v>645</v>
      </c>
      <c r="C16" s="804">
        <f ca="1">INDIRECT("'数据-取费表'!m"&amp;$G$1)+INDIRECT("'数据-取费表'!t"&amp;$G$1)</f>
        <v>6498</v>
      </c>
      <c r="D16" s="1965" t="s">
        <v>646</v>
      </c>
      <c r="E16" s="1966"/>
      <c r="F16" s="805"/>
      <c r="G16" s="1579"/>
      <c r="H16" s="803" t="s">
        <v>2067</v>
      </c>
      <c r="I16" s="2217" t="s">
        <v>2820</v>
      </c>
      <c r="J16" s="53">
        <f ca="1">C31</f>
        <v>9159</v>
      </c>
      <c r="K16" s="26"/>
      <c r="L16" s="801"/>
      <c r="M16" s="802"/>
    </row>
    <row r="17" spans="1:25" s="2050" customFormat="1" ht="18" customHeight="1">
      <c r="A17" s="803" t="s">
        <v>1849</v>
      </c>
      <c r="B17" s="784" t="s">
        <v>647</v>
      </c>
      <c r="C17" s="53">
        <f ca="1">ROUND(C16*F17,0)</f>
        <v>195</v>
      </c>
      <c r="D17" s="806" t="s">
        <v>648</v>
      </c>
      <c r="E17" s="806" t="s">
        <v>649</v>
      </c>
      <c r="F17" s="807">
        <f>'数据-取费表'!B33</f>
        <v>0.03</v>
      </c>
      <c r="G17" s="1580"/>
      <c r="H17" s="803" t="s">
        <v>2068</v>
      </c>
      <c r="I17" s="784" t="s">
        <v>643</v>
      </c>
      <c r="J17" s="808">
        <f ca="1">INDIRECT("'数据-取费表'!ad"&amp;$G$1)</f>
        <v>1</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279</v>
      </c>
      <c r="K18" s="26" t="s">
        <v>652</v>
      </c>
      <c r="L18" s="1968"/>
      <c r="M18" s="56"/>
    </row>
    <row r="19" spans="1:25" s="2050" customFormat="1" ht="18" customHeight="1">
      <c r="A19" s="803" t="s">
        <v>1851</v>
      </c>
      <c r="B19" s="784" t="s">
        <v>653</v>
      </c>
      <c r="C19" s="53">
        <f ca="1">ROUND(F19*(INDIRECT("'数据-取费表'!k"&amp;$G$1)+INDIRECT("'数据-取费表'!S"&amp;$G$1))/10000,0)</f>
        <v>513</v>
      </c>
      <c r="D19" s="784" t="s">
        <v>654</v>
      </c>
      <c r="E19" s="784" t="s">
        <v>655</v>
      </c>
      <c r="F19" s="56">
        <f>'数据-取费表'!B35</f>
        <v>300</v>
      </c>
      <c r="G19" s="1580"/>
      <c r="H19" s="803" t="s">
        <v>2067</v>
      </c>
      <c r="I19" s="784" t="s">
        <v>656</v>
      </c>
      <c r="J19" s="3033">
        <f ca="1">ROUND(IF(项目基本情况!B11="自然人",J8*M19/(1+'数据-取费表'!C42),J20+J21+J22),0)</f>
        <v>78</v>
      </c>
      <c r="K19" s="1965" t="s">
        <v>657</v>
      </c>
      <c r="L19" s="1963" t="s">
        <v>658</v>
      </c>
      <c r="M19" s="810" t="str">
        <f ca="1">IF(项目基本情况!B11="企业","",IF(INDIRECT("'数据-取费表'!c"&amp;$G$1)="住宅",5%,IF(M8*M9*M10/12/(1+'数据-取费表'!C42)&gt;20000,12%,7%)))</f>
        <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97</v>
      </c>
      <c r="D20" s="784" t="s">
        <v>648</v>
      </c>
      <c r="E20" s="784" t="s">
        <v>649</v>
      </c>
      <c r="F20" s="809">
        <f>'数据-取费表'!B36</f>
        <v>1.4999999999999999E-2</v>
      </c>
      <c r="G20" s="1580"/>
      <c r="H20" s="803" t="s">
        <v>1831</v>
      </c>
      <c r="I20" s="784" t="s">
        <v>660</v>
      </c>
      <c r="J20" s="3033">
        <f ca="1">ROUND(J8*M20/(1+'数据-取费表'!C42),1)</f>
        <v>0</v>
      </c>
      <c r="K20" s="1963" t="s">
        <v>661</v>
      </c>
      <c r="L20" s="784" t="s">
        <v>649</v>
      </c>
      <c r="M20" s="809">
        <f>'数据-取费表'!B41</f>
        <v>5.6500000000000002E-2</v>
      </c>
      <c r="N20" s="2049"/>
      <c r="O20" s="2049"/>
      <c r="P20" s="2049"/>
      <c r="Q20" s="2049"/>
      <c r="R20" s="2049"/>
      <c r="S20" s="2049"/>
      <c r="T20" s="2049"/>
      <c r="U20" s="2049"/>
      <c r="V20" s="2049"/>
      <c r="W20" s="2049"/>
      <c r="X20" s="2049"/>
      <c r="Y20" s="2049"/>
    </row>
    <row r="21" spans="1:25" ht="18" customHeight="1">
      <c r="A21" s="803" t="s">
        <v>1876</v>
      </c>
      <c r="B21" s="784" t="s">
        <v>662</v>
      </c>
      <c r="C21" s="53">
        <f ca="1">SUM(C16:C20)</f>
        <v>7303</v>
      </c>
      <c r="D21" s="261" t="s">
        <v>663</v>
      </c>
      <c r="E21" s="1968"/>
      <c r="F21" s="56"/>
      <c r="G21" s="1579"/>
      <c r="H21" s="1816" t="s">
        <v>1849</v>
      </c>
      <c r="I21" s="784" t="s">
        <v>664</v>
      </c>
      <c r="J21" s="3033">
        <f ca="1">IF(K21="按租金收入计税",ROUND(J8*M21/(1+'数据-取费表'!C42),1),ROUND(C31*F35*0.7,1))</f>
        <v>76.900000000000006</v>
      </c>
      <c r="K21" s="811" t="s">
        <v>665</v>
      </c>
      <c r="L21" s="784" t="s">
        <v>649</v>
      </c>
      <c r="M21" s="809">
        <f>IF(K21="按租金收入计税",'数据-取费表'!B51,'数据-取费表'!B50)</f>
        <v>1.2E-2</v>
      </c>
    </row>
    <row r="22" spans="1:25" s="2050" customFormat="1" ht="18" customHeight="1">
      <c r="A22" s="803" t="s">
        <v>1877</v>
      </c>
      <c r="B22" s="784" t="s">
        <v>666</v>
      </c>
      <c r="C22" s="53">
        <f ca="1">ROUND(C21*F22,0)</f>
        <v>146</v>
      </c>
      <c r="D22" s="812" t="s">
        <v>667</v>
      </c>
      <c r="E22" s="784" t="s">
        <v>649</v>
      </c>
      <c r="F22" s="809">
        <f>'数据-取费表'!B37</f>
        <v>0.02</v>
      </c>
      <c r="G22" s="1580"/>
      <c r="H22" s="1818" t="s">
        <v>1850</v>
      </c>
      <c r="I22" s="1808" t="s">
        <v>668</v>
      </c>
      <c r="J22" s="54">
        <f ca="1">ROUND(M22*M23/10000,0)</f>
        <v>1</v>
      </c>
      <c r="K22" s="814" t="s">
        <v>669</v>
      </c>
      <c r="L22" s="784" t="s">
        <v>670</v>
      </c>
      <c r="M22" s="640">
        <f>'数据-取费表'!B52</f>
        <v>1.5</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0.02</v>
      </c>
      <c r="G23" s="1580"/>
      <c r="H23" s="1819"/>
      <c r="I23" s="1810"/>
      <c r="J23" s="69"/>
      <c r="K23" s="816"/>
      <c r="L23" s="784" t="s">
        <v>674</v>
      </c>
      <c r="M23" s="785">
        <f ca="1">INDIRECT("'数据-取费表'!r"&amp;$G$1)</f>
        <v>5500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2068</v>
      </c>
      <c r="I24" s="784" t="s">
        <v>676</v>
      </c>
      <c r="J24" s="53">
        <f ca="1">ROUND(J16*M24,0)</f>
        <v>183</v>
      </c>
      <c r="K24" s="1963" t="s">
        <v>677</v>
      </c>
      <c r="L24" s="784" t="s">
        <v>649</v>
      </c>
      <c r="M24" s="817">
        <f ca="1">INDIRECT("'数据-取费表'!Ak"&amp;$G$1)</f>
        <v>0.02</v>
      </c>
    </row>
    <row r="25" spans="1:25" s="2050" customFormat="1" ht="18" customHeight="1">
      <c r="A25" s="803" t="s">
        <v>1875</v>
      </c>
      <c r="B25" s="784" t="s">
        <v>2434</v>
      </c>
      <c r="C25" s="53">
        <f ca="1">ROUND(IF('数据-取费表'!B22&lt;=1,(C21+C22)*F26*F25/2,(C21+C22)*(POWER((1+F26),F25/2)-1)),0)</f>
        <v>264</v>
      </c>
      <c r="D25" s="2536" t="str">
        <f>IF(F25&lt;=1,"(建造成本+管理费用)×利率×(建设周期÷2)","(建造成本+管理费用)×((1+利率)^(建设周期÷2)-1)")</f>
        <v>(建造成本+管理费用)×((1+利率)^(建设周期÷2)-1)</v>
      </c>
      <c r="E25" s="784" t="s">
        <v>678</v>
      </c>
      <c r="F25" s="640">
        <f>'数据-取费表'!B20</f>
        <v>1.5</v>
      </c>
      <c r="G25" s="1580"/>
      <c r="H25" s="803" t="s">
        <v>1878</v>
      </c>
      <c r="I25" s="784" t="s">
        <v>679</v>
      </c>
      <c r="J25" s="53">
        <f ca="1">ROUND(J15*M25,0)</f>
        <v>18</v>
      </c>
      <c r="K25" s="1963" t="s">
        <v>680</v>
      </c>
      <c r="L25" s="784" t="s">
        <v>649</v>
      </c>
      <c r="M25" s="818">
        <f ca="1">INDIRECT("'数据-取费表'!Al"&amp;$G$1)</f>
        <v>2E-3</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6.9999999999999999E-4</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0.02</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847" t="s">
        <v>2817</v>
      </c>
      <c r="J27" s="799">
        <f ca="1">J7-J18</f>
        <v>-279</v>
      </c>
      <c r="K27" s="1965" t="s">
        <v>700</v>
      </c>
      <c r="L27" s="1967"/>
      <c r="M27" s="820"/>
    </row>
    <row r="28" spans="1:25" ht="18" customHeight="1">
      <c r="A28" s="803" t="s">
        <v>1875</v>
      </c>
      <c r="B28" s="784" t="s">
        <v>2435</v>
      </c>
      <c r="C28" s="53">
        <f ca="1">ROUND((C21+C22)*F28,0)</f>
        <v>745</v>
      </c>
      <c r="D28" s="812" t="s">
        <v>701</v>
      </c>
      <c r="E28" s="795" t="s">
        <v>702</v>
      </c>
      <c r="F28" s="794">
        <f ca="1">INDIRECT("'数据-取费表'!q"&amp;$G$1)</f>
        <v>0.1</v>
      </c>
      <c r="G28" s="1579"/>
      <c r="H28" s="781" t="s">
        <v>1837</v>
      </c>
      <c r="I28" s="782" t="s">
        <v>703</v>
      </c>
      <c r="J28" s="783">
        <f ca="1">IF(J7&lt;&gt;0,ROUND(J27*(1-((1+M30)/(1+M28))^M29)/(M28-M30),0),0)</f>
        <v>0</v>
      </c>
      <c r="K28" s="814" t="s">
        <v>704</v>
      </c>
      <c r="L28" s="784" t="s">
        <v>705</v>
      </c>
      <c r="M28" s="794">
        <f ca="1">INDIRECT("'数据-取费表'!I"&amp;$G$1)</f>
        <v>0.04</v>
      </c>
    </row>
    <row r="29" spans="1:25" ht="18" customHeight="1">
      <c r="A29" s="803" t="s">
        <v>1849</v>
      </c>
      <c r="B29" s="784" t="s">
        <v>686</v>
      </c>
      <c r="C29" s="53">
        <f ca="1">ROUND(F23*F28,4)</f>
        <v>2E-3</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5.3800000000000001E-2</v>
      </c>
      <c r="D30" s="812" t="s">
        <v>709</v>
      </c>
      <c r="E30" s="784" t="s">
        <v>649</v>
      </c>
      <c r="F30" s="809">
        <f>'数据-取费表'!B41</f>
        <v>5.6500000000000002E-2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2818</v>
      </c>
      <c r="C31" s="2509">
        <f ca="1">ROUND((C21+C22+C25+C28)/(1-F23-C26-C29-C30),0)</f>
        <v>9159</v>
      </c>
      <c r="D31" s="2510"/>
      <c r="E31" s="2511"/>
      <c r="F31" s="2512"/>
      <c r="G31" s="1580"/>
      <c r="H31" s="823" t="s">
        <v>1872</v>
      </c>
      <c r="I31" s="2848" t="s">
        <v>2819</v>
      </c>
      <c r="J31" s="825">
        <f ca="1">ROUND(J28/(1+F45)^F46,0)</f>
        <v>0</v>
      </c>
      <c r="K31" s="826" t="s">
        <v>688</v>
      </c>
      <c r="L31" s="827"/>
      <c r="M31" s="828">
        <f ca="1">INDIRECT("'数据-取费表'!k"&amp;$G$1)</f>
        <v>17100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391</v>
      </c>
      <c r="D32" s="1807" t="s">
        <v>652</v>
      </c>
      <c r="E32" s="2452"/>
      <c r="F32" s="2456"/>
      <c r="G32" s="2048"/>
      <c r="H32" s="2051"/>
      <c r="I32" s="2052"/>
      <c r="J32" s="2053"/>
      <c r="K32" s="2054"/>
      <c r="L32" s="2055"/>
      <c r="M32" s="2056"/>
    </row>
    <row r="33" spans="1:18" ht="18" customHeight="1">
      <c r="A33" s="803" t="s">
        <v>1876</v>
      </c>
      <c r="B33" s="784" t="s">
        <v>656</v>
      </c>
      <c r="C33" s="3033">
        <f ca="1">ROUND(IF(项目基本情况!B11="自然人",C8*F33/(1+'数据-取费表'!C42),C34+C35+C36),1)</f>
        <v>159.4</v>
      </c>
      <c r="D33" s="1965" t="s">
        <v>657</v>
      </c>
      <c r="E33" s="1963" t="s">
        <v>690</v>
      </c>
      <c r="F33" s="810" t="str">
        <f ca="1">IF(项目基本情况!B11="企业","",IF(INDIRECT("'数据-取费表'!c"&amp;$G$1)="住宅",5%,IF(F8*F9*F10/12/(1+'数据-取费表'!C42)&gt;20000,12%,7%)))</f>
        <v/>
      </c>
      <c r="G33" s="2048"/>
      <c r="H33" s="2051"/>
      <c r="I33" s="2052"/>
      <c r="J33" s="2053"/>
      <c r="K33" s="2054"/>
      <c r="L33" s="2055"/>
      <c r="M33" s="2056"/>
    </row>
    <row r="34" spans="1:18" ht="18" customHeight="1">
      <c r="A34" s="803" t="s">
        <v>1875</v>
      </c>
      <c r="B34" s="784" t="s">
        <v>660</v>
      </c>
      <c r="C34" s="3033">
        <f ca="1">ROUND(C8*F34/(1+'数据-取费表'!C42),1)</f>
        <v>81.7</v>
      </c>
      <c r="D34" s="1963" t="s">
        <v>661</v>
      </c>
      <c r="E34" s="784" t="s">
        <v>649</v>
      </c>
      <c r="F34" s="809">
        <f>'数据-取费表'!B41</f>
        <v>5.6500000000000002E-2</v>
      </c>
      <c r="G34" s="2048"/>
      <c r="H34" s="2057"/>
      <c r="I34" s="2058"/>
      <c r="J34" s="2059"/>
      <c r="K34" s="2060"/>
      <c r="L34" s="2061"/>
      <c r="M34" s="2062"/>
    </row>
    <row r="35" spans="1:18" ht="18" customHeight="1">
      <c r="A35" s="803" t="s">
        <v>1849</v>
      </c>
      <c r="B35" s="784" t="s">
        <v>664</v>
      </c>
      <c r="C35" s="3033">
        <f ca="1">IF(D35="按租金收入计税",ROUND(C8*F35/(1+'数据-取费表'!C42),1),IF(D35="按房产原值计税",ROUND(C31*F35*0.7,1),INDIRECT("'数据-取费表'!Aj"&amp;$G$1)))</f>
        <v>76.900000000000006</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0.8</v>
      </c>
      <c r="D36" s="814" t="s">
        <v>669</v>
      </c>
      <c r="E36" s="784" t="s">
        <v>670</v>
      </c>
      <c r="F36" s="640">
        <f>'数据-取费表'!B52</f>
        <v>1.5</v>
      </c>
      <c r="G36" s="2048"/>
      <c r="H36" s="2051"/>
      <c r="I36" s="3506"/>
      <c r="J36" s="2065"/>
      <c r="K36" s="2066"/>
      <c r="L36" s="2065"/>
      <c r="M36" s="2065"/>
    </row>
    <row r="37" spans="1:18" ht="18" customHeight="1">
      <c r="A37" s="815"/>
      <c r="B37" s="793"/>
      <c r="C37" s="69"/>
      <c r="D37" s="816"/>
      <c r="E37" s="784" t="s">
        <v>674</v>
      </c>
      <c r="F37" s="785">
        <f ca="1">INDIRECT("'数据-取费表'!r"&amp;$G$1)</f>
        <v>5500</v>
      </c>
      <c r="G37" s="2048"/>
      <c r="H37" s="2051"/>
      <c r="I37" s="3506"/>
      <c r="J37" s="2063"/>
      <c r="K37" s="2064"/>
      <c r="L37" s="2063"/>
      <c r="M37" s="2063"/>
    </row>
    <row r="38" spans="1:18" ht="18" customHeight="1">
      <c r="A38" s="803" t="s">
        <v>1877</v>
      </c>
      <c r="B38" s="784" t="s">
        <v>676</v>
      </c>
      <c r="C38" s="53">
        <f ca="1">ROUND(C31*F38,1)</f>
        <v>183.2</v>
      </c>
      <c r="D38" s="1963" t="s">
        <v>691</v>
      </c>
      <c r="E38" s="784" t="s">
        <v>649</v>
      </c>
      <c r="F38" s="817">
        <f ca="1">INDIRECT("'数据-取费表'!Ak"&amp;$G$1)</f>
        <v>0.02</v>
      </c>
      <c r="G38" s="2048"/>
      <c r="H38" s="2063"/>
      <c r="I38" s="2067"/>
      <c r="J38" s="1974"/>
      <c r="K38" s="2068"/>
      <c r="L38" s="2063"/>
      <c r="M38" s="2063"/>
    </row>
    <row r="39" spans="1:18" ht="18" customHeight="1">
      <c r="A39" s="803" t="s">
        <v>1878</v>
      </c>
      <c r="B39" s="784" t="s">
        <v>679</v>
      </c>
      <c r="C39" s="53">
        <f ca="1">ROUND(C15*F39,1)</f>
        <v>18.3</v>
      </c>
      <c r="D39" s="1963" t="s">
        <v>680</v>
      </c>
      <c r="E39" s="784" t="s">
        <v>649</v>
      </c>
      <c r="F39" s="818">
        <f ca="1">INDIRECT("'数据-取费表'!Al"&amp;$G$1)</f>
        <v>2E-3</v>
      </c>
      <c r="G39" s="2048"/>
      <c r="H39" s="2063"/>
      <c r="I39" s="2067"/>
      <c r="J39" s="1974"/>
      <c r="K39" s="2068"/>
      <c r="L39" s="2063"/>
      <c r="M39" s="2063"/>
    </row>
    <row r="40" spans="1:18" ht="18" customHeight="1" thickBot="1">
      <c r="A40" s="2525" t="s">
        <v>1879</v>
      </c>
      <c r="B40" s="2511" t="s">
        <v>666</v>
      </c>
      <c r="C40" s="2509">
        <f ca="1">ROUND(C7*F40,1)</f>
        <v>30.4</v>
      </c>
      <c r="D40" s="2510" t="s">
        <v>683</v>
      </c>
      <c r="E40" s="2511" t="s">
        <v>649</v>
      </c>
      <c r="F40" s="2507">
        <f ca="1">INDIRECT("'数据-取费表'!Am"&amp;$G$1)</f>
        <v>0.02</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1129</v>
      </c>
      <c r="D42" s="1965" t="s">
        <v>694</v>
      </c>
      <c r="E42" s="1967"/>
      <c r="F42" s="820"/>
      <c r="G42" s="2048"/>
      <c r="H42" s="2048"/>
      <c r="I42" s="2048"/>
      <c r="J42" s="2048"/>
      <c r="K42" s="2069"/>
      <c r="L42" s="2048"/>
      <c r="M42" s="2048"/>
    </row>
    <row r="43" spans="1:18" ht="18" customHeight="1">
      <c r="A43" s="803" t="s">
        <v>1877</v>
      </c>
      <c r="B43" s="835" t="s">
        <v>711</v>
      </c>
      <c r="C43" s="836">
        <f ca="1">ROUND(C15*F43,0)</f>
        <v>733</v>
      </c>
      <c r="D43" s="1352" t="s">
        <v>712</v>
      </c>
      <c r="E43" s="2945" t="s">
        <v>2958</v>
      </c>
      <c r="F43" s="2946">
        <f ca="1">INDIRECT("'数据-取费表'!j"&amp;$G$1)</f>
        <v>0.08</v>
      </c>
      <c r="G43" s="2048"/>
      <c r="H43" s="2048"/>
      <c r="I43" s="2048"/>
      <c r="J43" s="2048"/>
      <c r="K43" s="2069"/>
      <c r="L43" s="2048"/>
      <c r="M43" s="2048"/>
    </row>
    <row r="44" spans="1:18" ht="18" customHeight="1">
      <c r="A44" s="803" t="s">
        <v>1878</v>
      </c>
      <c r="B44" s="835" t="s">
        <v>713</v>
      </c>
      <c r="C44" s="1353">
        <f ca="1">C42-C43</f>
        <v>396</v>
      </c>
      <c r="D44" s="463" t="s">
        <v>714</v>
      </c>
      <c r="E44" s="464"/>
      <c r="F44" s="465"/>
      <c r="G44" s="2048"/>
      <c r="H44" s="2048"/>
      <c r="I44" s="2048"/>
      <c r="J44" s="2048"/>
      <c r="K44" s="2069"/>
      <c r="L44" s="2048"/>
      <c r="M44" s="2048"/>
    </row>
    <row r="45" spans="1:18" ht="18" customHeight="1">
      <c r="A45" s="803" t="s">
        <v>1879</v>
      </c>
      <c r="B45" s="1352" t="s">
        <v>715</v>
      </c>
      <c r="C45" s="2874">
        <f ca="1">ROUND(-PV(F45,F46,C44,0),0)</f>
        <v>8507</v>
      </c>
      <c r="D45" s="1354" t="s">
        <v>716</v>
      </c>
      <c r="E45" s="806" t="s">
        <v>717</v>
      </c>
      <c r="F45" s="830">
        <f ca="1">INDIRECT("'数据-取费表'!h"&amp;$G$1)</f>
        <v>0.04</v>
      </c>
      <c r="G45" s="2048"/>
      <c r="H45" s="2048"/>
      <c r="I45" s="2048"/>
      <c r="J45" s="2048"/>
      <c r="K45" s="2069"/>
      <c r="L45" s="2048"/>
      <c r="M45" s="2048"/>
    </row>
    <row r="46" spans="1:18" ht="18" customHeight="1" thickBot="1">
      <c r="A46" s="831"/>
      <c r="B46" s="1355"/>
      <c r="C46" s="1356"/>
      <c r="D46" s="1357"/>
      <c r="E46" s="2947" t="s">
        <v>2961</v>
      </c>
      <c r="F46" s="828">
        <f ca="1">IF(INDIRECT("'数据-取费表'!af"&amp;$G$1)=0,INDIRECT("'数据-取费表'!ae"&amp;$G$1),INDIRECT("'数据-取费表'!af"&amp;$G$1))</f>
        <v>50</v>
      </c>
      <c r="G46" s="2048"/>
      <c r="H46" s="2048"/>
      <c r="I46" s="2048"/>
      <c r="J46" s="2048"/>
      <c r="K46" s="2069"/>
      <c r="L46" s="2048"/>
      <c r="M46" s="2048"/>
    </row>
    <row r="47" spans="1:18" s="2045" customFormat="1" ht="18" customHeight="1" thickBot="1">
      <c r="A47" s="2070"/>
      <c r="D47" s="2071"/>
      <c r="E47" s="2071"/>
      <c r="F47" s="2071"/>
      <c r="I47" s="2343" t="s">
        <v>2340</v>
      </c>
      <c r="J47" s="2344"/>
      <c r="K47" s="2345"/>
      <c r="L47" s="2962" t="e">
        <f ca="1">IF(M48="住宅",0,IF(L49&gt;J52,L61,J61))</f>
        <v>#REF!</v>
      </c>
      <c r="O47" s="2359" t="s">
        <v>2407</v>
      </c>
      <c r="P47" s="1579"/>
      <c r="Q47" s="1590"/>
      <c r="R47" s="1579"/>
    </row>
    <row r="48" spans="1:18" s="2045" customFormat="1" ht="18" customHeight="1" thickBot="1">
      <c r="A48" s="2070"/>
      <c r="C48" s="2073"/>
      <c r="D48" s="2074"/>
      <c r="E48" s="2074"/>
      <c r="F48" s="2075"/>
      <c r="G48" s="2076"/>
      <c r="I48" s="2953" t="s">
        <v>2341</v>
      </c>
      <c r="J48" s="3201" t="s">
        <v>3048</v>
      </c>
      <c r="K48" s="2959" t="s">
        <v>2346</v>
      </c>
      <c r="L48" s="2963">
        <f ca="1">INDIRECT("'数据-取费表'!d"&amp;$G$1)</f>
        <v>50</v>
      </c>
      <c r="M48" s="2944" t="str">
        <f>IF(ISNUMBER(FIND("住宅",C1)),"住宅","非住宅")</f>
        <v>非住宅</v>
      </c>
      <c r="O48" s="2360" t="s">
        <v>2372</v>
      </c>
      <c r="P48" s="2361" t="s">
        <v>2373</v>
      </c>
      <c r="Q48" s="2362" t="s">
        <v>2374</v>
      </c>
      <c r="R48" s="2361" t="s">
        <v>2375</v>
      </c>
    </row>
    <row r="49" spans="1:18" s="2045" customFormat="1" ht="18" customHeight="1" thickBot="1">
      <c r="A49" s="2070"/>
      <c r="D49" s="2077"/>
      <c r="E49" s="2078"/>
      <c r="F49" s="2075"/>
      <c r="G49" s="2076"/>
      <c r="H49" s="2079"/>
      <c r="I49" s="2949" t="s">
        <v>2342</v>
      </c>
      <c r="J49" s="2346" t="s">
        <v>3047</v>
      </c>
      <c r="K49" s="2960" t="s">
        <v>2348</v>
      </c>
      <c r="L49" s="1894">
        <f ca="1">INDIRECT("'数据-取费表'!f"&amp;$G$1)</f>
        <v>50</v>
      </c>
      <c r="O49" s="2363" t="s">
        <v>2376</v>
      </c>
      <c r="P49" s="2364" t="s">
        <v>2402</v>
      </c>
      <c r="Q49" s="2365">
        <f ca="1">C41+J31</f>
        <v>0</v>
      </c>
      <c r="R49" s="2364" t="s">
        <v>2377</v>
      </c>
    </row>
    <row r="50" spans="1:18" s="2045" customFormat="1" ht="18" customHeight="1" thickBot="1">
      <c r="A50" s="2070"/>
      <c r="D50" s="2080"/>
      <c r="E50" s="2080"/>
      <c r="F50" s="2074"/>
      <c r="G50" s="2081"/>
      <c r="H50" s="2079"/>
      <c r="I50" s="2949" t="s">
        <v>2343</v>
      </c>
      <c r="J50" s="2348"/>
      <c r="K50" s="2961" t="s">
        <v>2349</v>
      </c>
      <c r="L50" s="2349"/>
      <c r="O50" s="2363" t="s">
        <v>2378</v>
      </c>
      <c r="P50" s="2364" t="s">
        <v>2403</v>
      </c>
      <c r="Q50" s="2365" t="e">
        <f ca="1">J61</f>
        <v>#REF!</v>
      </c>
      <c r="R50" s="2364" t="s">
        <v>2379</v>
      </c>
    </row>
    <row r="51" spans="1:18" s="2045" customFormat="1" ht="18" customHeight="1" thickBot="1">
      <c r="A51" s="2082"/>
      <c r="D51" s="2080"/>
      <c r="E51" s="2080"/>
      <c r="F51" s="2071"/>
      <c r="H51" s="2079"/>
      <c r="I51" s="2949" t="s">
        <v>2344</v>
      </c>
      <c r="J51" s="2957" t="e">
        <f>SUMPRODUCT((I64:I66=J49)*(J63:L63=#REF!)*(J64:L66))</f>
        <v>#REF!</v>
      </c>
      <c r="K51" s="2961" t="s">
        <v>2350</v>
      </c>
      <c r="L51" s="2349"/>
      <c r="O51" s="2366" t="s">
        <v>2380</v>
      </c>
      <c r="P51" s="2364" t="s">
        <v>2404</v>
      </c>
      <c r="Q51" s="2365">
        <f ca="1">C31</f>
        <v>9159</v>
      </c>
      <c r="R51" s="2364" t="s">
        <v>2377</v>
      </c>
    </row>
    <row r="52" spans="1:18" s="2045" customFormat="1" ht="18" customHeight="1" thickBot="1">
      <c r="A52" s="2082"/>
      <c r="F52" s="2071"/>
      <c r="I52" s="2954" t="s">
        <v>2345</v>
      </c>
      <c r="J52" s="2958" t="e">
        <f>IF(J50="",J51,J50+J51-YEAR('数据-取费表'!B3))</f>
        <v>#REF!</v>
      </c>
      <c r="K52" s="2949" t="s">
        <v>2351</v>
      </c>
      <c r="L52" s="2964">
        <f ca="1">C45</f>
        <v>8507</v>
      </c>
      <c r="O52" s="2366" t="s">
        <v>2381</v>
      </c>
      <c r="P52" s="2364" t="s">
        <v>2382</v>
      </c>
      <c r="Q52" s="2367" t="e">
        <f ca="1">J59</f>
        <v>#REF!</v>
      </c>
      <c r="R52" s="2368"/>
    </row>
    <row r="53" spans="1:18" s="2045" customFormat="1" ht="18" customHeight="1" thickBot="1">
      <c r="A53" s="2082"/>
      <c r="F53" s="2071"/>
      <c r="I53" s="2955" t="s">
        <v>2418</v>
      </c>
      <c r="J53" s="2350">
        <v>8.5000000000000006E-2</v>
      </c>
      <c r="K53" s="2955" t="s">
        <v>2417</v>
      </c>
      <c r="L53" s="2350"/>
      <c r="O53" s="2366" t="s">
        <v>2383</v>
      </c>
      <c r="P53" s="2364" t="s">
        <v>2384</v>
      </c>
      <c r="Q53" s="2367">
        <f>J53</f>
        <v>8.5000000000000006E-2</v>
      </c>
      <c r="R53" s="2368"/>
    </row>
    <row r="54" spans="1:18" s="2045" customFormat="1" ht="29.25" thickBot="1">
      <c r="A54" s="2082"/>
      <c r="I54" s="2956" t="s">
        <v>2974</v>
      </c>
      <c r="J54" s="3034" t="e">
        <f>IF(M48="住宅",MAX(J52,L49),MIN(J52,L49))</f>
        <v>#REF!</v>
      </c>
      <c r="K54" s="3507"/>
      <c r="L54" s="3508"/>
      <c r="O54" s="2366" t="s">
        <v>2385</v>
      </c>
      <c r="P54" s="2364" t="s">
        <v>2386</v>
      </c>
      <c r="Q54" s="2365" t="e">
        <f>J54</f>
        <v>#REF!</v>
      </c>
      <c r="R54" s="2364" t="s">
        <v>2387</v>
      </c>
    </row>
    <row r="55" spans="1:18" s="2045" customFormat="1" ht="18" customHeight="1" thickBot="1">
      <c r="A55" s="2082"/>
      <c r="I55" s="2965" t="e">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#REF!</v>
      </c>
      <c r="J55" s="2965"/>
      <c r="K55" s="2966"/>
      <c r="O55" s="2363" t="s">
        <v>2388</v>
      </c>
      <c r="P55" s="2364" t="s">
        <v>2405</v>
      </c>
      <c r="Q55" s="2365" t="e">
        <f ca="1">Q49+Q50</f>
        <v>#REF!</v>
      </c>
      <c r="R55" s="2368" t="s">
        <v>2389</v>
      </c>
    </row>
    <row r="56" spans="1:18" s="2045" customFormat="1" ht="16.5" thickBot="1">
      <c r="A56" s="2082"/>
      <c r="B56" s="2083"/>
      <c r="C56" s="2083"/>
      <c r="I56" s="2967" t="s">
        <v>2352</v>
      </c>
      <c r="J56" s="2931" t="e">
        <f ca="1">ROUND(IF(J49="钢混",J58/J51,1-(1-2%)*(J51-J58)/J51),3)</f>
        <v>#REF!</v>
      </c>
      <c r="K56" s="2968" t="s">
        <v>2353</v>
      </c>
      <c r="L56" s="2351"/>
      <c r="O56" s="2369" t="s">
        <v>2408</v>
      </c>
      <c r="P56" s="1579"/>
      <c r="Q56" s="1590"/>
      <c r="R56" s="1579"/>
    </row>
    <row r="57" spans="1:18" s="2045" customFormat="1" ht="43.5" thickBot="1">
      <c r="A57" s="2082"/>
      <c r="B57" s="2083"/>
      <c r="C57" s="2083"/>
      <c r="I57" s="2969" t="s">
        <v>2354</v>
      </c>
      <c r="J57" s="2979" t="s">
        <v>3044</v>
      </c>
      <c r="K57" s="2949" t="s">
        <v>2359</v>
      </c>
      <c r="L57" s="1894" t="e">
        <f ca="1">IF(L49&lt;J52,"——",L49-J52)</f>
        <v>#REF!</v>
      </c>
      <c r="O57" s="2360" t="s">
        <v>2372</v>
      </c>
      <c r="P57" s="2361" t="s">
        <v>2373</v>
      </c>
      <c r="Q57" s="2362" t="s">
        <v>2374</v>
      </c>
      <c r="R57" s="2361" t="s">
        <v>2375</v>
      </c>
    </row>
    <row r="58" spans="1:18" s="2045" customFormat="1" ht="29.25" thickBot="1">
      <c r="A58" s="2082"/>
      <c r="B58" s="2083"/>
      <c r="C58" s="2083"/>
      <c r="I58" s="2970" t="s">
        <v>2355</v>
      </c>
      <c r="J58" s="2971" t="e">
        <f ca="1">IF(OR(M48="住宅",J52&lt;L49,J57="是"),"——",J52-L49)</f>
        <v>#REF!</v>
      </c>
      <c r="K58" s="2949" t="s">
        <v>2360</v>
      </c>
      <c r="L58" s="1894" t="e">
        <f ca="1">IF(L49&lt;J52,"——",IF(L56="比较法",L50,IF(L56="基准地价",L51,L52)))</f>
        <v>#REF!</v>
      </c>
      <c r="O58" s="2363" t="s">
        <v>2376</v>
      </c>
      <c r="P58" s="2364" t="s">
        <v>2402</v>
      </c>
      <c r="Q58" s="2365">
        <f ca="1">C41+J31</f>
        <v>0</v>
      </c>
      <c r="R58" s="2364" t="s">
        <v>2377</v>
      </c>
    </row>
    <row r="59" spans="1:18" s="2045" customFormat="1" ht="29.25" thickBot="1">
      <c r="A59" s="2082"/>
      <c r="B59" s="2083"/>
      <c r="C59" s="2083"/>
      <c r="I59" s="2970" t="s">
        <v>2356</v>
      </c>
      <c r="J59" s="2932" t="e">
        <f ca="1">IF(J56&lt;0.4,0.4,J56)</f>
        <v>#REF!</v>
      </c>
      <c r="K59" s="2949" t="s">
        <v>2361</v>
      </c>
      <c r="L59" s="1894">
        <f ca="1">IF(ISERROR(POWER(1+L53,L48-L49)*(POWER(1+L53,L49)-1)/(POWER(1+L53,L48)-1)),0,POWER(1+L53,L48-L49)*(POWER(1+L53,L49)-1)/(POWER(1+L53,L48)-1))</f>
        <v>0</v>
      </c>
      <c r="O59" s="2363" t="s">
        <v>2378</v>
      </c>
      <c r="P59" s="2364" t="s">
        <v>2409</v>
      </c>
      <c r="Q59" s="2365" t="e">
        <f ca="1">L61</f>
        <v>#REF!</v>
      </c>
      <c r="R59" s="2368" t="s">
        <v>2411</v>
      </c>
    </row>
    <row r="60" spans="1:18" s="2045" customFormat="1" ht="29.25" thickBot="1">
      <c r="A60" s="2082"/>
      <c r="B60" s="2083"/>
      <c r="C60" s="2083"/>
      <c r="I60" s="2970" t="s">
        <v>2357</v>
      </c>
      <c r="J60" s="2971" t="e">
        <f ca="1">IF(OR(M48="住宅",J52&lt;L49,J57="是"),"——",ROUND(C30*J59,0))</f>
        <v>#REF!</v>
      </c>
      <c r="K60" s="2949" t="s">
        <v>2362</v>
      </c>
      <c r="L60" s="1894">
        <f ca="1">IF(ISERROR(POWER(1+L53,L48-J52)*(POWER(1+L53,J52)-1)/(POWER(1+L53,L48)-1)),0,POWER(1+L53,L48-J52)*(POWER(1+L53,J52)-1)/(POWER(1+L53,L48)-1))</f>
        <v>0</v>
      </c>
      <c r="O60" s="2366" t="s">
        <v>2380</v>
      </c>
      <c r="P60" s="2364" t="s">
        <v>2410</v>
      </c>
      <c r="Q60" s="2365">
        <f>IF(L56="比较法",L50,IF(L56="基准地价",L51,0))</f>
        <v>0</v>
      </c>
      <c r="R60" s="2364" t="s">
        <v>2377</v>
      </c>
    </row>
    <row r="61" spans="1:18" s="2045" customFormat="1" ht="15.75" thickBot="1">
      <c r="A61" s="2082"/>
      <c r="B61" s="2083"/>
      <c r="C61" s="2083"/>
      <c r="I61" s="2972" t="s">
        <v>2358</v>
      </c>
      <c r="J61" s="2973" t="e">
        <f ca="1">IF(OR(M48="住宅",J52&lt;L49,J57="是"),"0",ROUND(J60/(1+J53)^J54,0))</f>
        <v>#REF!</v>
      </c>
      <c r="K61" s="2974" t="s">
        <v>2363</v>
      </c>
      <c r="L61" s="2973" t="e">
        <f ca="1">IF(OR(M48="住宅",L49&lt;J52),0,ROUND(L58*(L59/L60-1),0))</f>
        <v>#REF!</v>
      </c>
      <c r="O61" s="2366" t="s">
        <v>2381</v>
      </c>
      <c r="P61" s="2364" t="s">
        <v>2390</v>
      </c>
      <c r="Q61" s="2367">
        <f>L53</f>
        <v>0</v>
      </c>
      <c r="R61" s="2368"/>
    </row>
    <row r="62" spans="1:18" s="2045" customFormat="1" ht="20.25" thickBot="1">
      <c r="A62" s="2082"/>
      <c r="B62" s="2083"/>
      <c r="C62" s="2083"/>
      <c r="K62" s="2072"/>
      <c r="O62" s="2366" t="s">
        <v>2383</v>
      </c>
      <c r="P62" s="2364" t="s">
        <v>2391</v>
      </c>
      <c r="Q62" s="2365">
        <f ca="1">L59</f>
        <v>0</v>
      </c>
      <c r="R62" s="2368" t="s">
        <v>2392</v>
      </c>
    </row>
    <row r="63" spans="1:18" s="2045" customFormat="1" ht="20.25" thickBot="1">
      <c r="A63" s="2082"/>
      <c r="B63" s="2083"/>
      <c r="C63" s="2083"/>
      <c r="I63" s="2975" t="s">
        <v>2364</v>
      </c>
      <c r="J63" s="2976" t="s">
        <v>2365</v>
      </c>
      <c r="K63" s="2976" t="s">
        <v>2366</v>
      </c>
      <c r="L63" s="2976" t="s">
        <v>2347</v>
      </c>
      <c r="M63" s="2977" t="s">
        <v>2939</v>
      </c>
      <c r="O63" s="2366" t="s">
        <v>2385</v>
      </c>
      <c r="P63" s="2364" t="s">
        <v>2393</v>
      </c>
      <c r="Q63" s="2365">
        <f ca="1">L60</f>
        <v>0</v>
      </c>
      <c r="R63" s="2368" t="s">
        <v>2394</v>
      </c>
    </row>
    <row r="64" spans="1:18" s="2045" customFormat="1" ht="15.75" thickBot="1">
      <c r="A64" s="2082"/>
      <c r="B64" s="2083"/>
      <c r="C64" s="2083"/>
      <c r="I64" s="2975" t="s">
        <v>2367</v>
      </c>
      <c r="J64" s="2976">
        <v>70</v>
      </c>
      <c r="K64" s="2976">
        <v>50</v>
      </c>
      <c r="L64" s="2976">
        <v>80</v>
      </c>
      <c r="M64" s="2978">
        <v>0.02</v>
      </c>
      <c r="O64" s="2363" t="s">
        <v>2388</v>
      </c>
      <c r="P64" s="2364" t="s">
        <v>2405</v>
      </c>
      <c r="Q64" s="2365" t="e">
        <f ca="1">Q58+Q59</f>
        <v>#REF!</v>
      </c>
      <c r="R64" s="2368" t="s">
        <v>2389</v>
      </c>
    </row>
    <row r="65" spans="1:18" s="2045" customFormat="1" ht="16.5" thickBot="1">
      <c r="A65" s="2082"/>
      <c r="B65" s="2083"/>
      <c r="C65" s="2083"/>
      <c r="I65" s="2975" t="s">
        <v>2368</v>
      </c>
      <c r="J65" s="2976">
        <v>50</v>
      </c>
      <c r="K65" s="2976">
        <v>35</v>
      </c>
      <c r="L65" s="2976">
        <v>60</v>
      </c>
      <c r="M65" s="846">
        <v>0</v>
      </c>
      <c r="O65" s="2369" t="s">
        <v>2412</v>
      </c>
      <c r="P65" s="1579"/>
      <c r="Q65" s="1590"/>
      <c r="R65" s="1579"/>
    </row>
    <row r="66" spans="1:18" s="2045" customFormat="1" ht="15.75" thickBot="1">
      <c r="A66" s="2082"/>
      <c r="B66" s="2083"/>
      <c r="C66" s="2083"/>
      <c r="I66" s="2975" t="s">
        <v>2369</v>
      </c>
      <c r="J66" s="2976">
        <v>40</v>
      </c>
      <c r="K66" s="2976">
        <v>30</v>
      </c>
      <c r="L66" s="2976">
        <v>50</v>
      </c>
      <c r="M66" s="2978">
        <v>0.02</v>
      </c>
      <c r="O66" s="2360" t="s">
        <v>2372</v>
      </c>
      <c r="P66" s="2361" t="s">
        <v>2373</v>
      </c>
      <c r="Q66" s="2362" t="s">
        <v>2374</v>
      </c>
      <c r="R66" s="2361" t="s">
        <v>2375</v>
      </c>
    </row>
    <row r="67" spans="1:18" s="2045" customFormat="1" ht="15.75" thickBot="1">
      <c r="A67" s="2082"/>
      <c r="B67" s="2083"/>
      <c r="C67" s="2083"/>
      <c r="K67" s="2072"/>
      <c r="O67" s="2363" t="s">
        <v>2376</v>
      </c>
      <c r="P67" s="2364" t="s">
        <v>2402</v>
      </c>
      <c r="Q67" s="2365">
        <f ca="1">C41+J31</f>
        <v>0</v>
      </c>
      <c r="R67" s="2364" t="s">
        <v>2377</v>
      </c>
    </row>
    <row r="68" spans="1:18" s="2045" customFormat="1" ht="20.25" thickBot="1">
      <c r="A68" s="2082"/>
      <c r="B68" s="2083"/>
      <c r="C68" s="2083"/>
      <c r="K68" s="2072"/>
      <c r="O68" s="2363" t="s">
        <v>2378</v>
      </c>
      <c r="P68" s="2364" t="s">
        <v>2409</v>
      </c>
      <c r="Q68" s="2365" t="e">
        <f ca="1">L61</f>
        <v>#REF!</v>
      </c>
      <c r="R68" s="2368" t="s">
        <v>2411</v>
      </c>
    </row>
    <row r="69" spans="1:18" s="2045" customFormat="1" ht="21.75" thickBot="1">
      <c r="A69" s="2082"/>
      <c r="B69" s="2083"/>
      <c r="C69" s="2083"/>
      <c r="K69" s="2072"/>
      <c r="O69" s="2366" t="s">
        <v>2380</v>
      </c>
      <c r="P69" s="2364" t="s">
        <v>2410</v>
      </c>
      <c r="Q69" s="2370">
        <f ca="1">L52</f>
        <v>8507</v>
      </c>
      <c r="R69" s="2371" t="s">
        <v>2413</v>
      </c>
    </row>
    <row r="70" spans="1:18" s="2045" customFormat="1" ht="20.25" thickBot="1">
      <c r="A70" s="2082"/>
      <c r="B70" s="2083"/>
      <c r="C70" s="2083"/>
      <c r="K70" s="2072"/>
      <c r="O70" s="2366" t="s">
        <v>2381</v>
      </c>
      <c r="P70" s="2372" t="s">
        <v>2395</v>
      </c>
      <c r="Q70" s="2365">
        <f ca="1">ROUND(Q71-Q72*Q73,0)</f>
        <v>396</v>
      </c>
      <c r="R70" s="2368"/>
    </row>
    <row r="71" spans="1:18" s="2045" customFormat="1" ht="15.75" thickBot="1">
      <c r="A71" s="2082"/>
      <c r="B71" s="2083"/>
      <c r="C71" s="2083"/>
      <c r="K71" s="2072"/>
      <c r="O71" s="2366" t="s">
        <v>2396</v>
      </c>
      <c r="P71" s="2372" t="s">
        <v>2397</v>
      </c>
      <c r="Q71" s="2365">
        <f ca="1">C42</f>
        <v>1129</v>
      </c>
      <c r="R71" s="2364" t="s">
        <v>2377</v>
      </c>
    </row>
    <row r="72" spans="1:18" s="2045" customFormat="1" ht="15.75" thickBot="1">
      <c r="A72" s="2082"/>
      <c r="B72" s="2083"/>
      <c r="C72" s="2083"/>
      <c r="K72" s="2072"/>
      <c r="O72" s="2366" t="s">
        <v>2398</v>
      </c>
      <c r="P72" s="2372" t="s">
        <v>2399</v>
      </c>
      <c r="Q72" s="2365">
        <f ca="1">C15</f>
        <v>9159</v>
      </c>
      <c r="R72" s="2364" t="s">
        <v>2377</v>
      </c>
    </row>
    <row r="73" spans="1:18" s="2045" customFormat="1" ht="15.75" thickBot="1">
      <c r="A73" s="2082"/>
      <c r="B73" s="2083"/>
      <c r="C73" s="2083"/>
      <c r="K73" s="2072"/>
      <c r="O73" s="2366" t="s">
        <v>2400</v>
      </c>
      <c r="P73" s="2372" t="s">
        <v>2401</v>
      </c>
      <c r="Q73" s="2367">
        <f ca="1">F43</f>
        <v>0.08</v>
      </c>
      <c r="R73" s="2368"/>
    </row>
    <row r="74" spans="1:18" s="2045" customFormat="1" ht="15.75" thickBot="1">
      <c r="A74" s="2082"/>
      <c r="B74" s="2083"/>
      <c r="C74" s="2083"/>
      <c r="K74" s="2072"/>
      <c r="O74" s="2366" t="s">
        <v>2383</v>
      </c>
      <c r="P74" s="2364" t="s">
        <v>2390</v>
      </c>
      <c r="Q74" s="2367">
        <f>L53</f>
        <v>0</v>
      </c>
      <c r="R74" s="2368"/>
    </row>
    <row r="75" spans="1:18" s="2045" customFormat="1" ht="20.25" thickBot="1">
      <c r="A75" s="2082"/>
      <c r="B75" s="2083"/>
      <c r="C75" s="2083"/>
      <c r="K75" s="2072"/>
      <c r="O75" s="2366" t="s">
        <v>2385</v>
      </c>
      <c r="P75" s="2364" t="s">
        <v>2391</v>
      </c>
      <c r="Q75" s="2365">
        <f ca="1">L59</f>
        <v>0</v>
      </c>
      <c r="R75" s="2368" t="s">
        <v>2392</v>
      </c>
    </row>
    <row r="76" spans="1:18" s="2045" customFormat="1" ht="20.25" thickBot="1">
      <c r="A76" s="2082"/>
      <c r="B76" s="2083"/>
      <c r="C76" s="2083"/>
      <c r="K76" s="2072"/>
      <c r="O76" s="2366" t="s">
        <v>2414</v>
      </c>
      <c r="P76" s="2364" t="s">
        <v>2393</v>
      </c>
      <c r="Q76" s="2365">
        <f ca="1">L60</f>
        <v>0</v>
      </c>
      <c r="R76" s="2368" t="s">
        <v>2394</v>
      </c>
    </row>
    <row r="77" spans="1:18" s="2045" customFormat="1" ht="15.75" thickBot="1">
      <c r="A77" s="2082"/>
      <c r="B77" s="2083"/>
      <c r="C77" s="2083"/>
      <c r="K77" s="2072"/>
      <c r="O77" s="2363" t="s">
        <v>2388</v>
      </c>
      <c r="P77" s="2364" t="s">
        <v>2405</v>
      </c>
      <c r="Q77" s="2365" t="e">
        <f ca="1">Q67+Q68</f>
        <v>#REF!</v>
      </c>
      <c r="R77" s="2368" t="s">
        <v>2389</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63" priority="6">
      <formula>$F$12="自定义"</formula>
    </cfRule>
  </conditionalFormatting>
  <conditionalFormatting sqref="J13">
    <cfRule type="expression" dxfId="62" priority="5">
      <formula>$M$10="自定义"</formula>
    </cfRule>
  </conditionalFormatting>
  <conditionalFormatting sqref="K56 K61">
    <cfRule type="expression" dxfId="61" priority="3">
      <formula>$L$48&gt;$J$51</formula>
    </cfRule>
  </conditionalFormatting>
  <conditionalFormatting sqref="I56 I61">
    <cfRule type="expression" dxfId="60" priority="4">
      <formula>$J$51&gt;$L$48</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853"/>
  <sheetViews>
    <sheetView topLeftCell="A27" zoomScale="80" zoomScaleNormal="80" workbookViewId="0">
      <selection activeCell="I17" sqref="I1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t="s">
        <v>1677</v>
      </c>
      <c r="E1" s="506"/>
      <c r="F1" s="2647" t="s">
        <v>3011</v>
      </c>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f>ROUND(B3*D3/10000,0)</f>
        <v>4</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f>C50</f>
        <v>2.56</v>
      </c>
      <c r="C3" s="852" t="s">
        <v>722</v>
      </c>
      <c r="D3" s="851">
        <f>SUMIF('数据-汇总表'!$C19:$C33,D1,'数据-汇总表'!$E19:$E33)</f>
        <v>17100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422" t="s">
        <v>522</v>
      </c>
      <c r="D4" s="3423"/>
      <c r="E4" s="3456" t="s">
        <v>523</v>
      </c>
      <c r="F4" s="3457"/>
      <c r="G4" s="3422" t="s">
        <v>524</v>
      </c>
      <c r="H4" s="3423"/>
      <c r="I4" s="3422" t="s">
        <v>525</v>
      </c>
      <c r="J4" s="3423"/>
      <c r="K4" s="514" t="s">
        <v>526</v>
      </c>
      <c r="L4" s="2119"/>
      <c r="M4" s="2120"/>
      <c r="N4" s="2120"/>
      <c r="O4" s="2120"/>
      <c r="P4" s="3501" t="s">
        <v>527</v>
      </c>
      <c r="Q4" s="3425"/>
      <c r="R4" s="3430" t="s">
        <v>523</v>
      </c>
      <c r="S4" s="3431"/>
      <c r="T4" s="3430" t="s">
        <v>524</v>
      </c>
      <c r="U4" s="3431"/>
      <c r="V4" s="3417" t="s">
        <v>525</v>
      </c>
      <c r="W4" s="3417"/>
      <c r="X4" s="3050"/>
      <c r="Y4" s="3430" t="s">
        <v>527</v>
      </c>
      <c r="Z4" s="3431"/>
      <c r="AA4" s="3419" t="s">
        <v>523</v>
      </c>
      <c r="AB4" s="3419" t="s">
        <v>524</v>
      </c>
      <c r="AC4" s="3419" t="s">
        <v>525</v>
      </c>
    </row>
    <row r="5" spans="1:29" ht="15">
      <c r="A5" s="515"/>
      <c r="B5" s="516"/>
      <c r="C5" s="3438" t="s">
        <v>2926</v>
      </c>
      <c r="D5" s="3439"/>
      <c r="E5" s="3458" t="str">
        <f>'不动产比较法-办公售价'!E5:F5</f>
        <v>金融街园中园</v>
      </c>
      <c r="F5" s="3459"/>
      <c r="G5" s="3509" t="s">
        <v>3069</v>
      </c>
      <c r="H5" s="3439"/>
      <c r="I5" s="3510" t="s">
        <v>3068</v>
      </c>
      <c r="J5" s="3439"/>
      <c r="K5" s="514"/>
      <c r="L5" s="2119"/>
      <c r="M5" s="2120"/>
      <c r="N5" s="2120"/>
      <c r="O5" s="2120"/>
      <c r="P5" s="3502"/>
      <c r="Q5" s="3427"/>
      <c r="R5" s="3432"/>
      <c r="S5" s="3433"/>
      <c r="T5" s="3432"/>
      <c r="U5" s="3433"/>
      <c r="V5" s="3417"/>
      <c r="W5" s="3417"/>
      <c r="X5" s="3050"/>
      <c r="Y5" s="3432"/>
      <c r="Z5" s="3433"/>
      <c r="AA5" s="3420"/>
      <c r="AB5" s="3420"/>
      <c r="AC5" s="3420"/>
    </row>
    <row r="6" spans="1:29" ht="15.75" thickBot="1">
      <c r="A6" s="517"/>
      <c r="B6" s="518"/>
      <c r="C6" s="3436" t="str">
        <f>'不动产比较法-办公售价'!C6:D6</f>
        <v>通州区东夏园</v>
      </c>
      <c r="D6" s="3437"/>
      <c r="E6" s="3454" t="s">
        <v>2930</v>
      </c>
      <c r="F6" s="3455"/>
      <c r="G6" s="3511"/>
      <c r="H6" s="3437"/>
      <c r="I6" s="3436" t="s">
        <v>2930</v>
      </c>
      <c r="J6" s="3437"/>
      <c r="K6" s="514" t="s">
        <v>528</v>
      </c>
      <c r="L6" s="2119"/>
      <c r="M6" s="2120"/>
      <c r="N6" s="2120"/>
      <c r="O6" s="2120"/>
      <c r="P6" s="3503"/>
      <c r="Q6" s="3429"/>
      <c r="R6" s="3432"/>
      <c r="S6" s="3433"/>
      <c r="T6" s="3434"/>
      <c r="U6" s="3435"/>
      <c r="V6" s="3417"/>
      <c r="W6" s="3417"/>
      <c r="X6" s="3050"/>
      <c r="Y6" s="3434"/>
      <c r="Z6" s="3435"/>
      <c r="AA6" s="3421"/>
      <c r="AB6" s="3421"/>
      <c r="AC6" s="3421"/>
    </row>
    <row r="7" spans="1:29" s="1216" customFormat="1" ht="15.75" thickBot="1">
      <c r="A7" s="2752"/>
      <c r="B7" s="2759" t="s">
        <v>529</v>
      </c>
      <c r="C7" s="519">
        <f>'数据-取费表'!B2</f>
        <v>44012</v>
      </c>
      <c r="D7" s="520">
        <v>100</v>
      </c>
      <c r="E7" s="521">
        <f>C7</f>
        <v>44012</v>
      </c>
      <c r="F7" s="522">
        <f>SUMIF(59:59,YEAR(E7)&amp;"-"&amp;MONTH(E7),60:60)</f>
        <v>100</v>
      </c>
      <c r="G7" s="521">
        <f>C7</f>
        <v>44012</v>
      </c>
      <c r="H7" s="520">
        <f>SUMIF(59:59,YEAR(G7)&amp;"-"&amp;MONTH(G7),60:60)</f>
        <v>100</v>
      </c>
      <c r="I7" s="521">
        <f>C7</f>
        <v>44012</v>
      </c>
      <c r="J7" s="520">
        <f>SUMIF(59:59,YEAR(I7)&amp;"-"&amp;MONTH(I7),60:60)</f>
        <v>100</v>
      </c>
      <c r="K7" s="524"/>
      <c r="L7" s="2121"/>
      <c r="M7" s="2122"/>
      <c r="N7" s="2122"/>
      <c r="O7" s="2122"/>
      <c r="P7" s="3449" t="s">
        <v>530</v>
      </c>
      <c r="Q7" s="3449"/>
      <c r="R7" s="1555" t="s">
        <v>8</v>
      </c>
      <c r="S7" s="1556">
        <f t="shared" ref="S7:S15" si="0">F7</f>
        <v>100</v>
      </c>
      <c r="T7" s="1555" t="s">
        <v>8</v>
      </c>
      <c r="U7" s="1556">
        <f t="shared" ref="U7:U15" si="1">H7</f>
        <v>100</v>
      </c>
      <c r="V7" s="1555" t="s">
        <v>8</v>
      </c>
      <c r="W7" s="1556">
        <f t="shared" ref="W7:W15" si="2">J7</f>
        <v>100</v>
      </c>
      <c r="X7" s="1557"/>
      <c r="Y7" s="3447" t="s">
        <v>530</v>
      </c>
      <c r="Z7" s="3448"/>
      <c r="AA7" s="1558">
        <f>D7/F7</f>
        <v>1</v>
      </c>
      <c r="AB7" s="1558">
        <f>D7/H7</f>
        <v>1</v>
      </c>
      <c r="AC7" s="1558">
        <f>D7/J7</f>
        <v>1</v>
      </c>
    </row>
    <row r="8" spans="1:29" s="1216" customFormat="1" ht="15.75" thickBot="1">
      <c r="A8" s="2753"/>
      <c r="B8" s="2760" t="s">
        <v>531</v>
      </c>
      <c r="C8" s="525" t="s">
        <v>576</v>
      </c>
      <c r="D8" s="520">
        <v>100</v>
      </c>
      <c r="E8" s="525" t="s">
        <v>3065</v>
      </c>
      <c r="F8" s="522">
        <f>SUMIF(62:62,E8,63:63)-SUMIF(62:62,C8,63:63)+100</f>
        <v>102</v>
      </c>
      <c r="G8" s="525" t="s">
        <v>3065</v>
      </c>
      <c r="H8" s="520">
        <f>SUMIF(62:62,G8,63:63)-SUMIF(62:62,C8,63:63)+100</f>
        <v>102</v>
      </c>
      <c r="I8" s="525" t="s">
        <v>3065</v>
      </c>
      <c r="J8" s="520">
        <f>SUMIF(62:62,I8,63:63)-SUMIF(62:62,C8,63:63)+100</f>
        <v>102</v>
      </c>
      <c r="K8" s="524"/>
      <c r="L8" s="2121"/>
      <c r="M8" s="2122"/>
      <c r="N8" s="2122"/>
      <c r="O8" s="2122"/>
      <c r="P8" s="3449" t="s">
        <v>533</v>
      </c>
      <c r="Q8" s="3448"/>
      <c r="R8" s="1555" t="s">
        <v>8</v>
      </c>
      <c r="S8" s="1556">
        <f t="shared" si="0"/>
        <v>102</v>
      </c>
      <c r="T8" s="1555" t="s">
        <v>8</v>
      </c>
      <c r="U8" s="1556">
        <f t="shared" si="1"/>
        <v>102</v>
      </c>
      <c r="V8" s="1555" t="s">
        <v>8</v>
      </c>
      <c r="W8" s="1556">
        <f t="shared" si="2"/>
        <v>102</v>
      </c>
      <c r="X8" s="1557"/>
      <c r="Y8" s="3447" t="s">
        <v>533</v>
      </c>
      <c r="Z8" s="3448"/>
      <c r="AA8" s="1558">
        <f t="shared" ref="AA8:AA47" si="3">D8/F8</f>
        <v>0.98039215686274506</v>
      </c>
      <c r="AB8" s="1558">
        <f t="shared" ref="AB8:AB47" si="4">D8/H8</f>
        <v>0.98039215686274506</v>
      </c>
      <c r="AC8" s="1558">
        <f t="shared" ref="AC8:AC47" si="5">D8/J8</f>
        <v>0.98039215686274506</v>
      </c>
    </row>
    <row r="9" spans="1:29" s="1216" customFormat="1" ht="15">
      <c r="A9" s="2754"/>
      <c r="B9" s="2761" t="s">
        <v>2752</v>
      </c>
      <c r="C9" s="3192" t="s">
        <v>3067</v>
      </c>
      <c r="D9" s="254">
        <v>100</v>
      </c>
      <c r="E9" s="860" t="s">
        <v>1677</v>
      </c>
      <c r="F9" s="254">
        <f>SUMIF(64:64,E9,65:65)-SUMIF(64:64,C9,65:65)+100</f>
        <v>100</v>
      </c>
      <c r="G9" s="860" t="s">
        <v>1677</v>
      </c>
      <c r="H9" s="254">
        <f>SUMIF(64:64,G9,65:65)-SUMIF(64:64,C9,65:65)+100</f>
        <v>100</v>
      </c>
      <c r="I9" s="860" t="s">
        <v>1677</v>
      </c>
      <c r="J9" s="254">
        <f>SUMIF(64:64,I9,65:65)-SUMIF(64:64,C9,65:65)+100</f>
        <v>100</v>
      </c>
      <c r="K9" s="524"/>
      <c r="L9" s="2121"/>
      <c r="M9" s="2122"/>
      <c r="N9" s="2122"/>
      <c r="O9" s="2122"/>
      <c r="P9" s="3416" t="s">
        <v>535</v>
      </c>
      <c r="Q9" s="3045" t="str">
        <f t="shared" ref="Q9:Q15" si="6">B9</f>
        <v>用途</v>
      </c>
      <c r="R9" s="1555" t="s">
        <v>8</v>
      </c>
      <c r="S9" s="1556">
        <f t="shared" si="0"/>
        <v>100</v>
      </c>
      <c r="T9" s="1555" t="s">
        <v>8</v>
      </c>
      <c r="U9" s="1556">
        <f t="shared" si="1"/>
        <v>100</v>
      </c>
      <c r="V9" s="1555" t="s">
        <v>8</v>
      </c>
      <c r="W9" s="1556">
        <f t="shared" si="2"/>
        <v>100</v>
      </c>
      <c r="X9" s="1557"/>
      <c r="Y9" s="3341" t="s">
        <v>536</v>
      </c>
      <c r="Z9" s="3044" t="str">
        <f t="shared" ref="Z9:Z15" si="7">Q9</f>
        <v>用途</v>
      </c>
      <c r="AA9" s="1558">
        <f t="shared" si="3"/>
        <v>1</v>
      </c>
      <c r="AB9" s="1558">
        <f t="shared" si="4"/>
        <v>1</v>
      </c>
      <c r="AC9" s="1558">
        <f t="shared" si="5"/>
        <v>1</v>
      </c>
    </row>
    <row r="10" spans="1:29" s="1334" customFormat="1" ht="27.75" thickBot="1">
      <c r="A10" s="2755"/>
      <c r="B10" s="2760" t="s">
        <v>2753</v>
      </c>
      <c r="C10" s="861" t="s">
        <v>3030</v>
      </c>
      <c r="D10" s="255">
        <v>100</v>
      </c>
      <c r="E10" s="861" t="s">
        <v>3030</v>
      </c>
      <c r="F10" s="255">
        <f>SUMIF(66:66,E10,67:67)-SUMIF(66:66,C10,67:67)+100</f>
        <v>100</v>
      </c>
      <c r="G10" s="862" t="s">
        <v>3030</v>
      </c>
      <c r="H10" s="255">
        <f>SUMIF(66:66,G10,67:67)-SUMIF(66:66,C10,67:67)+100</f>
        <v>100</v>
      </c>
      <c r="I10" s="861" t="s">
        <v>3030</v>
      </c>
      <c r="J10" s="255">
        <f>SUMIF(66:66,I10,67:67)-SUMIF(66:66,C10,67:67)+100</f>
        <v>100</v>
      </c>
      <c r="K10" s="584">
        <v>1</v>
      </c>
      <c r="L10" s="2124"/>
      <c r="M10" s="2164"/>
      <c r="N10" s="2164"/>
      <c r="O10" s="2164"/>
      <c r="P10" s="3416"/>
      <c r="Q10" s="3045" t="str">
        <f t="shared" si="6"/>
        <v>土地使用年限（年）</v>
      </c>
      <c r="R10" s="1555" t="s">
        <v>8</v>
      </c>
      <c r="S10" s="1556">
        <f t="shared" si="0"/>
        <v>100</v>
      </c>
      <c r="T10" s="1555" t="s">
        <v>8</v>
      </c>
      <c r="U10" s="1556">
        <f t="shared" si="1"/>
        <v>100</v>
      </c>
      <c r="V10" s="1555" t="s">
        <v>8</v>
      </c>
      <c r="W10" s="1556">
        <f t="shared" si="2"/>
        <v>100</v>
      </c>
      <c r="X10" s="1557"/>
      <c r="Y10" s="3341"/>
      <c r="Z10" s="3044" t="str">
        <f t="shared" si="7"/>
        <v>土地使用年限（年）</v>
      </c>
      <c r="AA10" s="1558">
        <f t="shared" si="3"/>
        <v>1</v>
      </c>
      <c r="AB10" s="1558">
        <f t="shared" si="4"/>
        <v>1</v>
      </c>
      <c r="AC10" s="1558">
        <f t="shared" si="5"/>
        <v>1</v>
      </c>
    </row>
    <row r="11" spans="1:29" ht="15" hidden="1">
      <c r="A11" s="2756"/>
      <c r="B11" s="2760" t="s">
        <v>2754</v>
      </c>
      <c r="C11" s="533">
        <v>1</v>
      </c>
      <c r="D11" s="255">
        <v>100</v>
      </c>
      <c r="E11" s="533">
        <v>1</v>
      </c>
      <c r="F11" s="255">
        <f>LOOKUP(E11,69:69,70:70)-LOOKUP(C11,69:69,70:70)+100</f>
        <v>100</v>
      </c>
      <c r="G11" s="534">
        <v>1</v>
      </c>
      <c r="H11" s="255">
        <f>LOOKUP(G11,69:69,70:70)-LOOKUP(C11,69:69,70:70)+100</f>
        <v>100</v>
      </c>
      <c r="I11" s="533">
        <v>1</v>
      </c>
      <c r="J11" s="255">
        <f>LOOKUP(I11,69:69,70:70)-LOOKUP(C11,69:69,70:70)+100</f>
        <v>100</v>
      </c>
      <c r="K11" s="584"/>
      <c r="L11" s="2126"/>
      <c r="M11" s="2120"/>
      <c r="N11" s="2120"/>
      <c r="O11" s="2120"/>
      <c r="P11" s="3416"/>
      <c r="Q11" s="3045" t="str">
        <f t="shared" si="6"/>
        <v>容积率</v>
      </c>
      <c r="R11" s="1555" t="s">
        <v>8</v>
      </c>
      <c r="S11" s="1556">
        <f t="shared" si="0"/>
        <v>100</v>
      </c>
      <c r="T11" s="1555" t="s">
        <v>8</v>
      </c>
      <c r="U11" s="1556">
        <f t="shared" si="1"/>
        <v>100</v>
      </c>
      <c r="V11" s="1555" t="s">
        <v>8</v>
      </c>
      <c r="W11" s="1556">
        <f t="shared" si="2"/>
        <v>100</v>
      </c>
      <c r="X11" s="1557"/>
      <c r="Y11" s="3341"/>
      <c r="Z11" s="3044" t="str">
        <f t="shared" si="7"/>
        <v>容积率</v>
      </c>
      <c r="AA11" s="1558">
        <f t="shared" si="3"/>
        <v>1</v>
      </c>
      <c r="AB11" s="1558">
        <f t="shared" si="4"/>
        <v>1</v>
      </c>
      <c r="AC11" s="1558">
        <f t="shared" si="5"/>
        <v>1</v>
      </c>
    </row>
    <row r="12" spans="1:29" s="1216" customFormat="1" ht="15" hidden="1">
      <c r="A12" s="2757"/>
      <c r="B12" s="2763">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416"/>
      <c r="Q12" s="3045">
        <f t="shared" si="6"/>
        <v>111</v>
      </c>
      <c r="R12" s="1555" t="s">
        <v>8</v>
      </c>
      <c r="S12" s="1556">
        <f t="shared" si="0"/>
        <v>100</v>
      </c>
      <c r="T12" s="1555" t="s">
        <v>8</v>
      </c>
      <c r="U12" s="1556">
        <f t="shared" si="1"/>
        <v>100</v>
      </c>
      <c r="V12" s="1555" t="s">
        <v>8</v>
      </c>
      <c r="W12" s="1556">
        <f t="shared" si="2"/>
        <v>100</v>
      </c>
      <c r="X12" s="1557"/>
      <c r="Y12" s="3341"/>
      <c r="Z12" s="3044">
        <f t="shared" si="7"/>
        <v>111</v>
      </c>
      <c r="AA12" s="1558">
        <f>D12/F12</f>
        <v>1</v>
      </c>
      <c r="AB12" s="1558">
        <f>D12/H12</f>
        <v>1</v>
      </c>
      <c r="AC12" s="1558">
        <f>D12/J12</f>
        <v>1</v>
      </c>
    </row>
    <row r="13" spans="1:29" ht="15" hidden="1">
      <c r="A13" s="2757"/>
      <c r="B13" s="2763">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416"/>
      <c r="Q13" s="3045">
        <f t="shared" si="6"/>
        <v>111</v>
      </c>
      <c r="R13" s="1555" t="s">
        <v>8</v>
      </c>
      <c r="S13" s="1556">
        <f t="shared" si="0"/>
        <v>100</v>
      </c>
      <c r="T13" s="1555" t="s">
        <v>8</v>
      </c>
      <c r="U13" s="1556">
        <f t="shared" si="1"/>
        <v>100</v>
      </c>
      <c r="V13" s="1555" t="s">
        <v>8</v>
      </c>
      <c r="W13" s="1556">
        <f t="shared" si="2"/>
        <v>100</v>
      </c>
      <c r="X13" s="1557"/>
      <c r="Y13" s="3341"/>
      <c r="Z13" s="3044">
        <f t="shared" si="7"/>
        <v>111</v>
      </c>
      <c r="AA13" s="1558">
        <f t="shared" si="3"/>
        <v>1</v>
      </c>
      <c r="AB13" s="1558">
        <f t="shared" si="4"/>
        <v>1</v>
      </c>
      <c r="AC13" s="1558">
        <f t="shared" si="5"/>
        <v>1</v>
      </c>
    </row>
    <row r="14" spans="1:29" ht="15.75" hidden="1" thickBot="1">
      <c r="A14" s="2758"/>
      <c r="B14" s="2764">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416"/>
      <c r="Q14" s="3045">
        <f t="shared" si="6"/>
        <v>111</v>
      </c>
      <c r="R14" s="1555" t="s">
        <v>8</v>
      </c>
      <c r="S14" s="1556">
        <f t="shared" si="0"/>
        <v>100</v>
      </c>
      <c r="T14" s="1555" t="s">
        <v>8</v>
      </c>
      <c r="U14" s="1556">
        <f t="shared" si="1"/>
        <v>100</v>
      </c>
      <c r="V14" s="1555" t="s">
        <v>8</v>
      </c>
      <c r="W14" s="1556">
        <f t="shared" si="2"/>
        <v>100</v>
      </c>
      <c r="X14" s="1557"/>
      <c r="Y14" s="3341"/>
      <c r="Z14" s="3044">
        <f t="shared" si="7"/>
        <v>111</v>
      </c>
      <c r="AA14" s="1558">
        <f t="shared" si="3"/>
        <v>1</v>
      </c>
      <c r="AB14" s="1558">
        <f t="shared" si="4"/>
        <v>1</v>
      </c>
      <c r="AC14" s="1558">
        <f t="shared" si="5"/>
        <v>1</v>
      </c>
    </row>
    <row r="15" spans="1:29" ht="71.25">
      <c r="A15" s="2750" t="s">
        <v>2750</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102</v>
      </c>
      <c r="I15" s="550"/>
      <c r="J15" s="549">
        <f>SUMIF(77:77,I16,78:78)-SUMIF(77:77,C16,78:78)+100</f>
        <v>102</v>
      </c>
      <c r="K15" s="898">
        <v>2</v>
      </c>
      <c r="L15" s="2128"/>
      <c r="M15" s="2120"/>
      <c r="N15" s="2120"/>
      <c r="O15" s="2120"/>
      <c r="P15" s="3450" t="s">
        <v>540</v>
      </c>
      <c r="Q15" s="3048" t="str">
        <f t="shared" si="6"/>
        <v>办公集聚程度</v>
      </c>
      <c r="R15" s="1560" t="s">
        <v>8</v>
      </c>
      <c r="S15" s="1561">
        <f t="shared" si="0"/>
        <v>100</v>
      </c>
      <c r="T15" s="1560" t="s">
        <v>8</v>
      </c>
      <c r="U15" s="1561">
        <f t="shared" si="1"/>
        <v>102</v>
      </c>
      <c r="V15" s="1560" t="s">
        <v>8</v>
      </c>
      <c r="W15" s="1561">
        <f t="shared" si="2"/>
        <v>102</v>
      </c>
      <c r="X15" s="3050"/>
      <c r="Y15" s="3450" t="s">
        <v>540</v>
      </c>
      <c r="Z15" s="3049" t="str">
        <f t="shared" si="7"/>
        <v>办公集聚程度</v>
      </c>
      <c r="AA15" s="3051">
        <f t="shared" si="3"/>
        <v>1</v>
      </c>
      <c r="AB15" s="3051">
        <f t="shared" si="4"/>
        <v>0.98039215686274506</v>
      </c>
      <c r="AC15" s="3051">
        <f t="shared" si="5"/>
        <v>0.98039215686274506</v>
      </c>
    </row>
    <row r="16" spans="1:29" ht="15">
      <c r="A16" s="532"/>
      <c r="B16" s="553"/>
      <c r="C16" s="554" t="s">
        <v>3021</v>
      </c>
      <c r="D16" s="555"/>
      <c r="E16" s="576" t="s">
        <v>3021</v>
      </c>
      <c r="F16" s="555"/>
      <c r="G16" s="554" t="s">
        <v>3022</v>
      </c>
      <c r="H16" s="559"/>
      <c r="I16" s="576" t="s">
        <v>3022</v>
      </c>
      <c r="J16" s="555"/>
      <c r="K16" s="899"/>
      <c r="L16" s="2128"/>
      <c r="M16" s="2120"/>
      <c r="N16" s="2120"/>
      <c r="O16" s="2120"/>
      <c r="P16" s="3451"/>
      <c r="Q16" s="3048"/>
      <c r="R16" s="1560"/>
      <c r="S16" s="1561"/>
      <c r="T16" s="1560"/>
      <c r="U16" s="1561"/>
      <c r="V16" s="1560"/>
      <c r="W16" s="1561"/>
      <c r="X16" s="3050"/>
      <c r="Y16" s="3451"/>
      <c r="Z16" s="3049"/>
      <c r="AA16" s="3051">
        <v>1</v>
      </c>
      <c r="AB16" s="3051">
        <v>1</v>
      </c>
      <c r="AC16" s="3051">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101</v>
      </c>
      <c r="I17" s="562"/>
      <c r="J17" s="565">
        <f>SUMIF(79:79,I18,80:80)-SUMIF(79:79,C18,80:80)+100</f>
        <v>101</v>
      </c>
      <c r="K17" s="898">
        <v>1</v>
      </c>
      <c r="L17" s="2128"/>
      <c r="M17" s="2120"/>
      <c r="N17" s="2120"/>
      <c r="O17" s="2120"/>
      <c r="P17" s="3451"/>
      <c r="Q17" s="3048" t="str">
        <f>B17</f>
        <v>交通便捷度</v>
      </c>
      <c r="R17" s="1560" t="s">
        <v>8</v>
      </c>
      <c r="S17" s="1561">
        <f>F17</f>
        <v>100</v>
      </c>
      <c r="T17" s="1560" t="s">
        <v>8</v>
      </c>
      <c r="U17" s="1561">
        <f>H17</f>
        <v>101</v>
      </c>
      <c r="V17" s="1560" t="s">
        <v>8</v>
      </c>
      <c r="W17" s="1561">
        <f>J17</f>
        <v>101</v>
      </c>
      <c r="X17" s="3050"/>
      <c r="Y17" s="3451"/>
      <c r="Z17" s="3049" t="str">
        <f>Q17</f>
        <v>交通便捷度</v>
      </c>
      <c r="AA17" s="3051">
        <f t="shared" si="3"/>
        <v>1</v>
      </c>
      <c r="AB17" s="3051">
        <f t="shared" si="4"/>
        <v>0.99009900990099009</v>
      </c>
      <c r="AC17" s="3051">
        <f t="shared" si="5"/>
        <v>0.99009900990099009</v>
      </c>
    </row>
    <row r="18" spans="1:29" ht="15">
      <c r="A18" s="532"/>
      <c r="B18" s="566"/>
      <c r="C18" s="567" t="s">
        <v>3021</v>
      </c>
      <c r="D18" s="559"/>
      <c r="E18" s="569" t="s">
        <v>3021</v>
      </c>
      <c r="F18" s="559"/>
      <c r="G18" s="568" t="s">
        <v>3022</v>
      </c>
      <c r="H18" s="555"/>
      <c r="I18" s="568" t="s">
        <v>3022</v>
      </c>
      <c r="J18" s="555"/>
      <c r="K18" s="899"/>
      <c r="L18" s="2128"/>
      <c r="M18" s="2120"/>
      <c r="N18" s="2120"/>
      <c r="O18" s="2120"/>
      <c r="P18" s="3451"/>
      <c r="Q18" s="3048"/>
      <c r="R18" s="1560"/>
      <c r="S18" s="1561"/>
      <c r="T18" s="1560"/>
      <c r="U18" s="1561"/>
      <c r="V18" s="1560"/>
      <c r="W18" s="1561"/>
      <c r="X18" s="3050"/>
      <c r="Y18" s="3451"/>
      <c r="Z18" s="3049"/>
      <c r="AA18" s="3051">
        <v>1</v>
      </c>
      <c r="AB18" s="3051">
        <v>1</v>
      </c>
      <c r="AC18" s="3051">
        <v>1</v>
      </c>
    </row>
    <row r="19" spans="1:29" ht="42.75">
      <c r="A19" s="532"/>
      <c r="B19" s="2568" t="s">
        <v>2543</v>
      </c>
      <c r="C19" s="573" t="str">
        <f>估价对象房地状况!C7</f>
        <v>估价对象所在区域公共配套设施齐备情况</v>
      </c>
      <c r="D19" s="565">
        <v>100</v>
      </c>
      <c r="E19" s="572"/>
      <c r="F19" s="565">
        <f>SUMIF(81:81,E20,82:82)-SUMIF(81:81,C20,82:82)+100</f>
        <v>100</v>
      </c>
      <c r="G19" s="570"/>
      <c r="H19" s="559">
        <f>SUMIF(81:81,G20,82:82)-SUMIF(81:81,C20,82:82)+100</f>
        <v>101</v>
      </c>
      <c r="I19" s="570"/>
      <c r="J19" s="559">
        <f>SUMIF(81:81,I20,82:82)-SUMIF(81:81,C20,82:82)+100</f>
        <v>101</v>
      </c>
      <c r="K19" s="898">
        <v>1</v>
      </c>
      <c r="L19" s="2128"/>
      <c r="M19" s="2120"/>
      <c r="N19" s="2120"/>
      <c r="O19" s="2120"/>
      <c r="P19" s="3451"/>
      <c r="Q19" s="3048" t="str">
        <f>B19</f>
        <v>公共配套设施</v>
      </c>
      <c r="R19" s="1560" t="s">
        <v>8</v>
      </c>
      <c r="S19" s="1561">
        <f>F19</f>
        <v>100</v>
      </c>
      <c r="T19" s="1560" t="s">
        <v>8</v>
      </c>
      <c r="U19" s="1561">
        <f>H19</f>
        <v>101</v>
      </c>
      <c r="V19" s="1560" t="s">
        <v>8</v>
      </c>
      <c r="W19" s="1561">
        <f>J19</f>
        <v>101</v>
      </c>
      <c r="X19" s="3050"/>
      <c r="Y19" s="3451"/>
      <c r="Z19" s="3049" t="str">
        <f>Q19</f>
        <v>公共配套设施</v>
      </c>
      <c r="AA19" s="3051">
        <f t="shared" si="3"/>
        <v>1</v>
      </c>
      <c r="AB19" s="3051">
        <f t="shared" si="4"/>
        <v>0.99009900990099009</v>
      </c>
      <c r="AC19" s="3051">
        <f t="shared" si="5"/>
        <v>0.99009900990099009</v>
      </c>
    </row>
    <row r="20" spans="1:29" ht="15">
      <c r="A20" s="532"/>
      <c r="B20" s="566"/>
      <c r="C20" s="554" t="s">
        <v>3021</v>
      </c>
      <c r="D20" s="555"/>
      <c r="E20" s="558" t="s">
        <v>3021</v>
      </c>
      <c r="F20" s="555"/>
      <c r="G20" s="556" t="s">
        <v>3022</v>
      </c>
      <c r="H20" s="555"/>
      <c r="I20" s="556" t="s">
        <v>3022</v>
      </c>
      <c r="J20" s="555"/>
      <c r="K20" s="899"/>
      <c r="L20" s="2128"/>
      <c r="M20" s="2120"/>
      <c r="N20" s="2120"/>
      <c r="O20" s="2120"/>
      <c r="P20" s="3451"/>
      <c r="Q20" s="3048"/>
      <c r="R20" s="1560"/>
      <c r="S20" s="1561"/>
      <c r="T20" s="1560"/>
      <c r="U20" s="1561"/>
      <c r="V20" s="1560"/>
      <c r="W20" s="1561"/>
      <c r="X20" s="3050"/>
      <c r="Y20" s="3451"/>
      <c r="Z20" s="3049"/>
      <c r="AA20" s="3051">
        <v>1</v>
      </c>
      <c r="AB20" s="3051">
        <v>1</v>
      </c>
      <c r="AC20" s="3051">
        <v>1</v>
      </c>
    </row>
    <row r="21" spans="1:29" ht="28.5">
      <c r="A21" s="532"/>
      <c r="B21" s="2556" t="s">
        <v>2544</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v>1</v>
      </c>
      <c r="L21" s="2128"/>
      <c r="M21" s="2120"/>
      <c r="N21" s="2120"/>
      <c r="O21" s="2120"/>
      <c r="P21" s="3451"/>
      <c r="Q21" s="3048" t="str">
        <f>B21</f>
        <v>基础设施水平</v>
      </c>
      <c r="R21" s="1560" t="s">
        <v>8</v>
      </c>
      <c r="S21" s="1561">
        <f>F21</f>
        <v>100</v>
      </c>
      <c r="T21" s="1560" t="s">
        <v>8</v>
      </c>
      <c r="U21" s="1561">
        <f>H21</f>
        <v>100</v>
      </c>
      <c r="V21" s="1560" t="s">
        <v>8</v>
      </c>
      <c r="W21" s="1561">
        <f>J21</f>
        <v>100</v>
      </c>
      <c r="X21" s="3050"/>
      <c r="Y21" s="3451"/>
      <c r="Z21" s="3049" t="str">
        <f>Q21</f>
        <v>基础设施水平</v>
      </c>
      <c r="AA21" s="3051">
        <f t="shared" ref="AA21" si="8">D21/F21</f>
        <v>1</v>
      </c>
      <c r="AB21" s="3051">
        <f t="shared" ref="AB21" si="9">D21/H21</f>
        <v>1</v>
      </c>
      <c r="AC21" s="3051">
        <f t="shared" ref="AC21" si="10">D21/J21</f>
        <v>1</v>
      </c>
    </row>
    <row r="22" spans="1:29" ht="15">
      <c r="A22" s="532"/>
      <c r="B22" s="578"/>
      <c r="C22" s="567" t="s">
        <v>3031</v>
      </c>
      <c r="D22" s="555"/>
      <c r="E22" s="576" t="s">
        <v>3031</v>
      </c>
      <c r="F22" s="555"/>
      <c r="G22" s="576" t="s">
        <v>3031</v>
      </c>
      <c r="H22" s="555"/>
      <c r="I22" s="576" t="s">
        <v>3031</v>
      </c>
      <c r="J22" s="555"/>
      <c r="K22" s="2567"/>
      <c r="L22" s="2128"/>
      <c r="M22" s="2120"/>
      <c r="N22" s="2120"/>
      <c r="O22" s="2120"/>
      <c r="P22" s="3451"/>
      <c r="Q22" s="3048"/>
      <c r="R22" s="1560"/>
      <c r="S22" s="1561"/>
      <c r="T22" s="1560"/>
      <c r="U22" s="1561"/>
      <c r="V22" s="1560"/>
      <c r="W22" s="1561"/>
      <c r="X22" s="3050"/>
      <c r="Y22" s="3451"/>
      <c r="Z22" s="3049"/>
      <c r="AA22" s="3051">
        <v>1</v>
      </c>
      <c r="AB22" s="3051">
        <v>1</v>
      </c>
      <c r="AC22" s="3051">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v>1</v>
      </c>
      <c r="L23" s="2128"/>
      <c r="M23" s="2120"/>
      <c r="N23" s="2120"/>
      <c r="O23" s="2120"/>
      <c r="P23" s="3451"/>
      <c r="Q23" s="3048" t="str">
        <f>B23</f>
        <v>环境质量</v>
      </c>
      <c r="R23" s="1560" t="s">
        <v>8</v>
      </c>
      <c r="S23" s="1561">
        <f>F23</f>
        <v>100</v>
      </c>
      <c r="T23" s="1560" t="s">
        <v>8</v>
      </c>
      <c r="U23" s="1561">
        <f>H23</f>
        <v>100</v>
      </c>
      <c r="V23" s="1560" t="s">
        <v>8</v>
      </c>
      <c r="W23" s="1561">
        <f>J23</f>
        <v>100</v>
      </c>
      <c r="X23" s="3050"/>
      <c r="Y23" s="3451"/>
      <c r="Z23" s="3049" t="str">
        <f>Q23</f>
        <v>环境质量</v>
      </c>
      <c r="AA23" s="3051">
        <f t="shared" si="3"/>
        <v>1</v>
      </c>
      <c r="AB23" s="3051">
        <f t="shared" si="4"/>
        <v>1</v>
      </c>
      <c r="AC23" s="3051">
        <f t="shared" si="5"/>
        <v>1</v>
      </c>
    </row>
    <row r="24" spans="1:29" ht="15">
      <c r="A24" s="532"/>
      <c r="B24" s="578"/>
      <c r="C24" s="554" t="s">
        <v>3022</v>
      </c>
      <c r="D24" s="555"/>
      <c r="E24" s="558" t="s">
        <v>3022</v>
      </c>
      <c r="F24" s="555"/>
      <c r="G24" s="556" t="s">
        <v>3022</v>
      </c>
      <c r="H24" s="555"/>
      <c r="I24" s="556" t="s">
        <v>3022</v>
      </c>
      <c r="J24" s="555"/>
      <c r="K24" s="899"/>
      <c r="L24" s="2128"/>
      <c r="M24" s="2120"/>
      <c r="N24" s="2120"/>
      <c r="O24" s="2120"/>
      <c r="P24" s="3451"/>
      <c r="Q24" s="3048"/>
      <c r="R24" s="1560"/>
      <c r="S24" s="1561"/>
      <c r="T24" s="1560"/>
      <c r="U24" s="1561"/>
      <c r="V24" s="1560"/>
      <c r="W24" s="1561"/>
      <c r="X24" s="3050"/>
      <c r="Y24" s="3451"/>
      <c r="Z24" s="3049"/>
      <c r="AA24" s="3051">
        <v>1</v>
      </c>
      <c r="AB24" s="3051">
        <v>1</v>
      </c>
      <c r="AC24" s="3051">
        <v>1</v>
      </c>
    </row>
    <row r="25" spans="1:29" ht="27">
      <c r="A25" s="515"/>
      <c r="B25" s="560" t="s">
        <v>548</v>
      </c>
      <c r="C25" s="912"/>
      <c r="D25" s="540">
        <v>100</v>
      </c>
      <c r="E25" s="539"/>
      <c r="F25" s="540">
        <f>SUMIF(87:87,E26,88:88)-SUMIF(87:87,C26,88:88)+100</f>
        <v>98</v>
      </c>
      <c r="G25" s="912"/>
      <c r="H25" s="540">
        <f>SUMIF(87:87,G26,88:88)-SUMIF(87:87,C26,88:88)+100</f>
        <v>100</v>
      </c>
      <c r="I25" s="539"/>
      <c r="J25" s="540">
        <f>SUMIF(87:87,I26,88:88)-SUMIF(87:87,C26,88:88)+100</f>
        <v>100</v>
      </c>
      <c r="K25" s="898">
        <v>2</v>
      </c>
      <c r="L25" s="2128"/>
      <c r="M25" s="2120"/>
      <c r="N25" s="2120"/>
      <c r="O25" s="2120"/>
      <c r="P25" s="3451"/>
      <c r="Q25" s="3048" t="str">
        <f>B25</f>
        <v>毗邻道路的类型与等级</v>
      </c>
      <c r="R25" s="1560" t="s">
        <v>8</v>
      </c>
      <c r="S25" s="1561">
        <f>F25</f>
        <v>98</v>
      </c>
      <c r="T25" s="1560" t="s">
        <v>8</v>
      </c>
      <c r="U25" s="1561">
        <f>H25</f>
        <v>100</v>
      </c>
      <c r="V25" s="1560" t="s">
        <v>8</v>
      </c>
      <c r="W25" s="1561">
        <f>J25</f>
        <v>100</v>
      </c>
      <c r="X25" s="3050"/>
      <c r="Y25" s="3451"/>
      <c r="Z25" s="3049" t="str">
        <f>Q25</f>
        <v>毗邻道路的类型与等级</v>
      </c>
      <c r="AA25" s="3051">
        <f t="shared" si="3"/>
        <v>1.0204081632653061</v>
      </c>
      <c r="AB25" s="3051">
        <f t="shared" si="4"/>
        <v>1</v>
      </c>
      <c r="AC25" s="3051">
        <f t="shared" si="5"/>
        <v>1</v>
      </c>
    </row>
    <row r="26" spans="1:29" ht="15">
      <c r="A26" s="515"/>
      <c r="B26" s="566"/>
      <c r="C26" s="580" t="s">
        <v>3033</v>
      </c>
      <c r="D26" s="540"/>
      <c r="E26" s="583" t="s">
        <v>3034</v>
      </c>
      <c r="F26" s="540"/>
      <c r="G26" s="580" t="s">
        <v>3033</v>
      </c>
      <c r="H26" s="540"/>
      <c r="I26" s="583" t="s">
        <v>3033</v>
      </c>
      <c r="J26" s="540"/>
      <c r="K26" s="899"/>
      <c r="L26" s="2128"/>
      <c r="M26" s="2120"/>
      <c r="N26" s="2120"/>
      <c r="O26" s="2120"/>
      <c r="P26" s="3451"/>
      <c r="Q26" s="3048"/>
      <c r="R26" s="1560"/>
      <c r="S26" s="1561"/>
      <c r="T26" s="1560"/>
      <c r="U26" s="1561"/>
      <c r="V26" s="1560"/>
      <c r="W26" s="1561"/>
      <c r="X26" s="3050"/>
      <c r="Y26" s="3451"/>
      <c r="Z26" s="3049"/>
      <c r="AA26" s="3051">
        <v>1</v>
      </c>
      <c r="AB26" s="3051">
        <v>1</v>
      </c>
      <c r="AC26" s="3051">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451"/>
      <c r="Q27" s="3048" t="str">
        <f t="shared" ref="Q27:Q47" si="11">B27</f>
        <v>楼层</v>
      </c>
      <c r="R27" s="1560" t="s">
        <v>8</v>
      </c>
      <c r="S27" s="1561">
        <f>F27</f>
        <v>100</v>
      </c>
      <c r="T27" s="1560" t="s">
        <v>8</v>
      </c>
      <c r="U27" s="1561">
        <f>H27</f>
        <v>100</v>
      </c>
      <c r="V27" s="1560" t="s">
        <v>8</v>
      </c>
      <c r="W27" s="1561">
        <f>J27</f>
        <v>100</v>
      </c>
      <c r="X27" s="3050"/>
      <c r="Y27" s="3451"/>
      <c r="Z27" s="3049" t="str">
        <f>Q27</f>
        <v>楼层</v>
      </c>
      <c r="AA27" s="3051">
        <f t="shared" si="3"/>
        <v>1</v>
      </c>
      <c r="AB27" s="3051">
        <f t="shared" si="4"/>
        <v>1</v>
      </c>
      <c r="AC27" s="3051">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451"/>
      <c r="Q28" s="3045" t="str">
        <f t="shared" si="11"/>
        <v>朝向</v>
      </c>
      <c r="R28" s="1555" t="s">
        <v>8</v>
      </c>
      <c r="S28" s="1556">
        <f>F28</f>
        <v>100</v>
      </c>
      <c r="T28" s="1555" t="s">
        <v>8</v>
      </c>
      <c r="U28" s="1556">
        <f>H28</f>
        <v>100</v>
      </c>
      <c r="V28" s="1555" t="s">
        <v>8</v>
      </c>
      <c r="W28" s="1556">
        <f>J28</f>
        <v>100</v>
      </c>
      <c r="X28" s="1557"/>
      <c r="Y28" s="3451"/>
      <c r="Z28" s="3044" t="str">
        <f>Q28</f>
        <v>朝向</v>
      </c>
      <c r="AA28" s="3051">
        <f>D28/F28</f>
        <v>1</v>
      </c>
      <c r="AB28" s="3051">
        <f>D28/H28</f>
        <v>1</v>
      </c>
      <c r="AC28" s="3051">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451"/>
      <c r="Q29" s="3048">
        <f t="shared" si="11"/>
        <v>111</v>
      </c>
      <c r="R29" s="1560" t="s">
        <v>8</v>
      </c>
      <c r="S29" s="1561">
        <f t="shared" ref="S29:S47" si="12">F29</f>
        <v>100</v>
      </c>
      <c r="T29" s="1560" t="s">
        <v>8</v>
      </c>
      <c r="U29" s="1561">
        <f t="shared" ref="U29:U47" si="13">H29</f>
        <v>100</v>
      </c>
      <c r="V29" s="1560" t="s">
        <v>8</v>
      </c>
      <c r="W29" s="1561">
        <f t="shared" ref="W29:W47" si="14">J29</f>
        <v>100</v>
      </c>
      <c r="X29" s="3050"/>
      <c r="Y29" s="3451"/>
      <c r="Z29" s="3049">
        <f t="shared" ref="Z29:Z47" si="15">Q29</f>
        <v>111</v>
      </c>
      <c r="AA29" s="3051">
        <f t="shared" si="3"/>
        <v>1</v>
      </c>
      <c r="AB29" s="3051">
        <f t="shared" si="4"/>
        <v>1</v>
      </c>
      <c r="AC29" s="3051">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451"/>
      <c r="Q30" s="3048">
        <f t="shared" si="11"/>
        <v>111</v>
      </c>
      <c r="R30" s="1560" t="s">
        <v>8</v>
      </c>
      <c r="S30" s="1561">
        <f t="shared" si="12"/>
        <v>100</v>
      </c>
      <c r="T30" s="1560" t="s">
        <v>8</v>
      </c>
      <c r="U30" s="1561">
        <f t="shared" si="13"/>
        <v>100</v>
      </c>
      <c r="V30" s="1560" t="s">
        <v>8</v>
      </c>
      <c r="W30" s="1561">
        <f t="shared" si="14"/>
        <v>100</v>
      </c>
      <c r="X30" s="3050"/>
      <c r="Y30" s="3451"/>
      <c r="Z30" s="3049">
        <f t="shared" si="15"/>
        <v>111</v>
      </c>
      <c r="AA30" s="3051">
        <f t="shared" si="3"/>
        <v>1</v>
      </c>
      <c r="AB30" s="3051">
        <f t="shared" si="4"/>
        <v>1</v>
      </c>
      <c r="AC30" s="3051">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451"/>
      <c r="Q31" s="3048">
        <f t="shared" si="11"/>
        <v>111</v>
      </c>
      <c r="R31" s="1560" t="s">
        <v>8</v>
      </c>
      <c r="S31" s="1561">
        <f t="shared" si="12"/>
        <v>100</v>
      </c>
      <c r="T31" s="1560" t="s">
        <v>8</v>
      </c>
      <c r="U31" s="1561">
        <f t="shared" si="13"/>
        <v>100</v>
      </c>
      <c r="V31" s="1560" t="s">
        <v>8</v>
      </c>
      <c r="W31" s="1561">
        <f t="shared" si="14"/>
        <v>100</v>
      </c>
      <c r="X31" s="3050"/>
      <c r="Y31" s="3451"/>
      <c r="Z31" s="3049">
        <f t="shared" si="15"/>
        <v>111</v>
      </c>
      <c r="AA31" s="3051">
        <f t="shared" si="3"/>
        <v>1</v>
      </c>
      <c r="AB31" s="3051">
        <f t="shared" si="4"/>
        <v>1</v>
      </c>
      <c r="AC31" s="3051">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451"/>
      <c r="Q32" s="3048">
        <f t="shared" si="11"/>
        <v>111</v>
      </c>
      <c r="R32" s="1560" t="s">
        <v>8</v>
      </c>
      <c r="S32" s="1561">
        <f t="shared" si="12"/>
        <v>100</v>
      </c>
      <c r="T32" s="1560" t="s">
        <v>8</v>
      </c>
      <c r="U32" s="1561">
        <f t="shared" si="13"/>
        <v>100</v>
      </c>
      <c r="V32" s="1560" t="s">
        <v>8</v>
      </c>
      <c r="W32" s="1561">
        <f t="shared" si="14"/>
        <v>100</v>
      </c>
      <c r="X32" s="3050"/>
      <c r="Y32" s="3451"/>
      <c r="Z32" s="3049">
        <f t="shared" si="15"/>
        <v>111</v>
      </c>
      <c r="AA32" s="3051">
        <f t="shared" si="3"/>
        <v>1</v>
      </c>
      <c r="AB32" s="3051">
        <f t="shared" si="4"/>
        <v>1</v>
      </c>
      <c r="AC32" s="3051">
        <f t="shared" si="5"/>
        <v>1</v>
      </c>
    </row>
    <row r="33" spans="1:29" ht="15">
      <c r="A33" s="2747" t="s">
        <v>2751</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452" t="s">
        <v>550</v>
      </c>
      <c r="Q33" s="3048" t="str">
        <f t="shared" si="11"/>
        <v>建筑类型</v>
      </c>
      <c r="R33" s="1560" t="s">
        <v>8</v>
      </c>
      <c r="S33" s="1561">
        <f t="shared" si="12"/>
        <v>100</v>
      </c>
      <c r="T33" s="1560" t="s">
        <v>8</v>
      </c>
      <c r="U33" s="1561">
        <f t="shared" si="13"/>
        <v>100</v>
      </c>
      <c r="V33" s="1560" t="s">
        <v>8</v>
      </c>
      <c r="W33" s="1561">
        <f t="shared" si="14"/>
        <v>100</v>
      </c>
      <c r="X33" s="3050"/>
      <c r="Y33" s="3453" t="s">
        <v>550</v>
      </c>
      <c r="Z33" s="3049" t="str">
        <f t="shared" si="15"/>
        <v>建筑类型</v>
      </c>
      <c r="AA33" s="3051">
        <f t="shared" si="3"/>
        <v>1</v>
      </c>
      <c r="AB33" s="3051">
        <f t="shared" si="4"/>
        <v>1</v>
      </c>
      <c r="AC33" s="3051">
        <f t="shared" si="5"/>
        <v>1</v>
      </c>
    </row>
    <row r="34" spans="1:29" s="1335" customFormat="1" ht="15">
      <c r="A34" s="603"/>
      <c r="B34" s="527" t="s">
        <v>726</v>
      </c>
      <c r="C34" s="880">
        <f>'数据-汇总表'!F19</f>
        <v>17100</v>
      </c>
      <c r="D34" s="255">
        <v>100</v>
      </c>
      <c r="E34" s="534">
        <v>600</v>
      </c>
      <c r="F34" s="863">
        <f>LOOKUP(E34,104:104,105:105)-LOOKUP(C34,104:104,105:105)+100</f>
        <v>106</v>
      </c>
      <c r="G34" s="533">
        <v>654</v>
      </c>
      <c r="H34" s="255">
        <f>LOOKUP(G34,104:104,105:105)-LOOKUP(C34,104:104,105:105)+100</f>
        <v>106</v>
      </c>
      <c r="I34" s="533">
        <v>380</v>
      </c>
      <c r="J34" s="255">
        <f>LOOKUP(I34,104:104,105:105)-LOOKUP(C34,104:104,105:105)+100</f>
        <v>104</v>
      </c>
      <c r="K34" s="581"/>
      <c r="L34" s="2126"/>
      <c r="M34" s="2157"/>
      <c r="N34" s="2157"/>
      <c r="O34" s="2157"/>
      <c r="P34" s="3453"/>
      <c r="Q34" s="1591" t="str">
        <f t="shared" si="11"/>
        <v>项目建筑规模</v>
      </c>
      <c r="R34" s="1564" t="s">
        <v>8</v>
      </c>
      <c r="S34" s="1565">
        <f t="shared" si="12"/>
        <v>106</v>
      </c>
      <c r="T34" s="1564" t="s">
        <v>8</v>
      </c>
      <c r="U34" s="1565">
        <f t="shared" si="13"/>
        <v>106</v>
      </c>
      <c r="V34" s="1564" t="s">
        <v>8</v>
      </c>
      <c r="W34" s="1565">
        <f t="shared" si="14"/>
        <v>104</v>
      </c>
      <c r="X34" s="1566"/>
      <c r="Y34" s="3453"/>
      <c r="Z34" s="1567" t="str">
        <f t="shared" si="15"/>
        <v>项目建筑规模</v>
      </c>
      <c r="AA34" s="3051">
        <f t="shared" si="3"/>
        <v>0.94339622641509435</v>
      </c>
      <c r="AB34" s="3051">
        <f t="shared" si="4"/>
        <v>0.94339622641509435</v>
      </c>
      <c r="AC34" s="3051">
        <f t="shared" si="5"/>
        <v>0.96153846153846156</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453"/>
      <c r="Q35" s="3048" t="str">
        <f t="shared" si="11"/>
        <v>建筑结构</v>
      </c>
      <c r="R35" s="1560" t="s">
        <v>8</v>
      </c>
      <c r="S35" s="1561">
        <f t="shared" si="12"/>
        <v>100</v>
      </c>
      <c r="T35" s="1560" t="s">
        <v>8</v>
      </c>
      <c r="U35" s="1561">
        <f t="shared" si="13"/>
        <v>100</v>
      </c>
      <c r="V35" s="1560" t="s">
        <v>8</v>
      </c>
      <c r="W35" s="1561">
        <f t="shared" si="14"/>
        <v>100</v>
      </c>
      <c r="X35" s="3050"/>
      <c r="Y35" s="3453"/>
      <c r="Z35" s="3049" t="str">
        <f t="shared" si="15"/>
        <v>建筑结构</v>
      </c>
      <c r="AA35" s="3051">
        <f t="shared" si="3"/>
        <v>1</v>
      </c>
      <c r="AB35" s="3051">
        <f t="shared" si="4"/>
        <v>1</v>
      </c>
      <c r="AC35" s="3051">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453"/>
      <c r="Q36" s="3048" t="str">
        <f t="shared" si="11"/>
        <v>公共部分装修</v>
      </c>
      <c r="R36" s="1560" t="s">
        <v>8</v>
      </c>
      <c r="S36" s="1561">
        <f t="shared" si="12"/>
        <v>100</v>
      </c>
      <c r="T36" s="1560" t="s">
        <v>8</v>
      </c>
      <c r="U36" s="1561">
        <f t="shared" si="13"/>
        <v>100</v>
      </c>
      <c r="V36" s="1560" t="s">
        <v>8</v>
      </c>
      <c r="W36" s="1561">
        <f t="shared" si="14"/>
        <v>100</v>
      </c>
      <c r="X36" s="3050"/>
      <c r="Y36" s="3453"/>
      <c r="Z36" s="3049" t="str">
        <f t="shared" si="15"/>
        <v>公共部分装修</v>
      </c>
      <c r="AA36" s="3051">
        <f t="shared" si="3"/>
        <v>1</v>
      </c>
      <c r="AB36" s="3051">
        <f t="shared" si="4"/>
        <v>1</v>
      </c>
      <c r="AC36" s="3051">
        <f t="shared" si="5"/>
        <v>1</v>
      </c>
    </row>
    <row r="37" spans="1:29" ht="15" hidden="1">
      <c r="A37" s="594"/>
      <c r="B37" s="527" t="s">
        <v>764</v>
      </c>
      <c r="C37" s="883">
        <v>1</v>
      </c>
      <c r="D37" s="540">
        <v>100</v>
      </c>
      <c r="E37" s="883">
        <v>1</v>
      </c>
      <c r="F37" s="575">
        <f>LOOKUP(E37,111:111,112:112)-LOOKUP(C37,111:111,112:112)+100</f>
        <v>100</v>
      </c>
      <c r="G37" s="883">
        <v>1</v>
      </c>
      <c r="H37" s="575">
        <f>LOOKUP(G37,111:111,112:112)-LOOKUP(C37,111:111,112:112)+100</f>
        <v>100</v>
      </c>
      <c r="I37" s="883">
        <v>1</v>
      </c>
      <c r="J37" s="540">
        <f>LOOKUP(I37,111:111,112:112)-LOOKUP(C37,111:111,112:112)+100</f>
        <v>100</v>
      </c>
      <c r="K37" s="584"/>
      <c r="L37" s="2128"/>
      <c r="M37" s="2120"/>
      <c r="N37" s="2120"/>
      <c r="O37" s="2120"/>
      <c r="P37" s="3453"/>
      <c r="Q37" s="3048" t="str">
        <f t="shared" si="11"/>
        <v>成新度</v>
      </c>
      <c r="R37" s="1560" t="s">
        <v>8</v>
      </c>
      <c r="S37" s="1561">
        <f t="shared" si="12"/>
        <v>100</v>
      </c>
      <c r="T37" s="1560" t="s">
        <v>8</v>
      </c>
      <c r="U37" s="1561">
        <f t="shared" si="13"/>
        <v>100</v>
      </c>
      <c r="V37" s="1560" t="s">
        <v>8</v>
      </c>
      <c r="W37" s="1561">
        <f t="shared" si="14"/>
        <v>100</v>
      </c>
      <c r="X37" s="3050"/>
      <c r="Y37" s="3453"/>
      <c r="Z37" s="3049" t="str">
        <f t="shared" si="15"/>
        <v>成新度</v>
      </c>
      <c r="AA37" s="3051">
        <f t="shared" si="3"/>
        <v>1</v>
      </c>
      <c r="AB37" s="3051">
        <f t="shared" si="4"/>
        <v>1</v>
      </c>
      <c r="AC37" s="3051">
        <f t="shared" si="5"/>
        <v>1</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453"/>
      <c r="Q38" s="3045" t="str">
        <f t="shared" si="11"/>
        <v>写字楼等级</v>
      </c>
      <c r="R38" s="1555" t="s">
        <v>8</v>
      </c>
      <c r="S38" s="1556">
        <f t="shared" si="12"/>
        <v>100</v>
      </c>
      <c r="T38" s="1555" t="s">
        <v>8</v>
      </c>
      <c r="U38" s="1556">
        <f t="shared" si="13"/>
        <v>100</v>
      </c>
      <c r="V38" s="1555" t="s">
        <v>8</v>
      </c>
      <c r="W38" s="1556">
        <f t="shared" si="14"/>
        <v>100</v>
      </c>
      <c r="X38" s="1557"/>
      <c r="Y38" s="3453"/>
      <c r="Z38" s="3044"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453" t="s">
        <v>550</v>
      </c>
      <c r="Q39" s="3048" t="str">
        <f t="shared" si="11"/>
        <v>物业管理</v>
      </c>
      <c r="R39" s="1560" t="s">
        <v>8</v>
      </c>
      <c r="S39" s="1561">
        <f t="shared" si="12"/>
        <v>100</v>
      </c>
      <c r="T39" s="1560" t="s">
        <v>8</v>
      </c>
      <c r="U39" s="1561">
        <f t="shared" si="13"/>
        <v>100</v>
      </c>
      <c r="V39" s="1560" t="s">
        <v>8</v>
      </c>
      <c r="W39" s="1561">
        <f t="shared" si="14"/>
        <v>100</v>
      </c>
      <c r="X39" s="3050"/>
      <c r="Y39" s="3453" t="s">
        <v>550</v>
      </c>
      <c r="Z39" s="3049" t="str">
        <f t="shared" si="15"/>
        <v>物业管理</v>
      </c>
      <c r="AA39" s="3051">
        <f t="shared" si="3"/>
        <v>1</v>
      </c>
      <c r="AB39" s="3051">
        <f t="shared" si="4"/>
        <v>1</v>
      </c>
      <c r="AC39" s="3051">
        <f t="shared" si="5"/>
        <v>1</v>
      </c>
    </row>
    <row r="40" spans="1:29" ht="15">
      <c r="A40" s="594"/>
      <c r="B40" s="1881" t="s">
        <v>2562</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453"/>
      <c r="Q40" s="3048" t="str">
        <f t="shared" si="11"/>
        <v>市政基础设施</v>
      </c>
      <c r="R40" s="1560" t="s">
        <v>8</v>
      </c>
      <c r="S40" s="1561">
        <f t="shared" si="12"/>
        <v>100</v>
      </c>
      <c r="T40" s="1560" t="s">
        <v>8</v>
      </c>
      <c r="U40" s="1561">
        <f t="shared" si="13"/>
        <v>100</v>
      </c>
      <c r="V40" s="1560" t="s">
        <v>8</v>
      </c>
      <c r="W40" s="1561">
        <f t="shared" si="14"/>
        <v>100</v>
      </c>
      <c r="X40" s="3050"/>
      <c r="Y40" s="3453"/>
      <c r="Z40" s="3049" t="str">
        <f t="shared" si="15"/>
        <v>市政基础设施</v>
      </c>
      <c r="AA40" s="3051">
        <f t="shared" si="3"/>
        <v>1</v>
      </c>
      <c r="AB40" s="3051">
        <f t="shared" si="4"/>
        <v>1</v>
      </c>
      <c r="AC40" s="3051">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453"/>
      <c r="Q41" s="3048" t="str">
        <f t="shared" si="11"/>
        <v>层高</v>
      </c>
      <c r="R41" s="1560" t="s">
        <v>8</v>
      </c>
      <c r="S41" s="1561">
        <f t="shared" si="12"/>
        <v>100</v>
      </c>
      <c r="T41" s="1560" t="s">
        <v>8</v>
      </c>
      <c r="U41" s="1561">
        <f t="shared" si="13"/>
        <v>100</v>
      </c>
      <c r="V41" s="1560" t="s">
        <v>8</v>
      </c>
      <c r="W41" s="1561">
        <f t="shared" si="14"/>
        <v>100</v>
      </c>
      <c r="X41" s="3050"/>
      <c r="Y41" s="3453"/>
      <c r="Z41" s="3049" t="str">
        <f t="shared" si="15"/>
        <v>层高</v>
      </c>
      <c r="AA41" s="3051">
        <f t="shared" si="3"/>
        <v>1</v>
      </c>
      <c r="AB41" s="3051">
        <f t="shared" si="4"/>
        <v>1</v>
      </c>
      <c r="AC41" s="3051">
        <f t="shared" si="5"/>
        <v>1</v>
      </c>
    </row>
    <row r="42" spans="1:29" s="1335" customFormat="1" ht="15" hidden="1">
      <c r="A42" s="603"/>
      <c r="B42" s="3047"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453"/>
      <c r="Q42" s="1591" t="str">
        <f t="shared" si="11"/>
        <v>单套建筑面积</v>
      </c>
      <c r="R42" s="1564" t="s">
        <v>8</v>
      </c>
      <c r="S42" s="1565">
        <f t="shared" si="12"/>
        <v>100</v>
      </c>
      <c r="T42" s="1564" t="s">
        <v>8</v>
      </c>
      <c r="U42" s="1565">
        <f t="shared" si="13"/>
        <v>100</v>
      </c>
      <c r="V42" s="1564" t="s">
        <v>8</v>
      </c>
      <c r="W42" s="1565">
        <f t="shared" si="14"/>
        <v>100</v>
      </c>
      <c r="X42" s="1566"/>
      <c r="Y42" s="3453"/>
      <c r="Z42" s="1567" t="str">
        <f t="shared" si="15"/>
        <v>单套建筑面积</v>
      </c>
      <c r="AA42" s="3051">
        <f t="shared" si="3"/>
        <v>1</v>
      </c>
      <c r="AB42" s="3051">
        <f t="shared" si="4"/>
        <v>1</v>
      </c>
      <c r="AC42" s="3051">
        <f t="shared" si="5"/>
        <v>1</v>
      </c>
    </row>
    <row r="43" spans="1:29" ht="15">
      <c r="A43" s="594"/>
      <c r="B43" s="527" t="s">
        <v>770</v>
      </c>
      <c r="C43" s="574" t="s">
        <v>3040</v>
      </c>
      <c r="D43" s="540">
        <v>100</v>
      </c>
      <c r="E43" s="574" t="s">
        <v>3037</v>
      </c>
      <c r="F43" s="575">
        <f>SUMIF(123:123,E43,124:124)-SUMIF(123:123,C43,124:124)+100</f>
        <v>100</v>
      </c>
      <c r="G43" s="574" t="s">
        <v>3039</v>
      </c>
      <c r="H43" s="540">
        <f>SUMIF(123:123,G43,124:124)-SUMIF(123:123,C43,124:124)+100</f>
        <v>100</v>
      </c>
      <c r="I43" s="574" t="s">
        <v>3037</v>
      </c>
      <c r="J43" s="540">
        <f>SUMIF(123:123,I43,124:124)-SUMIF(123:123,C43,124:124)+100</f>
        <v>100</v>
      </c>
      <c r="K43" s="584"/>
      <c r="L43" s="2128"/>
      <c r="M43" s="2120"/>
      <c r="N43" s="2120"/>
      <c r="O43" s="2120"/>
      <c r="P43" s="3453"/>
      <c r="Q43" s="3048" t="str">
        <f t="shared" si="11"/>
        <v>内部装修</v>
      </c>
      <c r="R43" s="1560" t="s">
        <v>8</v>
      </c>
      <c r="S43" s="1561">
        <f t="shared" si="12"/>
        <v>100</v>
      </c>
      <c r="T43" s="1560" t="s">
        <v>8</v>
      </c>
      <c r="U43" s="1561">
        <f t="shared" si="13"/>
        <v>100</v>
      </c>
      <c r="V43" s="1560" t="s">
        <v>8</v>
      </c>
      <c r="W43" s="1561">
        <f t="shared" si="14"/>
        <v>100</v>
      </c>
      <c r="X43" s="3050"/>
      <c r="Y43" s="3453"/>
      <c r="Z43" s="3049" t="str">
        <f t="shared" si="15"/>
        <v>内部装修</v>
      </c>
      <c r="AA43" s="3051">
        <f t="shared" si="3"/>
        <v>1</v>
      </c>
      <c r="AB43" s="3051">
        <f t="shared" si="4"/>
        <v>1</v>
      </c>
      <c r="AC43" s="3051">
        <f t="shared" si="5"/>
        <v>1</v>
      </c>
    </row>
    <row r="44" spans="1:29" ht="27">
      <c r="A44" s="594"/>
      <c r="B44" s="527" t="s">
        <v>735</v>
      </c>
      <c r="C44" s="574" t="s">
        <v>3022</v>
      </c>
      <c r="D44" s="540">
        <v>100</v>
      </c>
      <c r="E44" s="574" t="s">
        <v>3022</v>
      </c>
      <c r="F44" s="575">
        <f>SUMIF(125:125,E44,126:126)-SUMIF(125:125,C44,126:126)+100</f>
        <v>100</v>
      </c>
      <c r="G44" s="574" t="s">
        <v>3022</v>
      </c>
      <c r="H44" s="540">
        <f>SUMIF(125:125,G44,126:126)-SUMIF(125:125,C44,126:126)+100</f>
        <v>100</v>
      </c>
      <c r="I44" s="574" t="s">
        <v>3022</v>
      </c>
      <c r="J44" s="540">
        <f>SUMIF(125:125,I44,126:126)-SUMIF(125:125,C44,126:126)+100</f>
        <v>100</v>
      </c>
      <c r="K44" s="584"/>
      <c r="L44" s="2128"/>
      <c r="M44" s="2120"/>
      <c r="N44" s="2120"/>
      <c r="O44" s="2120"/>
      <c r="P44" s="3453"/>
      <c r="Q44" s="3048" t="str">
        <f t="shared" si="11"/>
        <v>内部装修维护情况</v>
      </c>
      <c r="R44" s="1560" t="s">
        <v>8</v>
      </c>
      <c r="S44" s="1561">
        <f t="shared" si="12"/>
        <v>100</v>
      </c>
      <c r="T44" s="1560" t="s">
        <v>8</v>
      </c>
      <c r="U44" s="1561">
        <f t="shared" si="13"/>
        <v>100</v>
      </c>
      <c r="V44" s="1560" t="s">
        <v>8</v>
      </c>
      <c r="W44" s="1561">
        <f t="shared" si="14"/>
        <v>100</v>
      </c>
      <c r="X44" s="3050"/>
      <c r="Y44" s="3453"/>
      <c r="Z44" s="3049" t="str">
        <f t="shared" si="15"/>
        <v>内部装修维护情况</v>
      </c>
      <c r="AA44" s="3051">
        <f t="shared" si="3"/>
        <v>1</v>
      </c>
      <c r="AB44" s="3051">
        <f t="shared" si="4"/>
        <v>1</v>
      </c>
      <c r="AC44" s="3051">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453"/>
      <c r="Q45" s="3045">
        <f t="shared" si="11"/>
        <v>111</v>
      </c>
      <c r="R45" s="1555" t="s">
        <v>8</v>
      </c>
      <c r="S45" s="1556">
        <f t="shared" si="12"/>
        <v>100</v>
      </c>
      <c r="T45" s="1555" t="s">
        <v>8</v>
      </c>
      <c r="U45" s="1556">
        <f t="shared" si="13"/>
        <v>100</v>
      </c>
      <c r="V45" s="1555" t="s">
        <v>8</v>
      </c>
      <c r="W45" s="1556">
        <f t="shared" si="14"/>
        <v>100</v>
      </c>
      <c r="X45" s="1557"/>
      <c r="Y45" s="3453"/>
      <c r="Z45" s="3044">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453"/>
      <c r="Q46" s="3048">
        <f t="shared" si="11"/>
        <v>111</v>
      </c>
      <c r="R46" s="1560" t="s">
        <v>8</v>
      </c>
      <c r="S46" s="1561">
        <f t="shared" si="12"/>
        <v>100</v>
      </c>
      <c r="T46" s="1560" t="s">
        <v>8</v>
      </c>
      <c r="U46" s="1561">
        <f t="shared" si="13"/>
        <v>100</v>
      </c>
      <c r="V46" s="1560" t="s">
        <v>8</v>
      </c>
      <c r="W46" s="1561">
        <f t="shared" si="14"/>
        <v>100</v>
      </c>
      <c r="X46" s="3050"/>
      <c r="Y46" s="3453"/>
      <c r="Z46" s="3049">
        <f t="shared" si="15"/>
        <v>111</v>
      </c>
      <c r="AA46" s="3051">
        <f t="shared" si="3"/>
        <v>1</v>
      </c>
      <c r="AB46" s="3051">
        <f t="shared" si="4"/>
        <v>1</v>
      </c>
      <c r="AC46" s="3051">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99"/>
      <c r="Q47" s="3048">
        <f t="shared" si="11"/>
        <v>111</v>
      </c>
      <c r="R47" s="1560" t="s">
        <v>8</v>
      </c>
      <c r="S47" s="1561">
        <f t="shared" si="12"/>
        <v>100</v>
      </c>
      <c r="T47" s="1560" t="s">
        <v>8</v>
      </c>
      <c r="U47" s="1561">
        <f t="shared" si="13"/>
        <v>100</v>
      </c>
      <c r="V47" s="1560" t="s">
        <v>8</v>
      </c>
      <c r="W47" s="1561">
        <f t="shared" si="14"/>
        <v>100</v>
      </c>
      <c r="X47" s="3050"/>
      <c r="Y47" s="3499"/>
      <c r="Z47" s="3049">
        <f t="shared" si="15"/>
        <v>111</v>
      </c>
      <c r="AA47" s="3051">
        <f t="shared" si="3"/>
        <v>1</v>
      </c>
      <c r="AB47" s="3051">
        <f t="shared" si="4"/>
        <v>1</v>
      </c>
      <c r="AC47" s="3051">
        <f t="shared" si="5"/>
        <v>1</v>
      </c>
    </row>
    <row r="48" spans="1:29" ht="15">
      <c r="A48" s="607" t="s">
        <v>736</v>
      </c>
      <c r="B48" s="887"/>
      <c r="C48" s="2592" t="s">
        <v>1</v>
      </c>
      <c r="D48" s="2593"/>
      <c r="E48" s="2594">
        <v>2.8</v>
      </c>
      <c r="F48" s="2595"/>
      <c r="G48" s="2596">
        <v>2.8</v>
      </c>
      <c r="H48" s="2597"/>
      <c r="I48" s="2594">
        <v>2.8</v>
      </c>
      <c r="J48" s="2597"/>
      <c r="K48" s="1597"/>
      <c r="L48" s="2130"/>
      <c r="M48" s="2120"/>
      <c r="N48" s="2120"/>
      <c r="O48" s="2120"/>
      <c r="P48" s="3414" t="str">
        <f>A48</f>
        <v>成交单价（元/平方米）</v>
      </c>
      <c r="Q48" s="3416"/>
      <c r="R48" s="3498">
        <f>E48</f>
        <v>2.8</v>
      </c>
      <c r="S48" s="3498"/>
      <c r="T48" s="3498">
        <f>G48</f>
        <v>2.8</v>
      </c>
      <c r="U48" s="3498"/>
      <c r="V48" s="3498">
        <f>I48</f>
        <v>2.8</v>
      </c>
      <c r="W48" s="3498"/>
      <c r="X48" s="1546"/>
      <c r="Y48" s="1568"/>
      <c r="Z48" s="1546"/>
      <c r="AA48" s="1546"/>
      <c r="AB48" s="1546"/>
      <c r="AC48" s="1546"/>
    </row>
    <row r="49" spans="1:29" ht="15.75" thickBot="1">
      <c r="A49" s="615" t="s">
        <v>2756</v>
      </c>
      <c r="B49" s="888"/>
      <c r="C49" s="2598">
        <f>R50</f>
        <v>2.56</v>
      </c>
      <c r="D49" s="2599"/>
      <c r="E49" s="2600">
        <f>R49</f>
        <v>2.64</v>
      </c>
      <c r="F49" s="2600"/>
      <c r="G49" s="2598">
        <f>T49</f>
        <v>2.4900000000000002</v>
      </c>
      <c r="H49" s="2599"/>
      <c r="I49" s="2600">
        <f>V49</f>
        <v>2.54</v>
      </c>
      <c r="J49" s="2599"/>
      <c r="K49" s="1598"/>
      <c r="L49" s="2130"/>
      <c r="M49" s="2120"/>
      <c r="N49" s="2120"/>
      <c r="O49" s="2120"/>
      <c r="P49" s="3414" t="str">
        <f>A49</f>
        <v>比较价格（元/平方米）</v>
      </c>
      <c r="Q49" s="3416"/>
      <c r="R49" s="3498">
        <f>IF(F1="售价",ROUND(PRODUCT(R48,AA7:AA47),2),ROUND(PRODUCT(R48,AA7:AA47),1))</f>
        <v>2.64</v>
      </c>
      <c r="S49" s="3498"/>
      <c r="T49" s="3498">
        <f>IF(F1="售价",ROUND(PRODUCT(T48,AB7:AB47),2),ROUND(PRODUCT(T48,AB7:AB47),1))</f>
        <v>2.4900000000000002</v>
      </c>
      <c r="U49" s="3498"/>
      <c r="V49" s="3498">
        <f>IF(F1="售价",ROUND(PRODUCT(V48,AC7:AC47),2),ROUND(PRODUCT(V48,AC7:AC47),1))</f>
        <v>2.54</v>
      </c>
      <c r="W49" s="3498"/>
      <c r="X49" s="1546"/>
      <c r="Y49" s="1546"/>
      <c r="Z49" s="1546"/>
      <c r="AA49" s="1546"/>
      <c r="AB49" s="1546"/>
      <c r="AC49" s="1546"/>
    </row>
    <row r="50" spans="1:29" ht="15.75" thickBot="1">
      <c r="A50" s="621" t="s">
        <v>2932</v>
      </c>
      <c r="B50" s="622"/>
      <c r="C50" s="2601">
        <f>R50</f>
        <v>2.56</v>
      </c>
      <c r="D50" s="2601"/>
      <c r="E50" s="2601"/>
      <c r="F50" s="2601"/>
      <c r="G50" s="2601"/>
      <c r="H50" s="2601"/>
      <c r="I50" s="2601"/>
      <c r="J50" s="2601"/>
      <c r="K50" s="1599"/>
      <c r="L50" s="2130"/>
      <c r="M50" s="2120"/>
      <c r="N50" s="2120"/>
      <c r="O50" s="2120"/>
      <c r="P50" s="3500" t="str">
        <f>A50</f>
        <v>估价对象XX用房的比较价格（楼面单价，元/平方米）</v>
      </c>
      <c r="Q50" s="3414"/>
      <c r="R50" s="3497">
        <f>IF(F1="售价",ROUND(AVERAGE(R49:V49),2),ROUND(AVERAGE(R49:V49),1))</f>
        <v>2.56</v>
      </c>
      <c r="S50" s="3497"/>
      <c r="T50" s="3497"/>
      <c r="U50" s="3497"/>
      <c r="V50" s="3497"/>
      <c r="W50" s="3497"/>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6.0606060606060552E-2</v>
      </c>
      <c r="F53" s="627" t="str">
        <f>IF(OR(E53&gt;=0.3,E53&lt;=-0.3),"超过30%","")</f>
        <v/>
      </c>
      <c r="G53" s="626">
        <f>IF(G48&lt;G49,G49/G48-1,G48/G49-1)</f>
        <v>0.12449799196787126</v>
      </c>
      <c r="H53" s="627" t="str">
        <f>IF(OR(G53&gt;=0.3,G53&lt;=-0.3),"超过30%","")</f>
        <v/>
      </c>
      <c r="I53" s="626">
        <f>IF(I48&lt;I49,I49/I48-1,I48/I49-1)</f>
        <v>0.10236220472440927</v>
      </c>
      <c r="J53" s="627" t="str">
        <f>IF(OR(I53&gt;=0.3,I53&lt;=-0.3),"超过30%","")</f>
        <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6.0240963855421548E-2</v>
      </c>
      <c r="F54" s="627" t="str">
        <f>IF(OR(E54&gt;=0.2,E54&lt;=-0.2),"超过20%","")</f>
        <v/>
      </c>
      <c r="G54" s="626">
        <f>IF(G49&lt;I49,I49/G49-1,G49/I49-1)</f>
        <v>2.008032128514059E-2</v>
      </c>
      <c r="H54" s="627" t="str">
        <f>IF(OR(G54&gt;=0.2,G54&lt;=-0.2),"超过20%","")</f>
        <v/>
      </c>
      <c r="I54" s="626">
        <f>IF(I49&lt;E49,E49/I49-1,I49/E49-1)</f>
        <v>3.937007874015741E-2</v>
      </c>
      <c r="J54" s="627" t="str">
        <f>IF(OR(I54&gt;=0.2,I54&lt;=-0.2),"超过20%","")</f>
        <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0</v>
      </c>
      <c r="F55" s="627" t="str">
        <f>IF(OR(E55&gt;=0.3,E55&lt;=-0.3),"超过30%","")</f>
        <v/>
      </c>
      <c r="G55" s="626">
        <f>IF(G48&lt;I48,I48/G48-1,G48/I48-1)</f>
        <v>0</v>
      </c>
      <c r="H55" s="627" t="str">
        <f>IF(OR(G55&gt;=0.3,G55&lt;=-0.3),"超过30%","")</f>
        <v/>
      </c>
      <c r="I55" s="626">
        <f>IF(I48&lt;E48,E48/I48-1,I48/E48-1)</f>
        <v>0</v>
      </c>
      <c r="J55" s="627" t="str">
        <f>IF(OR(I55&gt;=0.3,I55&lt;=-0.3),"超过30%","")</f>
        <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642" t="str">
        <f>YEAR(C7)&amp;"-"&amp;MONTH(C7)</f>
        <v>2020-6</v>
      </c>
      <c r="D59" s="2644">
        <f>EDATE(C59,-1)</f>
        <v>43952</v>
      </c>
      <c r="E59" s="2644">
        <f t="shared" ref="E59:O59" si="16">EDATE(D59,-1)</f>
        <v>43922</v>
      </c>
      <c r="F59" s="2644">
        <f t="shared" si="16"/>
        <v>43891</v>
      </c>
      <c r="G59" s="2644">
        <f t="shared" si="16"/>
        <v>43862</v>
      </c>
      <c r="H59" s="2644">
        <f t="shared" si="16"/>
        <v>43831</v>
      </c>
      <c r="I59" s="2644">
        <f t="shared" si="16"/>
        <v>43800</v>
      </c>
      <c r="J59" s="2644">
        <f t="shared" si="16"/>
        <v>43770</v>
      </c>
      <c r="K59" s="2644">
        <f t="shared" si="16"/>
        <v>43739</v>
      </c>
      <c r="L59" s="2644">
        <f t="shared" si="16"/>
        <v>43709</v>
      </c>
      <c r="M59" s="2644">
        <f t="shared" si="16"/>
        <v>43678</v>
      </c>
      <c r="N59" s="2644">
        <f t="shared" si="16"/>
        <v>43647</v>
      </c>
      <c r="O59" s="2644">
        <f t="shared" si="16"/>
        <v>43617</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3213" t="s">
        <v>3066</v>
      </c>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v>102</v>
      </c>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t="str">
        <f>C9</f>
        <v>办公</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99</v>
      </c>
      <c r="G67" s="679">
        <f>F67-$K10</f>
        <v>98</v>
      </c>
      <c r="H67" s="679">
        <f>G67-$K10</f>
        <v>97</v>
      </c>
      <c r="I67" s="679">
        <f>H67-$K10</f>
        <v>96</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1（含）-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v>1</v>
      </c>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98</v>
      </c>
      <c r="E78" s="679">
        <f>D78-$K15</f>
        <v>96</v>
      </c>
      <c r="F78" s="679">
        <f>E78-$K15</f>
        <v>94</v>
      </c>
      <c r="G78" s="679">
        <f>F78-$K15</f>
        <v>92</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99</v>
      </c>
      <c r="E80" s="679">
        <f>D80-$K17</f>
        <v>98</v>
      </c>
      <c r="F80" s="679">
        <f>E80-$K17</f>
        <v>97</v>
      </c>
      <c r="G80" s="679">
        <f>F80-$K17</f>
        <v>96</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2554</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99</v>
      </c>
      <c r="E82" s="679">
        <f>D82-$K19</f>
        <v>98</v>
      </c>
      <c r="F82" s="679">
        <f>E82-$K19</f>
        <v>97</v>
      </c>
      <c r="G82" s="679">
        <f>F82-$K19</f>
        <v>96</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2544</v>
      </c>
      <c r="C83" s="2563" t="s">
        <v>2556</v>
      </c>
      <c r="D83" s="2563" t="s">
        <v>2557</v>
      </c>
      <c r="E83" s="2563" t="s">
        <v>2558</v>
      </c>
      <c r="F83" s="2563" t="s">
        <v>2559</v>
      </c>
      <c r="G83" s="2563" t="s">
        <v>2560</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99</v>
      </c>
      <c r="E84" s="679">
        <f>D84-$K21</f>
        <v>98</v>
      </c>
      <c r="F84" s="679">
        <f>E84-$K21</f>
        <v>97</v>
      </c>
      <c r="G84" s="679">
        <f>F84-$K21</f>
        <v>96</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99</v>
      </c>
      <c r="E86" s="679">
        <f>D86-$K23</f>
        <v>98</v>
      </c>
      <c r="F86" s="679">
        <f>E86-$K23</f>
        <v>97</v>
      </c>
      <c r="G86" s="679">
        <f>F86-$K23</f>
        <v>96</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3193" t="s">
        <v>3032</v>
      </c>
      <c r="D87" s="3193" t="s">
        <v>3033</v>
      </c>
      <c r="E87" s="3193" t="s">
        <v>3034</v>
      </c>
      <c r="F87" s="3193" t="s">
        <v>3035</v>
      </c>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98</v>
      </c>
      <c r="E88" s="679">
        <f t="shared" si="19"/>
        <v>96</v>
      </c>
      <c r="F88" s="679">
        <f t="shared" si="19"/>
        <v>94</v>
      </c>
      <c r="G88" s="679">
        <f t="shared" si="19"/>
        <v>92</v>
      </c>
      <c r="H88" s="679">
        <f t="shared" si="19"/>
        <v>90</v>
      </c>
      <c r="I88" s="679">
        <f t="shared" si="19"/>
        <v>88</v>
      </c>
      <c r="J88" s="679">
        <f t="shared" si="19"/>
        <v>86</v>
      </c>
      <c r="K88" s="679">
        <f t="shared" si="19"/>
        <v>84</v>
      </c>
      <c r="L88" s="679">
        <f t="shared" si="19"/>
        <v>82</v>
      </c>
      <c r="M88" s="679">
        <f t="shared" si="19"/>
        <v>80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29.25" thickTop="1">
      <c r="A103" s="669"/>
      <c r="B103" s="673" t="s">
        <v>748</v>
      </c>
      <c r="C103" s="708" t="str">
        <f>C104&amp;"(含)"&amp;"-"&amp;D104</f>
        <v>0(含)-500</v>
      </c>
      <c r="D103" s="708" t="str">
        <f t="shared" ref="D103:L103" si="23">D104&amp;"(含)"&amp;"-"&amp;E104</f>
        <v>500(含)-1000</v>
      </c>
      <c r="E103" s="708" t="str">
        <f t="shared" si="23"/>
        <v>1000(含)-1500</v>
      </c>
      <c r="F103" s="708" t="str">
        <f t="shared" si="23"/>
        <v>1500(含)-2000</v>
      </c>
      <c r="G103" s="708" t="str">
        <f t="shared" si="23"/>
        <v>2000(含)-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3195">
        <v>0</v>
      </c>
      <c r="D104" s="3195">
        <v>500</v>
      </c>
      <c r="E104" s="3195">
        <v>1000</v>
      </c>
      <c r="F104" s="3195">
        <v>1500</v>
      </c>
      <c r="G104" s="3195">
        <v>2000</v>
      </c>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3196">
        <v>100</v>
      </c>
      <c r="D105" s="3197">
        <v>102</v>
      </c>
      <c r="E105" s="3197">
        <v>100</v>
      </c>
      <c r="F105" s="3197">
        <v>98</v>
      </c>
      <c r="G105" s="3197">
        <v>96</v>
      </c>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3193" t="s">
        <v>3036</v>
      </c>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3193" t="s">
        <v>3037</v>
      </c>
      <c r="D108" s="3193" t="s">
        <v>3038</v>
      </c>
      <c r="E108" s="3193" t="s">
        <v>3039</v>
      </c>
      <c r="F108" s="3198" t="s">
        <v>3040</v>
      </c>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3193" t="s">
        <v>3041</v>
      </c>
      <c r="D113" s="3193" t="s">
        <v>3042</v>
      </c>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3193" t="s">
        <v>3043</v>
      </c>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2553</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3193" t="s">
        <v>3037</v>
      </c>
      <c r="D123" s="3193" t="s">
        <v>3038</v>
      </c>
      <c r="E123" s="3193" t="s">
        <v>3039</v>
      </c>
      <c r="F123" s="3198" t="s">
        <v>3040</v>
      </c>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28"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topLeftCell="I1" zoomScale="80" zoomScaleNormal="80" workbookViewId="0">
      <selection activeCell="L20" sqref="L20"/>
    </sheetView>
  </sheetViews>
  <sheetFormatPr defaultColWidth="9" defaultRowHeight="12.75"/>
  <cols>
    <col min="1" max="1" width="9" style="3076"/>
    <col min="2" max="6" width="9" style="3076" customWidth="1"/>
    <col min="7" max="7" width="9" style="3115" customWidth="1"/>
    <col min="8" max="12" width="9" style="3076" customWidth="1"/>
    <col min="13" max="13" width="2.25" style="3076" customWidth="1"/>
    <col min="14" max="14" width="9" style="3115" customWidth="1"/>
    <col min="15" max="17" width="9" style="3076" customWidth="1"/>
    <col min="18" max="18" width="2.375" style="3076" customWidth="1"/>
    <col min="19" max="19" width="7.125" style="3115" customWidth="1"/>
    <col min="20" max="22" width="7.125" style="3076" customWidth="1"/>
    <col min="23" max="23" width="24" style="3076" customWidth="1"/>
    <col min="24" max="25" width="9" style="3076"/>
    <col min="26" max="27" width="11.625" style="3076" customWidth="1"/>
    <col min="28" max="28" width="9" style="3076"/>
    <col min="29" max="29" width="2" style="3076" customWidth="1"/>
    <col min="30" max="16384" width="9" style="3076"/>
  </cols>
  <sheetData>
    <row r="1" spans="1:34" s="3054" customFormat="1">
      <c r="B1" s="3519" t="s">
        <v>2572</v>
      </c>
      <c r="C1" s="3519"/>
      <c r="D1" s="3519"/>
      <c r="E1" s="3519"/>
      <c r="F1" s="3519"/>
      <c r="G1" s="3518" t="s">
        <v>2573</v>
      </c>
      <c r="H1" s="3518"/>
      <c r="I1" s="3518"/>
      <c r="J1" s="3518"/>
      <c r="K1" s="3518"/>
      <c r="L1" s="3518"/>
      <c r="N1" s="3518" t="s">
        <v>2574</v>
      </c>
      <c r="O1" s="3518"/>
      <c r="P1" s="3518"/>
      <c r="Q1" s="3518"/>
      <c r="S1" s="3518" t="s">
        <v>2575</v>
      </c>
      <c r="T1" s="3518"/>
      <c r="U1" s="3518"/>
      <c r="V1" s="3518"/>
      <c r="X1" s="3517" t="s">
        <v>2635</v>
      </c>
      <c r="Y1" s="3518"/>
      <c r="Z1" s="3518"/>
      <c r="AA1" s="3518"/>
      <c r="AB1" s="3518"/>
      <c r="AD1" s="3517" t="s">
        <v>2639</v>
      </c>
      <c r="AE1" s="3518"/>
      <c r="AF1" s="3518"/>
      <c r="AG1" s="3518"/>
      <c r="AH1" s="3518"/>
    </row>
    <row r="2" spans="1:34" s="3055" customFormat="1" ht="14.25" thickBot="1">
      <c r="B2" s="3056" t="s">
        <v>2576</v>
      </c>
      <c r="C2" s="3056" t="s">
        <v>2637</v>
      </c>
      <c r="D2" s="3057" t="s">
        <v>1644</v>
      </c>
      <c r="E2" s="3057" t="s">
        <v>1947</v>
      </c>
      <c r="F2" s="3056" t="s">
        <v>2638</v>
      </c>
      <c r="G2" s="3058"/>
      <c r="I2" s="3056" t="s">
        <v>2952</v>
      </c>
      <c r="J2" s="3057" t="s">
        <v>2954</v>
      </c>
      <c r="K2" s="3057" t="s">
        <v>2955</v>
      </c>
      <c r="L2" s="3056" t="s">
        <v>2956</v>
      </c>
      <c r="N2" s="3056" t="s">
        <v>2576</v>
      </c>
      <c r="O2" s="3057" t="s">
        <v>2953</v>
      </c>
      <c r="P2" s="3057" t="s">
        <v>1947</v>
      </c>
      <c r="Q2" s="3056" t="s">
        <v>2638</v>
      </c>
      <c r="S2" s="3056" t="s">
        <v>2576</v>
      </c>
      <c r="T2" s="3057" t="s">
        <v>2953</v>
      </c>
      <c r="U2" s="3057" t="s">
        <v>1947</v>
      </c>
      <c r="V2" s="3056" t="s">
        <v>2638</v>
      </c>
      <c r="X2" s="3056" t="s">
        <v>2576</v>
      </c>
      <c r="Y2" s="3056" t="s">
        <v>2637</v>
      </c>
      <c r="Z2" s="3057" t="s">
        <v>1644</v>
      </c>
      <c r="AA2" s="3057" t="s">
        <v>1947</v>
      </c>
      <c r="AB2" s="3056" t="s">
        <v>2638</v>
      </c>
      <c r="AD2" s="3056" t="s">
        <v>2576</v>
      </c>
      <c r="AE2" s="3056" t="s">
        <v>2637</v>
      </c>
      <c r="AF2" s="3057" t="s">
        <v>1644</v>
      </c>
      <c r="AG2" s="3057" t="s">
        <v>1947</v>
      </c>
      <c r="AH2" s="3056" t="s">
        <v>2638</v>
      </c>
    </row>
    <row r="3" spans="1:34" s="3065" customFormat="1" ht="14.25">
      <c r="A3" s="3059" t="s">
        <v>2965</v>
      </c>
      <c r="B3" s="3060"/>
      <c r="C3" s="3060"/>
      <c r="D3" s="3061"/>
      <c r="E3" s="3061"/>
      <c r="F3" s="3060"/>
      <c r="G3" s="3062"/>
      <c r="H3" s="3063"/>
      <c r="I3" s="3064">
        <f>ROUND(AVERAGE($I4:$I31),2)</f>
        <v>1.79</v>
      </c>
      <c r="J3" s="3064">
        <f>ROUND(AVERAGE($J4:$J31),2)</f>
        <v>1.2</v>
      </c>
      <c r="K3" s="3064">
        <f>ROUND(AVERAGE($K4:$K31),2)</f>
        <v>1.97</v>
      </c>
      <c r="L3" s="3064">
        <f>ROUND(AVERAGE($L4:$L31),2)</f>
        <v>1.27</v>
      </c>
      <c r="N3" s="3062"/>
      <c r="S3" s="3062"/>
      <c r="W3" s="3066"/>
      <c r="X3" s="3067">
        <f>ROUND(SUMPRODUCT(PRODUCT(1+N3:N$30)),4)</f>
        <v>1.5652999999999999</v>
      </c>
      <c r="Y3" s="3067">
        <f>ROUND(SUMPRODUCT(PRODUCT(1+O3:O$30)),4)</f>
        <v>1.3472</v>
      </c>
      <c r="Z3" s="3067">
        <f t="shared" ref="Z3" si="0">Y3</f>
        <v>1.3472</v>
      </c>
      <c r="AA3" s="3067">
        <f>ROUND(SUMPRODUCT(PRODUCT(1+P3:P$30)),4)</f>
        <v>1.6335999999999999</v>
      </c>
      <c r="AB3" s="3067">
        <f>ROUND(SUMPRODUCT(PRODUCT(1+Q3:Q$30)),4)</f>
        <v>1.3880999999999999</v>
      </c>
      <c r="AD3" s="3068">
        <f>ROUND(AVERAGE(I3:I$31)/100,4)</f>
        <v>1.7899999999999999E-2</v>
      </c>
      <c r="AE3" s="3068">
        <f>ROUND(AVERAGE(J3:J$31)/100,4)</f>
        <v>1.2E-2</v>
      </c>
      <c r="AF3" s="3068">
        <f t="shared" ref="AF3:AF29" si="1">AE3</f>
        <v>1.2E-2</v>
      </c>
      <c r="AG3" s="3068">
        <f>ROUND(AVERAGE(K3:K$31)/100,4)</f>
        <v>1.9699999999999999E-2</v>
      </c>
      <c r="AH3" s="3068">
        <f>ROUND(AVERAGE(L3:L$31)/100,4)</f>
        <v>1.2699999999999999E-2</v>
      </c>
    </row>
    <row r="4" spans="1:34" s="3069" customFormat="1" ht="14.25">
      <c r="B4" s="3070"/>
      <c r="C4" s="3070"/>
      <c r="D4" s="3071"/>
      <c r="E4" s="3071"/>
      <c r="F4" s="3070"/>
      <c r="G4" s="3072"/>
      <c r="H4" s="3073"/>
      <c r="I4" s="3074"/>
      <c r="J4" s="3074"/>
      <c r="K4" s="3074"/>
      <c r="L4" s="3074"/>
      <c r="N4" s="3072"/>
      <c r="S4" s="3072"/>
      <c r="W4" s="3075"/>
      <c r="X4" s="3076"/>
      <c r="Y4" s="3076"/>
      <c r="Z4" s="3076"/>
      <c r="AA4" s="3076"/>
      <c r="AB4" s="3076"/>
      <c r="AD4" s="3077"/>
      <c r="AE4" s="3077"/>
      <c r="AF4" s="3077"/>
      <c r="AG4" s="3077"/>
      <c r="AH4" s="3077"/>
    </row>
    <row r="5" spans="1:34" s="3082" customFormat="1">
      <c r="A5" s="3078" t="s">
        <v>2996</v>
      </c>
      <c r="B5" s="3079">
        <f>B6*(1+N5)</f>
        <v>481.4103506697644</v>
      </c>
      <c r="C5" s="3079">
        <f>C6*(1+O5)</f>
        <v>347.29066026648707</v>
      </c>
      <c r="D5" s="3079">
        <f t="shared" ref="D5" si="2">C5</f>
        <v>347.29066026648707</v>
      </c>
      <c r="E5" s="3079">
        <f>E6*(1+P5)</f>
        <v>690.85977273901995</v>
      </c>
      <c r="F5" s="3079">
        <f>F6*(1+Q5)</f>
        <v>319.13136737000184</v>
      </c>
      <c r="G5" s="3072">
        <v>2020</v>
      </c>
      <c r="H5" s="3080">
        <v>3</v>
      </c>
      <c r="I5" s="3081">
        <v>0</v>
      </c>
      <c r="J5" s="3081">
        <v>0</v>
      </c>
      <c r="K5" s="3081">
        <v>0</v>
      </c>
      <c r="L5" s="3081">
        <v>0</v>
      </c>
      <c r="N5" s="3083">
        <f t="shared" ref="N5" si="3">I5/100</f>
        <v>0</v>
      </c>
      <c r="O5" s="3083">
        <f t="shared" ref="O5" si="4">J5/100</f>
        <v>0</v>
      </c>
      <c r="P5" s="3083">
        <f t="shared" ref="P5" si="5">K5/100</f>
        <v>0</v>
      </c>
      <c r="Q5" s="3083">
        <f t="shared" ref="Q5" si="6">L5/100</f>
        <v>0</v>
      </c>
      <c r="S5" s="3084"/>
      <c r="W5" s="3085" t="s">
        <v>2966</v>
      </c>
      <c r="X5" s="3086">
        <f>ROUND(SUMPRODUCT(PRODUCT(1+N5:N$31)),4)</f>
        <v>1.6117999999999999</v>
      </c>
      <c r="Y5" s="3086">
        <f>ROUND(SUMPRODUCT(PRODUCT(1+O5:O$31)),4)</f>
        <v>1.3788</v>
      </c>
      <c r="Z5" s="3086">
        <f t="shared" ref="Z5" si="7">Y5</f>
        <v>1.3788</v>
      </c>
      <c r="AA5" s="3086">
        <f>ROUND(SUMPRODUCT(PRODUCT(1+P5:P$31)),4)</f>
        <v>1.6872</v>
      </c>
      <c r="AB5" s="3086">
        <f>ROUND(SUMPRODUCT(PRODUCT(1+Q5:Q$31)),4)</f>
        <v>1.4069</v>
      </c>
      <c r="AD5" s="3087">
        <f>ROUND(AVERAGE(I5:I$31)/100,4)</f>
        <v>1.7899999999999999E-2</v>
      </c>
      <c r="AE5" s="3087">
        <f>ROUND(AVERAGE(J5:J$31)/100,4)</f>
        <v>1.2E-2</v>
      </c>
      <c r="AF5" s="3087">
        <f t="shared" ref="AF5" si="8">AE5</f>
        <v>1.2E-2</v>
      </c>
      <c r="AG5" s="3087">
        <f>ROUND(AVERAGE(K5:K$31)/100,4)</f>
        <v>1.9699999999999999E-2</v>
      </c>
      <c r="AH5" s="3087">
        <f>ROUND(AVERAGE(L5:L$31)/100,4)</f>
        <v>1.2699999999999999E-2</v>
      </c>
    </row>
    <row r="6" spans="1:34" s="3095" customFormat="1">
      <c r="A6" s="3088" t="s">
        <v>2995</v>
      </c>
      <c r="B6" s="3089">
        <f t="shared" ref="B6" si="9">B7*(1+N6)</f>
        <v>481.4103506697644</v>
      </c>
      <c r="C6" s="3089">
        <f t="shared" ref="C6" si="10">C7*(1+O6)</f>
        <v>347.29066026648707</v>
      </c>
      <c r="D6" s="3089">
        <f t="shared" ref="D6" si="11">C6</f>
        <v>347.29066026648707</v>
      </c>
      <c r="E6" s="3089">
        <f t="shared" ref="E6" si="12">E7*(1+P6)</f>
        <v>690.85977273901995</v>
      </c>
      <c r="F6" s="3089">
        <f t="shared" ref="F6" si="13">F7*(1+Q6)</f>
        <v>319.13136737000184</v>
      </c>
      <c r="G6" s="3072">
        <v>2020</v>
      </c>
      <c r="H6" s="3090">
        <v>2</v>
      </c>
      <c r="I6" s="3052">
        <v>0.31</v>
      </c>
      <c r="J6" s="3052">
        <v>-0.78</v>
      </c>
      <c r="K6" s="3052">
        <v>0.5</v>
      </c>
      <c r="L6" s="3053">
        <v>0.47</v>
      </c>
      <c r="M6" s="3076"/>
      <c r="N6" s="3091">
        <f t="shared" ref="N6" si="14">I6/100</f>
        <v>3.0999999999999999E-3</v>
      </c>
      <c r="O6" s="3077">
        <f t="shared" ref="O6" si="15">J6/100</f>
        <v>-7.8000000000000005E-3</v>
      </c>
      <c r="P6" s="3077">
        <f t="shared" ref="P6" si="16">K6/100</f>
        <v>5.0000000000000001E-3</v>
      </c>
      <c r="Q6" s="3077">
        <f t="shared" ref="Q6" si="17">L6/100</f>
        <v>4.6999999999999993E-3</v>
      </c>
      <c r="R6" s="3092"/>
      <c r="S6" s="3093"/>
      <c r="T6" s="3094"/>
      <c r="U6" s="3094"/>
      <c r="V6" s="3094"/>
      <c r="W6" s="3076"/>
      <c r="X6" s="3076">
        <f>ROUND(SUMPRODUCT(PRODUCT(1+N6:N$31)),4)</f>
        <v>1.6117999999999999</v>
      </c>
      <c r="Y6" s="3076">
        <f>ROUND(SUMPRODUCT(PRODUCT(1+O6:O$31)),4)</f>
        <v>1.3788</v>
      </c>
      <c r="Z6" s="3076">
        <f t="shared" ref="Z6" si="18">Y6</f>
        <v>1.3788</v>
      </c>
      <c r="AA6" s="3076">
        <f>ROUND(SUMPRODUCT(PRODUCT(1+P6:P$31)),4)</f>
        <v>1.6872</v>
      </c>
      <c r="AB6" s="3076">
        <f>ROUND(SUMPRODUCT(PRODUCT(1+Q6:Q$31)),4)</f>
        <v>1.4069</v>
      </c>
      <c r="AC6" s="3076"/>
      <c r="AD6" s="3077">
        <f>ROUND(AVERAGE(I6:I$31)/100,4)</f>
        <v>1.8599999999999998E-2</v>
      </c>
      <c r="AE6" s="3077">
        <f>ROUND(AVERAGE(J6:J$31)/100,4)</f>
        <v>1.2500000000000001E-2</v>
      </c>
      <c r="AF6" s="3077">
        <f t="shared" ref="AF6" si="19">AE6</f>
        <v>1.2500000000000001E-2</v>
      </c>
      <c r="AG6" s="3077">
        <f>ROUND(AVERAGE(K6:K$31)/100,4)</f>
        <v>2.0400000000000001E-2</v>
      </c>
      <c r="AH6" s="3077">
        <f>ROUND(AVERAGE(L6:L$31)/100,4)</f>
        <v>1.32E-2</v>
      </c>
    </row>
    <row r="7" spans="1:34" s="3095" customFormat="1">
      <c r="A7" s="3088" t="s">
        <v>2994</v>
      </c>
      <c r="B7" s="3089">
        <f t="shared" ref="B7" si="20">B8*(1+N7)</f>
        <v>479.92259063878413</v>
      </c>
      <c r="C7" s="3089">
        <f t="shared" ref="C7" si="21">C8*(1+O7)</f>
        <v>350.02082268341775</v>
      </c>
      <c r="D7" s="3089">
        <f t="shared" ref="D7" si="22">C7</f>
        <v>350.02082268341775</v>
      </c>
      <c r="E7" s="3089">
        <f t="shared" ref="E7" si="23">E8*(1+P7)</f>
        <v>687.42265944181099</v>
      </c>
      <c r="F7" s="3089">
        <f t="shared" ref="F7" si="24">F8*(1+Q7)</f>
        <v>317.63846657708956</v>
      </c>
      <c r="G7" s="3072">
        <v>2020</v>
      </c>
      <c r="H7" s="3090">
        <v>1</v>
      </c>
      <c r="I7" s="3052">
        <v>0.12</v>
      </c>
      <c r="J7" s="3052">
        <v>-0.4</v>
      </c>
      <c r="K7" s="3052">
        <v>0.21</v>
      </c>
      <c r="L7" s="3053">
        <v>0.27</v>
      </c>
      <c r="M7" s="3076"/>
      <c r="N7" s="3091">
        <f t="shared" ref="N7" si="25">I7/100</f>
        <v>1.1999999999999999E-3</v>
      </c>
      <c r="O7" s="3077">
        <f t="shared" ref="O7" si="26">J7/100</f>
        <v>-4.0000000000000001E-3</v>
      </c>
      <c r="P7" s="3077">
        <f t="shared" ref="P7" si="27">K7/100</f>
        <v>2.0999999999999999E-3</v>
      </c>
      <c r="Q7" s="3077">
        <f t="shared" ref="Q7" si="28">L7/100</f>
        <v>2.7000000000000001E-3</v>
      </c>
      <c r="R7" s="3092"/>
      <c r="S7" s="3093">
        <f>B7/B8-1</f>
        <v>1.2000000000000899E-3</v>
      </c>
      <c r="T7" s="3094">
        <f>C7/C8-1</f>
        <v>-4.0000000000000036E-3</v>
      </c>
      <c r="U7" s="3094">
        <f>E7/E8-1</f>
        <v>2.0999999999999908E-3</v>
      </c>
      <c r="V7" s="3094">
        <f>F7/F8-1</f>
        <v>2.6999999999999247E-3</v>
      </c>
      <c r="W7" s="3076"/>
      <c r="X7" s="3076">
        <f>ROUND(SUMPRODUCT(PRODUCT(1+N7:N$31)),4)</f>
        <v>1.6068</v>
      </c>
      <c r="Y7" s="3076">
        <f>ROUND(SUMPRODUCT(PRODUCT(1+O7:O$31)),4)</f>
        <v>1.3895999999999999</v>
      </c>
      <c r="Z7" s="3076">
        <f t="shared" ref="Z7" si="29">Y7</f>
        <v>1.3895999999999999</v>
      </c>
      <c r="AA7" s="3076">
        <f>ROUND(SUMPRODUCT(PRODUCT(1+P7:P$31)),4)</f>
        <v>1.6788000000000001</v>
      </c>
      <c r="AB7" s="3076">
        <f>ROUND(SUMPRODUCT(PRODUCT(1+Q7:Q$31)),4)</f>
        <v>1.4004000000000001</v>
      </c>
      <c r="AC7" s="3076"/>
      <c r="AD7" s="3077">
        <f>ROUND(AVERAGE(I7:I$31)/100,4)</f>
        <v>1.9199999999999998E-2</v>
      </c>
      <c r="AE7" s="3077">
        <f>ROUND(AVERAGE(J7:J$31)/100,4)</f>
        <v>1.3299999999999999E-2</v>
      </c>
      <c r="AF7" s="3077">
        <f t="shared" ref="AF7" si="30">AE7</f>
        <v>1.3299999999999999E-2</v>
      </c>
      <c r="AG7" s="3077">
        <f>ROUND(AVERAGE(K7:K$31)/100,4)</f>
        <v>2.1100000000000001E-2</v>
      </c>
      <c r="AH7" s="3077">
        <f>ROUND(AVERAGE(L7:L$31)/100,4)</f>
        <v>1.3599999999999999E-2</v>
      </c>
    </row>
    <row r="8" spans="1:34" s="3095" customFormat="1">
      <c r="A8" s="3088" t="s">
        <v>2993</v>
      </c>
      <c r="B8" s="3089">
        <f t="shared" ref="B8" si="31">B9*(1+N8)</f>
        <v>479.34737379023579</v>
      </c>
      <c r="C8" s="3089">
        <f t="shared" ref="C8" si="32">C9*(1+O8)</f>
        <v>351.4265287986122</v>
      </c>
      <c r="D8" s="3089">
        <f t="shared" ref="D8" si="33">C8</f>
        <v>351.4265287986122</v>
      </c>
      <c r="E8" s="3089">
        <f t="shared" ref="E8" si="34">E9*(1+P8)</f>
        <v>685.98209703803116</v>
      </c>
      <c r="F8" s="3089">
        <f t="shared" ref="F8" si="35">F9*(1+Q8)</f>
        <v>316.78315206651001</v>
      </c>
      <c r="G8" s="3072">
        <v>2019</v>
      </c>
      <c r="H8" s="3090">
        <v>4</v>
      </c>
      <c r="I8" s="3090">
        <v>0.45</v>
      </c>
      <c r="J8" s="3090">
        <v>-0.12</v>
      </c>
      <c r="K8" s="3090">
        <v>0.54</v>
      </c>
      <c r="L8" s="3096">
        <v>0.48</v>
      </c>
      <c r="M8" s="3076"/>
      <c r="N8" s="3091">
        <f t="shared" ref="N8" si="36">I8/100</f>
        <v>4.5000000000000005E-3</v>
      </c>
      <c r="O8" s="3077">
        <f t="shared" ref="O8" si="37">J8/100</f>
        <v>-1.1999999999999999E-3</v>
      </c>
      <c r="P8" s="3077">
        <f t="shared" ref="P8" si="38">K8/100</f>
        <v>5.4000000000000003E-3</v>
      </c>
      <c r="Q8" s="3077">
        <f t="shared" ref="Q8" si="39">L8/100</f>
        <v>4.7999999999999996E-3</v>
      </c>
      <c r="R8" s="3092"/>
      <c r="S8" s="3093"/>
      <c r="T8" s="3094"/>
      <c r="U8" s="3094"/>
      <c r="V8" s="3094"/>
      <c r="W8" s="3076"/>
      <c r="X8" s="3076">
        <f>ROUND(SUMPRODUCT(PRODUCT(1+N8:N$31)),4)</f>
        <v>1.6049</v>
      </c>
      <c r="Y8" s="3076">
        <f>ROUND(SUMPRODUCT(PRODUCT(1+O8:O$31)),4)</f>
        <v>1.3952</v>
      </c>
      <c r="Z8" s="3076">
        <f t="shared" ref="Z8:Z11" si="40">Y8</f>
        <v>1.3952</v>
      </c>
      <c r="AA8" s="3076">
        <f>ROUND(SUMPRODUCT(PRODUCT(1+P8:P$31)),4)</f>
        <v>1.6753</v>
      </c>
      <c r="AB8" s="3076">
        <f>ROUND(SUMPRODUCT(PRODUCT(1+Q8:Q$31)),4)</f>
        <v>1.3966000000000001</v>
      </c>
      <c r="AC8" s="3076"/>
      <c r="AD8" s="3077">
        <f>ROUND(AVERAGE(I8:I$31)/100,4)</f>
        <v>0.02</v>
      </c>
      <c r="AE8" s="3077">
        <f>ROUND(AVERAGE(J8:J$31)/100,4)</f>
        <v>1.4E-2</v>
      </c>
      <c r="AF8" s="3077">
        <f t="shared" ref="AF8" si="41">AE8</f>
        <v>1.4E-2</v>
      </c>
      <c r="AG8" s="3077">
        <f>ROUND(AVERAGE(K8:K$31)/100,4)</f>
        <v>2.1899999999999999E-2</v>
      </c>
      <c r="AH8" s="3077">
        <f>ROUND(AVERAGE(L8:L$31)/100,4)</f>
        <v>1.4E-2</v>
      </c>
    </row>
    <row r="9" spans="1:34" s="3095" customFormat="1" ht="13.5" thickBot="1">
      <c r="A9" s="3088" t="s">
        <v>2989</v>
      </c>
      <c r="B9" s="3089">
        <f t="shared" ref="B9" si="42">B10*(1+N9)</f>
        <v>477.19997390765138</v>
      </c>
      <c r="C9" s="3089">
        <f t="shared" ref="C9" si="43">C10*(1+O9)</f>
        <v>351.84874729536665</v>
      </c>
      <c r="D9" s="3089">
        <f t="shared" ref="D9" si="44">C9</f>
        <v>351.84874729536665</v>
      </c>
      <c r="E9" s="3089">
        <f t="shared" ref="E9" si="45">E10*(1+P9)</f>
        <v>682.29768951465201</v>
      </c>
      <c r="F9" s="3089">
        <f t="shared" ref="F9" si="46">F10*(1+Q9)</f>
        <v>315.26985675409043</v>
      </c>
      <c r="G9" s="3072">
        <v>2019</v>
      </c>
      <c r="H9" s="3090">
        <v>3</v>
      </c>
      <c r="I9" s="3090">
        <v>0.61</v>
      </c>
      <c r="J9" s="3090">
        <v>0.67</v>
      </c>
      <c r="K9" s="3090">
        <v>0.6</v>
      </c>
      <c r="L9" s="3096">
        <v>1.03</v>
      </c>
      <c r="M9" s="3076"/>
      <c r="N9" s="3091">
        <f t="shared" ref="N9" si="47">I9/100</f>
        <v>6.0999999999999995E-3</v>
      </c>
      <c r="O9" s="3077">
        <f t="shared" ref="O9" si="48">J9/100</f>
        <v>6.7000000000000002E-3</v>
      </c>
      <c r="P9" s="3077">
        <f t="shared" ref="P9" si="49">K9/100</f>
        <v>6.0000000000000001E-3</v>
      </c>
      <c r="Q9" s="3077">
        <f t="shared" ref="Q9" si="50">L9/100</f>
        <v>1.03E-2</v>
      </c>
      <c r="R9" s="3092"/>
      <c r="S9" s="3093"/>
      <c r="T9" s="3094"/>
      <c r="U9" s="3094"/>
      <c r="V9" s="3094"/>
      <c r="W9" s="3076"/>
      <c r="X9" s="3076">
        <f>ROUND(SUMPRODUCT(PRODUCT(1+N9:N$31)),4)</f>
        <v>1.5976999999999999</v>
      </c>
      <c r="Y9" s="3076">
        <f>ROUND(SUMPRODUCT(PRODUCT(1+O9:O$31)),4)</f>
        <v>1.3969</v>
      </c>
      <c r="Z9" s="3076">
        <f t="shared" si="40"/>
        <v>1.3969</v>
      </c>
      <c r="AA9" s="3076">
        <f>ROUND(SUMPRODUCT(PRODUCT(1+P9:P$31)),4)</f>
        <v>1.6662999999999999</v>
      </c>
      <c r="AB9" s="3076">
        <f>ROUND(SUMPRODUCT(PRODUCT(1+Q9:Q$31)),4)</f>
        <v>1.3898999999999999</v>
      </c>
      <c r="AC9" s="3076"/>
      <c r="AD9" s="3077">
        <f>ROUND(AVERAGE(I9:I$31)/100,4)</f>
        <v>2.07E-2</v>
      </c>
      <c r="AE9" s="3077">
        <f>ROUND(AVERAGE(J9:J$31)/100,4)</f>
        <v>1.47E-2</v>
      </c>
      <c r="AF9" s="3077">
        <f t="shared" ref="AF9" si="51">AE9</f>
        <v>1.47E-2</v>
      </c>
      <c r="AG9" s="3077">
        <f>ROUND(AVERAGE(K9:K$31)/100,4)</f>
        <v>2.2599999999999999E-2</v>
      </c>
      <c r="AH9" s="3077">
        <f>ROUND(AVERAGE(L9:L$31)/100,4)</f>
        <v>1.44E-2</v>
      </c>
    </row>
    <row r="10" spans="1:34" s="3095" customFormat="1">
      <c r="A10" s="3088" t="s">
        <v>2986</v>
      </c>
      <c r="B10" s="3089">
        <f t="shared" ref="B10:B15" si="52">B11*(1+N10)</f>
        <v>474.30670301923408</v>
      </c>
      <c r="C10" s="3089">
        <f t="shared" ref="C10" si="53">C11*(1+O10)</f>
        <v>349.50705005996491</v>
      </c>
      <c r="D10" s="3089">
        <f t="shared" ref="D10" si="54">C10</f>
        <v>349.50705005996491</v>
      </c>
      <c r="E10" s="3089">
        <f t="shared" ref="E10" si="55">E11*(1+P10)</f>
        <v>678.22831959706957</v>
      </c>
      <c r="F10" s="3089">
        <f t="shared" ref="F10" si="56">F11*(1+Q10)</f>
        <v>312.0556832169558</v>
      </c>
      <c r="G10" s="3072">
        <v>2019</v>
      </c>
      <c r="H10" s="3097">
        <v>2</v>
      </c>
      <c r="I10" s="3097">
        <v>1.53</v>
      </c>
      <c r="J10" s="3097">
        <v>1.01</v>
      </c>
      <c r="K10" s="3097">
        <v>1.62</v>
      </c>
      <c r="L10" s="3098">
        <v>1.25</v>
      </c>
      <c r="M10" s="3076"/>
      <c r="N10" s="3091">
        <f t="shared" ref="N10" si="57">I10/100</f>
        <v>1.5300000000000001E-2</v>
      </c>
      <c r="O10" s="3077">
        <f t="shared" ref="O10" si="58">J10/100</f>
        <v>1.01E-2</v>
      </c>
      <c r="P10" s="3077">
        <f t="shared" ref="P10" si="59">K10/100</f>
        <v>1.6200000000000003E-2</v>
      </c>
      <c r="Q10" s="3077">
        <f t="shared" ref="Q10" si="60">L10/100</f>
        <v>1.2500000000000001E-2</v>
      </c>
      <c r="R10" s="3092"/>
      <c r="S10" s="3093"/>
      <c r="T10" s="3094"/>
      <c r="U10" s="3094"/>
      <c r="V10" s="3094"/>
      <c r="W10" s="3076"/>
      <c r="X10" s="3076">
        <f>ROUND(SUMPRODUCT(PRODUCT(1+N10:N$31)),4)</f>
        <v>1.5880000000000001</v>
      </c>
      <c r="Y10" s="3076">
        <f>ROUND(SUMPRODUCT(PRODUCT(1+O10:O$31)),4)</f>
        <v>1.3875999999999999</v>
      </c>
      <c r="Z10" s="3076">
        <f t="shared" si="40"/>
        <v>1.3875999999999999</v>
      </c>
      <c r="AA10" s="3076">
        <f>ROUND(SUMPRODUCT(PRODUCT(1+P10:P$31)),4)</f>
        <v>1.6563000000000001</v>
      </c>
      <c r="AB10" s="3076">
        <f>ROUND(SUMPRODUCT(PRODUCT(1+Q10:Q$31)),4)</f>
        <v>1.3756999999999999</v>
      </c>
      <c r="AC10" s="3076"/>
      <c r="AD10" s="3077">
        <f>ROUND(AVERAGE(I10:I$31)/100,4)</f>
        <v>2.1299999999999999E-2</v>
      </c>
      <c r="AE10" s="3077">
        <f>ROUND(AVERAGE(J10:J$31)/100,4)</f>
        <v>1.4999999999999999E-2</v>
      </c>
      <c r="AF10" s="3077">
        <f t="shared" ref="AF10" si="61">AE10</f>
        <v>1.4999999999999999E-2</v>
      </c>
      <c r="AG10" s="3077">
        <f>ROUND(AVERAGE(K10:K$31)/100,4)</f>
        <v>2.3300000000000001E-2</v>
      </c>
      <c r="AH10" s="3077">
        <f>ROUND(AVERAGE(L10:L$31)/100,4)</f>
        <v>1.46E-2</v>
      </c>
    </row>
    <row r="11" spans="1:34" s="3095" customFormat="1" ht="13.5" thickBot="1">
      <c r="A11" s="3088" t="s">
        <v>2985</v>
      </c>
      <c r="B11" s="3089">
        <f t="shared" si="52"/>
        <v>467.15916775261894</v>
      </c>
      <c r="C11" s="3089">
        <f t="shared" ref="C11" si="62">C12*(1+O11)</f>
        <v>346.01232557169084</v>
      </c>
      <c r="D11" s="3089">
        <f t="shared" ref="D11" si="63">C11</f>
        <v>346.01232557169084</v>
      </c>
      <c r="E11" s="3089">
        <f t="shared" ref="E11" si="64">E12*(1+P11)</f>
        <v>667.41617752122568</v>
      </c>
      <c r="F11" s="3089">
        <f t="shared" ref="F11" si="65">F12*(1+Q11)</f>
        <v>308.20314391798104</v>
      </c>
      <c r="G11" s="3072">
        <v>2019</v>
      </c>
      <c r="H11" s="3090">
        <v>1</v>
      </c>
      <c r="I11" s="3090">
        <v>0.6</v>
      </c>
      <c r="J11" s="3090">
        <v>0.37</v>
      </c>
      <c r="K11" s="3090">
        <v>0.63</v>
      </c>
      <c r="L11" s="3096">
        <v>1.1299999999999999</v>
      </c>
      <c r="M11" s="3076"/>
      <c r="N11" s="3091">
        <f t="shared" ref="N11" si="66">I11/100</f>
        <v>6.0000000000000001E-3</v>
      </c>
      <c r="O11" s="3077">
        <f t="shared" ref="O11" si="67">J11/100</f>
        <v>3.7000000000000002E-3</v>
      </c>
      <c r="P11" s="3077">
        <f t="shared" ref="P11" si="68">K11/100</f>
        <v>6.3E-3</v>
      </c>
      <c r="Q11" s="3077">
        <f t="shared" ref="Q11" si="69">L11/100</f>
        <v>1.1299999999999999E-2</v>
      </c>
      <c r="R11" s="3092"/>
      <c r="S11" s="3093">
        <f>B11/B12-1</f>
        <v>6.0000000000000053E-3</v>
      </c>
      <c r="T11" s="3094">
        <f>C11/C12-1</f>
        <v>3.7000000000000366E-3</v>
      </c>
      <c r="U11" s="3094">
        <f>E11/E12-1</f>
        <v>6.2999999999999723E-3</v>
      </c>
      <c r="V11" s="3094">
        <f>F11/F12-1</f>
        <v>1.1300000000000088E-2</v>
      </c>
      <c r="W11" s="3076"/>
      <c r="X11" s="3099">
        <f>ROUND(SUMPRODUCT(PRODUCT(1+N11:N$31)),4)</f>
        <v>1.5641</v>
      </c>
      <c r="Y11" s="3099">
        <f>ROUND(SUMPRODUCT(PRODUCT(1+O11:O$31)),4)</f>
        <v>1.3736999999999999</v>
      </c>
      <c r="Z11" s="3099">
        <f t="shared" si="40"/>
        <v>1.3736999999999999</v>
      </c>
      <c r="AA11" s="3099">
        <f>ROUND(SUMPRODUCT(PRODUCT(1+P11:P$31)),4)</f>
        <v>1.6298999999999999</v>
      </c>
      <c r="AB11" s="3099">
        <f>ROUND(SUMPRODUCT(PRODUCT(1+Q11:Q$31)),4)</f>
        <v>1.3588</v>
      </c>
      <c r="AC11" s="3076"/>
      <c r="AD11" s="3077">
        <f>ROUND(AVERAGE(I11:I$31)/100,4)</f>
        <v>2.1600000000000001E-2</v>
      </c>
      <c r="AE11" s="3077">
        <f>ROUND(AVERAGE(J11:J$31)/100,4)</f>
        <v>1.5299999999999999E-2</v>
      </c>
      <c r="AF11" s="3077">
        <f t="shared" ref="AF11" si="70">AE11</f>
        <v>1.5299999999999999E-2</v>
      </c>
      <c r="AG11" s="3077">
        <f>ROUND(AVERAGE(K11:K$31)/100,4)</f>
        <v>2.3699999999999999E-2</v>
      </c>
      <c r="AH11" s="3077">
        <f>ROUND(AVERAGE(L11:L$31)/100,4)</f>
        <v>1.47E-2</v>
      </c>
    </row>
    <row r="12" spans="1:34" s="3095" customFormat="1">
      <c r="A12" s="3088" t="s">
        <v>2982</v>
      </c>
      <c r="B12" s="3100">
        <f t="shared" si="52"/>
        <v>464.37293017158942</v>
      </c>
      <c r="C12" s="3100">
        <f t="shared" ref="C12" si="71">C13*(1+O12)</f>
        <v>344.73679941385956</v>
      </c>
      <c r="D12" s="3100">
        <f t="shared" ref="D12" si="72">C12</f>
        <v>344.73679941385956</v>
      </c>
      <c r="E12" s="3100">
        <f t="shared" ref="E12" si="73">E13*(1+P12)</f>
        <v>663.2377795103107</v>
      </c>
      <c r="F12" s="3101">
        <f t="shared" ref="F12" si="74">F13*(1+Q12)</f>
        <v>304.75936311478398</v>
      </c>
      <c r="G12" s="3513">
        <v>2018</v>
      </c>
      <c r="H12" s="3097">
        <v>4</v>
      </c>
      <c r="I12" s="3097">
        <v>0.96</v>
      </c>
      <c r="J12" s="3097">
        <v>1.03</v>
      </c>
      <c r="K12" s="3097">
        <v>0.92</v>
      </c>
      <c r="L12" s="3098">
        <v>1.29</v>
      </c>
      <c r="M12" s="3076"/>
      <c r="N12" s="3091">
        <f t="shared" ref="N12" si="75">I12/100</f>
        <v>9.5999999999999992E-3</v>
      </c>
      <c r="O12" s="3077">
        <f t="shared" ref="O12" si="76">J12/100</f>
        <v>1.03E-2</v>
      </c>
      <c r="P12" s="3077">
        <f t="shared" ref="P12" si="77">K12/100</f>
        <v>9.1999999999999998E-3</v>
      </c>
      <c r="Q12" s="3077">
        <f t="shared" ref="Q12" si="78">L12/100</f>
        <v>1.29E-2</v>
      </c>
      <c r="R12" s="3092"/>
      <c r="S12" s="3102"/>
      <c r="T12" s="3103"/>
      <c r="U12" s="3103"/>
      <c r="V12" s="3103"/>
      <c r="W12" s="3076"/>
      <c r="X12" s="3099">
        <f>ROUND(SUMPRODUCT(PRODUCT(1+N12:N$31)),4)</f>
        <v>1.5548</v>
      </c>
      <c r="Y12" s="3099">
        <f>ROUND(SUMPRODUCT(PRODUCT(1+O12:O$31)),4)</f>
        <v>1.3686</v>
      </c>
      <c r="Z12" s="3099">
        <f t="shared" ref="Z12:Z30" si="79">Y12</f>
        <v>1.3686</v>
      </c>
      <c r="AA12" s="3099">
        <f>ROUND(SUMPRODUCT(PRODUCT(1+P12:P$31)),4)</f>
        <v>1.6196999999999999</v>
      </c>
      <c r="AB12" s="3099">
        <f>ROUND(SUMPRODUCT(PRODUCT(1+Q12:Q$31)),4)</f>
        <v>1.3435999999999999</v>
      </c>
      <c r="AC12" s="3076"/>
      <c r="AD12" s="3077">
        <f>ROUND(AVERAGE(I12:I$31)/100,4)</f>
        <v>2.24E-2</v>
      </c>
      <c r="AE12" s="3077">
        <f>ROUND(AVERAGE(J12:J$31)/100,4)</f>
        <v>1.5800000000000002E-2</v>
      </c>
      <c r="AF12" s="3077">
        <f t="shared" ref="AF12" si="80">AE12</f>
        <v>1.5800000000000002E-2</v>
      </c>
      <c r="AG12" s="3077">
        <f>ROUND(AVERAGE(K12:K$31)/100,4)</f>
        <v>2.4500000000000001E-2</v>
      </c>
      <c r="AH12" s="3077">
        <f>ROUND(AVERAGE(L12:L$31)/100,4)</f>
        <v>1.49E-2</v>
      </c>
    </row>
    <row r="13" spans="1:34" s="3095" customFormat="1" ht="14.45" customHeight="1">
      <c r="A13" s="3088" t="s">
        <v>2975</v>
      </c>
      <c r="B13" s="3089">
        <f t="shared" si="52"/>
        <v>459.95733971036987</v>
      </c>
      <c r="C13" s="3089">
        <f t="shared" ref="C13" si="81">C14*(1+O13)</f>
        <v>341.22221064422405</v>
      </c>
      <c r="D13" s="3089">
        <f t="shared" ref="D13" si="82">C13</f>
        <v>341.22221064422405</v>
      </c>
      <c r="E13" s="3089">
        <f t="shared" ref="E13" si="83">E14*(1+P13)</f>
        <v>657.19161663724799</v>
      </c>
      <c r="F13" s="3089">
        <f t="shared" ref="F13" si="84">F14*(1+Q13)</f>
        <v>300.87803644464805</v>
      </c>
      <c r="G13" s="3513"/>
      <c r="H13" s="3090">
        <v>3</v>
      </c>
      <c r="I13" s="3090">
        <v>1.51</v>
      </c>
      <c r="J13" s="3090">
        <v>1.41</v>
      </c>
      <c r="K13" s="3090">
        <v>1.52</v>
      </c>
      <c r="L13" s="3096">
        <v>1.74</v>
      </c>
      <c r="M13" s="3076"/>
      <c r="N13" s="3091">
        <f t="shared" ref="N13" si="85">I13/100</f>
        <v>1.5100000000000001E-2</v>
      </c>
      <c r="O13" s="3077">
        <f t="shared" ref="O13" si="86">J13/100</f>
        <v>1.41E-2</v>
      </c>
      <c r="P13" s="3077">
        <f t="shared" ref="P13" si="87">K13/100</f>
        <v>1.52E-2</v>
      </c>
      <c r="Q13" s="3077">
        <f t="shared" ref="Q13" si="88">L13/100</f>
        <v>1.7399999999999999E-2</v>
      </c>
      <c r="R13" s="3092"/>
      <c r="S13" s="3091"/>
      <c r="T13" s="3077"/>
      <c r="U13" s="3077"/>
      <c r="V13" s="3077"/>
      <c r="W13" s="3076"/>
      <c r="X13" s="3099">
        <f>ROUND(SUMPRODUCT(PRODUCT(1+N13:N$31)),4)</f>
        <v>1.54</v>
      </c>
      <c r="Y13" s="3099">
        <f>ROUND(SUMPRODUCT(PRODUCT(1+O13:O$31)),4)</f>
        <v>1.3547</v>
      </c>
      <c r="Z13" s="3099">
        <f t="shared" si="79"/>
        <v>1.3547</v>
      </c>
      <c r="AA13" s="3099">
        <f>ROUND(SUMPRODUCT(PRODUCT(1+P13:P$31)),4)</f>
        <v>1.605</v>
      </c>
      <c r="AB13" s="3099">
        <f>ROUND(SUMPRODUCT(PRODUCT(1+Q13:Q$31)),4)</f>
        <v>1.3265</v>
      </c>
      <c r="AC13" s="3076"/>
      <c r="AD13" s="3077">
        <f>ROUND(AVERAGE(I13:I$31)/100,4)</f>
        <v>2.3099999999999999E-2</v>
      </c>
      <c r="AE13" s="3077">
        <f>ROUND(AVERAGE(J13:J$31)/100,4)</f>
        <v>1.61E-2</v>
      </c>
      <c r="AF13" s="3077">
        <f t="shared" ref="AF13" si="89">AE13</f>
        <v>1.61E-2</v>
      </c>
      <c r="AG13" s="3077">
        <f>ROUND(AVERAGE(K13:K$31)/100,4)</f>
        <v>2.53E-2</v>
      </c>
      <c r="AH13" s="3077">
        <f>ROUND(AVERAGE(L13:L$31)/100,4)</f>
        <v>1.4999999999999999E-2</v>
      </c>
    </row>
    <row r="14" spans="1:34" s="3095" customFormat="1" ht="14.45" customHeight="1">
      <c r="A14" s="3088" t="s">
        <v>2976</v>
      </c>
      <c r="B14" s="3089">
        <f t="shared" si="52"/>
        <v>453.11529869999993</v>
      </c>
      <c r="C14" s="3089">
        <f t="shared" ref="C14" si="90">C15*(1+O14)</f>
        <v>336.47787264000004</v>
      </c>
      <c r="D14" s="3089">
        <f t="shared" ref="D14" si="91">C14</f>
        <v>336.47787264000004</v>
      </c>
      <c r="E14" s="3089">
        <f t="shared" ref="E14" si="92">E15*(1+P14)</f>
        <v>647.35186823999993</v>
      </c>
      <c r="F14" s="3089">
        <f t="shared" ref="F14" si="93">F15*(1+Q14)</f>
        <v>295.73229452000004</v>
      </c>
      <c r="G14" s="3513"/>
      <c r="H14" s="3104">
        <v>2</v>
      </c>
      <c r="I14" s="3104">
        <v>1.49</v>
      </c>
      <c r="J14" s="3104">
        <v>0.96</v>
      </c>
      <c r="K14" s="3104">
        <v>1.58</v>
      </c>
      <c r="L14" s="3105">
        <v>2.44</v>
      </c>
      <c r="M14" s="3076"/>
      <c r="N14" s="3091">
        <f t="shared" ref="N14" si="94">I14/100</f>
        <v>1.49E-2</v>
      </c>
      <c r="O14" s="3077">
        <f t="shared" ref="O14" si="95">J14/100</f>
        <v>9.5999999999999992E-3</v>
      </c>
      <c r="P14" s="3077">
        <f t="shared" ref="P14" si="96">K14/100</f>
        <v>1.5800000000000002E-2</v>
      </c>
      <c r="Q14" s="3077">
        <f t="shared" ref="Q14" si="97">L14/100</f>
        <v>2.4399999999999998E-2</v>
      </c>
      <c r="R14" s="3092"/>
      <c r="S14" s="3091"/>
      <c r="T14" s="3077"/>
      <c r="U14" s="3077"/>
      <c r="V14" s="3077"/>
      <c r="W14" s="3076"/>
      <c r="X14" s="3099">
        <f>ROUND(SUMPRODUCT(PRODUCT(1+N14:N$31)),4)</f>
        <v>1.5170999999999999</v>
      </c>
      <c r="Y14" s="3099">
        <f>ROUND(SUMPRODUCT(PRODUCT(1+O14:O$31)),4)</f>
        <v>1.3358000000000001</v>
      </c>
      <c r="Z14" s="3099">
        <f t="shared" si="79"/>
        <v>1.3358000000000001</v>
      </c>
      <c r="AA14" s="3099">
        <f>ROUND(SUMPRODUCT(PRODUCT(1+P14:P$31)),4)</f>
        <v>1.5809</v>
      </c>
      <c r="AB14" s="3099">
        <f>ROUND(SUMPRODUCT(PRODUCT(1+Q14:Q$31)),4)</f>
        <v>1.3038000000000001</v>
      </c>
      <c r="AC14" s="3076"/>
      <c r="AD14" s="3077">
        <f>ROUND(AVERAGE(I14:I$31)/100,4)</f>
        <v>2.35E-2</v>
      </c>
      <c r="AE14" s="3077">
        <f>ROUND(AVERAGE(J14:J$31)/100,4)</f>
        <v>1.6199999999999999E-2</v>
      </c>
      <c r="AF14" s="3077">
        <f t="shared" ref="AF14" si="98">AE14</f>
        <v>1.6199999999999999E-2</v>
      </c>
      <c r="AG14" s="3077">
        <f>ROUND(AVERAGE(K14:K$31)/100,4)</f>
        <v>2.5899999999999999E-2</v>
      </c>
      <c r="AH14" s="3077">
        <f>ROUND(AVERAGE(L14:L$31)/100,4)</f>
        <v>1.49E-2</v>
      </c>
    </row>
    <row r="15" spans="1:34" s="3095" customFormat="1" ht="15" customHeight="1" thickBot="1">
      <c r="A15" s="3088" t="s">
        <v>2972</v>
      </c>
      <c r="B15" s="3089">
        <f t="shared" si="52"/>
        <v>446.46299999999997</v>
      </c>
      <c r="C15" s="3089">
        <f t="shared" ref="C15" si="99">C16*(1+O15)</f>
        <v>333.27840000000003</v>
      </c>
      <c r="D15" s="3089">
        <f t="shared" ref="D15:D20" si="100">C15</f>
        <v>333.27840000000003</v>
      </c>
      <c r="E15" s="3089">
        <f t="shared" ref="E15" si="101">E16*(1+P15)</f>
        <v>637.28279999999995</v>
      </c>
      <c r="F15" s="3089">
        <f t="shared" ref="F15" si="102">F16*(1+Q15)</f>
        <v>288.68830000000003</v>
      </c>
      <c r="G15" s="3514"/>
      <c r="H15" s="3090">
        <v>1</v>
      </c>
      <c r="I15" s="3090">
        <v>1.7</v>
      </c>
      <c r="J15" s="3090">
        <v>1.92</v>
      </c>
      <c r="K15" s="3090">
        <v>1.64</v>
      </c>
      <c r="L15" s="3096">
        <v>2.0099999999999998</v>
      </c>
      <c r="M15" s="3076"/>
      <c r="N15" s="3091">
        <f t="shared" ref="N15:N20" si="103">I15/100</f>
        <v>1.7000000000000001E-2</v>
      </c>
      <c r="O15" s="3077">
        <f t="shared" ref="O15" si="104">J15/100</f>
        <v>1.9199999999999998E-2</v>
      </c>
      <c r="P15" s="3077">
        <f t="shared" ref="P15" si="105">K15/100</f>
        <v>1.6399999999999998E-2</v>
      </c>
      <c r="Q15" s="3077">
        <f t="shared" ref="Q15" si="106">L15/100</f>
        <v>2.0099999999999996E-2</v>
      </c>
      <c r="R15" s="3092"/>
      <c r="S15" s="3093">
        <f>B15/B16-1</f>
        <v>1.6999999999999904E-2</v>
      </c>
      <c r="T15" s="3094">
        <f>C15/C16-1</f>
        <v>1.9200000000000106E-2</v>
      </c>
      <c r="U15" s="3094">
        <f>E15/E16-1</f>
        <v>1.639999999999997E-2</v>
      </c>
      <c r="V15" s="3094">
        <f>F15/F16-1</f>
        <v>2.0100000000000007E-2</v>
      </c>
      <c r="W15" s="3076"/>
      <c r="X15" s="3099">
        <f>ROUND(SUMPRODUCT(PRODUCT(1+N15:N$31)),4)</f>
        <v>1.4947999999999999</v>
      </c>
      <c r="Y15" s="3099">
        <f>ROUND(SUMPRODUCT(PRODUCT(1+O15:O$31)),4)</f>
        <v>1.3230999999999999</v>
      </c>
      <c r="Z15" s="3099">
        <f t="shared" si="79"/>
        <v>1.3230999999999999</v>
      </c>
      <c r="AA15" s="3099">
        <f>ROUND(SUMPRODUCT(PRODUCT(1+P15:P$31)),4)</f>
        <v>1.5564</v>
      </c>
      <c r="AB15" s="3099">
        <f>ROUND(SUMPRODUCT(PRODUCT(1+Q15:Q$31)),4)</f>
        <v>1.2726999999999999</v>
      </c>
      <c r="AC15" s="3076"/>
      <c r="AD15" s="3077">
        <f>ROUND(AVERAGE(I15:I$31)/100,4)</f>
        <v>2.4E-2</v>
      </c>
      <c r="AE15" s="3077">
        <f>ROUND(AVERAGE(J15:J$31)/100,4)</f>
        <v>1.66E-2</v>
      </c>
      <c r="AF15" s="3077">
        <f t="shared" ref="AF15" si="107">AE15</f>
        <v>1.66E-2</v>
      </c>
      <c r="AG15" s="3077">
        <f>ROUND(AVERAGE(K15:K$31)/100,4)</f>
        <v>2.6499999999999999E-2</v>
      </c>
      <c r="AH15" s="3077">
        <f>ROUND(AVERAGE(L15:L$31)/100,4)</f>
        <v>1.43E-2</v>
      </c>
    </row>
    <row r="16" spans="1:34">
      <c r="A16" s="3088" t="s">
        <v>2963</v>
      </c>
      <c r="B16" s="3106">
        <v>439</v>
      </c>
      <c r="C16" s="3106">
        <v>327</v>
      </c>
      <c r="D16" s="3106">
        <f t="shared" si="100"/>
        <v>327</v>
      </c>
      <c r="E16" s="3106">
        <v>627</v>
      </c>
      <c r="F16" s="3107">
        <v>283</v>
      </c>
      <c r="G16" s="3512">
        <v>2017</v>
      </c>
      <c r="H16" s="3097">
        <v>4</v>
      </c>
      <c r="I16" s="3097">
        <v>1.71</v>
      </c>
      <c r="J16" s="3097">
        <v>1.78</v>
      </c>
      <c r="K16" s="3097">
        <v>1.71</v>
      </c>
      <c r="L16" s="3098">
        <v>1.43</v>
      </c>
      <c r="N16" s="3108">
        <f t="shared" si="103"/>
        <v>1.7100000000000001E-2</v>
      </c>
      <c r="O16" s="3109">
        <f t="shared" ref="O16" si="108">J16/100</f>
        <v>1.78E-2</v>
      </c>
      <c r="P16" s="3109">
        <f t="shared" ref="P16" si="109">K16/100</f>
        <v>1.7100000000000001E-2</v>
      </c>
      <c r="Q16" s="3109">
        <f t="shared" ref="Q16" si="110">L16/100</f>
        <v>1.43E-2</v>
      </c>
      <c r="R16" s="3092"/>
      <c r="S16" s="3102"/>
      <c r="T16" s="3103"/>
      <c r="U16" s="3103"/>
      <c r="V16" s="3103"/>
      <c r="X16" s="3099">
        <f>ROUND(SUMPRODUCT(PRODUCT(1+N16:N$31)),4)</f>
        <v>1.4698</v>
      </c>
      <c r="Y16" s="3099">
        <f>ROUND(SUMPRODUCT(PRODUCT(1+O16:O$31)),4)</f>
        <v>1.2982</v>
      </c>
      <c r="Z16" s="3099">
        <f t="shared" si="79"/>
        <v>1.2982</v>
      </c>
      <c r="AA16" s="3099">
        <f>ROUND(SUMPRODUCT(PRODUCT(1+P16:P$31)),4)</f>
        <v>1.5311999999999999</v>
      </c>
      <c r="AB16" s="3099">
        <f>ROUND(SUMPRODUCT(PRODUCT(1+Q16:Q$31)),4)</f>
        <v>1.2476</v>
      </c>
      <c r="AD16" s="3077">
        <f>ROUND(AVERAGE(I16:I$31)/100,4)</f>
        <v>2.4500000000000001E-2</v>
      </c>
      <c r="AE16" s="3077">
        <f>ROUND(AVERAGE(J16:J$31)/100,4)</f>
        <v>1.6500000000000001E-2</v>
      </c>
      <c r="AF16" s="3077">
        <f t="shared" si="1"/>
        <v>1.6500000000000001E-2</v>
      </c>
      <c r="AG16" s="3077">
        <f>ROUND(AVERAGE(K16:K$31)/100,4)</f>
        <v>2.7099999999999999E-2</v>
      </c>
      <c r="AH16" s="3077">
        <f>ROUND(AVERAGE(L16:L$31)/100,4)</f>
        <v>1.3899999999999999E-2</v>
      </c>
    </row>
    <row r="17" spans="1:34" s="3095" customFormat="1" ht="14.45" customHeight="1">
      <c r="A17" s="3088" t="s">
        <v>2967</v>
      </c>
      <c r="B17" s="3089">
        <f t="shared" ref="B17:C19" si="111">B18*(1+N17)</f>
        <v>431.80730811680002</v>
      </c>
      <c r="C17" s="3089">
        <f t="shared" si="111"/>
        <v>320.57880516480003</v>
      </c>
      <c r="D17" s="3089">
        <f t="shared" si="100"/>
        <v>320.57880516480003</v>
      </c>
      <c r="E17" s="3089">
        <f t="shared" ref="E17:F19" si="112">E18*(1+P17)</f>
        <v>615.96110553196797</v>
      </c>
      <c r="F17" s="3089">
        <f t="shared" si="112"/>
        <v>279.46777300108801</v>
      </c>
      <c r="G17" s="3513"/>
      <c r="H17" s="3090">
        <v>3</v>
      </c>
      <c r="I17" s="3090">
        <v>2.98</v>
      </c>
      <c r="J17" s="3090">
        <v>2.11</v>
      </c>
      <c r="K17" s="3090">
        <v>3.24</v>
      </c>
      <c r="L17" s="3096">
        <v>1.72</v>
      </c>
      <c r="M17" s="3076"/>
      <c r="N17" s="3091">
        <f t="shared" si="103"/>
        <v>2.98E-2</v>
      </c>
      <c r="O17" s="3110">
        <f t="shared" ref="O17:O18" si="113">J17/100</f>
        <v>2.1099999999999997E-2</v>
      </c>
      <c r="P17" s="3110">
        <f t="shared" ref="P17:P18" si="114">K17/100</f>
        <v>3.2400000000000005E-2</v>
      </c>
      <c r="Q17" s="3110">
        <f t="shared" ref="Q17:Q18" si="115">L17/100</f>
        <v>1.72E-2</v>
      </c>
      <c r="R17" s="3092"/>
      <c r="S17" s="3091"/>
      <c r="T17" s="3077"/>
      <c r="U17" s="3077"/>
      <c r="V17" s="3077"/>
      <c r="W17" s="3076"/>
      <c r="X17" s="3099">
        <f>ROUND(SUMPRODUCT(PRODUCT(1+N17:N$31)),4)</f>
        <v>1.4451000000000001</v>
      </c>
      <c r="Y17" s="3099">
        <f>ROUND(SUMPRODUCT(PRODUCT(1+O17:O$31)),4)</f>
        <v>1.2755000000000001</v>
      </c>
      <c r="Z17" s="3099">
        <f t="shared" si="79"/>
        <v>1.2755000000000001</v>
      </c>
      <c r="AA17" s="3099">
        <f>ROUND(SUMPRODUCT(PRODUCT(1+P17:P$31)),4)</f>
        <v>1.5055000000000001</v>
      </c>
      <c r="AB17" s="3099">
        <f>ROUND(SUMPRODUCT(PRODUCT(1+Q17:Q$31)),4)</f>
        <v>1.2301</v>
      </c>
      <c r="AC17" s="3076"/>
      <c r="AD17" s="3077">
        <f>ROUND(AVERAGE(I17:I$31)/100,4)</f>
        <v>2.4899999999999999E-2</v>
      </c>
      <c r="AE17" s="3077">
        <f>ROUND(AVERAGE(J17:J$31)/100,4)</f>
        <v>1.6400000000000001E-2</v>
      </c>
      <c r="AF17" s="3077">
        <f t="shared" si="1"/>
        <v>1.6400000000000001E-2</v>
      </c>
      <c r="AG17" s="3077">
        <f>ROUND(AVERAGE(K17:K$31)/100,4)</f>
        <v>2.7799999999999998E-2</v>
      </c>
      <c r="AH17" s="3077">
        <f>ROUND(AVERAGE(L17:L$31)/100,4)</f>
        <v>1.3899999999999999E-2</v>
      </c>
    </row>
    <row r="18" spans="1:34" s="3054" customFormat="1" ht="14.45" customHeight="1">
      <c r="A18" s="3088" t="s">
        <v>2577</v>
      </c>
      <c r="B18" s="3089">
        <f t="shared" si="111"/>
        <v>419.31181600000002</v>
      </c>
      <c r="C18" s="3089">
        <f t="shared" si="111"/>
        <v>313.95436800000004</v>
      </c>
      <c r="D18" s="3089">
        <f t="shared" si="100"/>
        <v>313.95436800000004</v>
      </c>
      <c r="E18" s="3089">
        <f t="shared" si="112"/>
        <v>596.63028431999999</v>
      </c>
      <c r="F18" s="3089">
        <f t="shared" si="112"/>
        <v>274.74220703999998</v>
      </c>
      <c r="G18" s="3513"/>
      <c r="H18" s="3104">
        <v>2</v>
      </c>
      <c r="I18" s="3104">
        <v>3.4</v>
      </c>
      <c r="J18" s="3104">
        <v>2</v>
      </c>
      <c r="K18" s="3104">
        <v>3.82</v>
      </c>
      <c r="L18" s="3105">
        <v>1.68</v>
      </c>
      <c r="N18" s="3091">
        <f t="shared" si="103"/>
        <v>3.4000000000000002E-2</v>
      </c>
      <c r="O18" s="3110">
        <f t="shared" si="113"/>
        <v>0.02</v>
      </c>
      <c r="P18" s="3110">
        <f t="shared" si="114"/>
        <v>3.8199999999999998E-2</v>
      </c>
      <c r="Q18" s="3110">
        <f t="shared" si="115"/>
        <v>1.6799999999999999E-2</v>
      </c>
      <c r="S18" s="3091"/>
      <c r="T18" s="3077"/>
      <c r="U18" s="3077"/>
      <c r="V18" s="3077"/>
      <c r="X18" s="3099">
        <f>ROUND(SUMPRODUCT(PRODUCT(1+N18:N$31)),4)</f>
        <v>1.4033</v>
      </c>
      <c r="Y18" s="3099">
        <f>ROUND(SUMPRODUCT(PRODUCT(1+O18:O$31)),4)</f>
        <v>1.2491000000000001</v>
      </c>
      <c r="Z18" s="3099">
        <f t="shared" si="79"/>
        <v>1.2491000000000001</v>
      </c>
      <c r="AA18" s="3099">
        <f>ROUND(SUMPRODUCT(PRODUCT(1+P18:P$31)),4)</f>
        <v>1.4581999999999999</v>
      </c>
      <c r="AB18" s="3099">
        <f>ROUND(SUMPRODUCT(PRODUCT(1+Q18:Q$31)),4)</f>
        <v>1.2093</v>
      </c>
      <c r="AD18" s="3077">
        <f>ROUND(AVERAGE(I18:I$31)/100,4)</f>
        <v>2.46E-2</v>
      </c>
      <c r="AE18" s="3077">
        <f>ROUND(AVERAGE(J18:J$31)/100,4)</f>
        <v>1.6E-2</v>
      </c>
      <c r="AF18" s="3077">
        <f t="shared" si="1"/>
        <v>1.6E-2</v>
      </c>
      <c r="AG18" s="3077">
        <f>ROUND(AVERAGE(K18:K$31)/100,4)</f>
        <v>2.75E-2</v>
      </c>
      <c r="AH18" s="3077">
        <f>ROUND(AVERAGE(L18:L$31)/100,4)</f>
        <v>1.37E-2</v>
      </c>
    </row>
    <row r="19" spans="1:34" s="3095" customFormat="1" ht="15" customHeight="1" thickBot="1">
      <c r="A19" s="3088" t="s">
        <v>2578</v>
      </c>
      <c r="B19" s="3089">
        <f t="shared" si="111"/>
        <v>405.524</v>
      </c>
      <c r="C19" s="3089">
        <f t="shared" si="111"/>
        <v>307.79840000000002</v>
      </c>
      <c r="D19" s="3089">
        <f t="shared" si="100"/>
        <v>307.79840000000002</v>
      </c>
      <c r="E19" s="3089">
        <f t="shared" si="112"/>
        <v>574.67759999999998</v>
      </c>
      <c r="F19" s="3089">
        <f t="shared" si="112"/>
        <v>270.20280000000002</v>
      </c>
      <c r="G19" s="3514"/>
      <c r="H19" s="3090">
        <v>1</v>
      </c>
      <c r="I19" s="3090">
        <v>3.45</v>
      </c>
      <c r="J19" s="3090">
        <v>1.92</v>
      </c>
      <c r="K19" s="3090">
        <v>3.92</v>
      </c>
      <c r="L19" s="3096">
        <v>1.58</v>
      </c>
      <c r="M19" s="3076"/>
      <c r="N19" s="3093">
        <f t="shared" si="103"/>
        <v>3.4500000000000003E-2</v>
      </c>
      <c r="O19" s="3094">
        <f t="shared" ref="O19" si="116">J19/100</f>
        <v>1.9199999999999998E-2</v>
      </c>
      <c r="P19" s="3094">
        <f t="shared" ref="P19" si="117">K19/100</f>
        <v>3.9199999999999999E-2</v>
      </c>
      <c r="Q19" s="3094">
        <f t="shared" ref="Q19" si="118">L19/100</f>
        <v>1.5800000000000002E-2</v>
      </c>
      <c r="R19" s="3092"/>
      <c r="S19" s="3093">
        <f>B19/B20-1</f>
        <v>3.4499999999999975E-2</v>
      </c>
      <c r="T19" s="3094">
        <f>C19/C20-1</f>
        <v>1.9200000000000106E-2</v>
      </c>
      <c r="U19" s="3094">
        <f>E19/E20-1</f>
        <v>3.9199999999999902E-2</v>
      </c>
      <c r="V19" s="3094">
        <f>F19/F20-1</f>
        <v>1.5800000000000036E-2</v>
      </c>
      <c r="W19" s="3076"/>
      <c r="X19" s="3099">
        <f>ROUND(SUMPRODUCT(PRODUCT(1+N19:N$31)),4)</f>
        <v>1.3571</v>
      </c>
      <c r="Y19" s="3099">
        <f>ROUND(SUMPRODUCT(PRODUCT(1+O19:O$31)),4)</f>
        <v>1.2245999999999999</v>
      </c>
      <c r="Z19" s="3099">
        <f t="shared" si="79"/>
        <v>1.2245999999999999</v>
      </c>
      <c r="AA19" s="3099">
        <f>ROUND(SUMPRODUCT(PRODUCT(1+P19:P$31)),4)</f>
        <v>1.4046000000000001</v>
      </c>
      <c r="AB19" s="3099">
        <f>ROUND(SUMPRODUCT(PRODUCT(1+Q19:Q$31)),4)</f>
        <v>1.1893</v>
      </c>
      <c r="AC19" s="3076"/>
      <c r="AD19" s="3077">
        <f>ROUND(AVERAGE(I19:I$31)/100,4)</f>
        <v>2.3900000000000001E-2</v>
      </c>
      <c r="AE19" s="3077">
        <f>ROUND(AVERAGE(J19:J$31)/100,4)</f>
        <v>1.5699999999999999E-2</v>
      </c>
      <c r="AF19" s="3077">
        <f t="shared" si="1"/>
        <v>1.5699999999999999E-2</v>
      </c>
      <c r="AG19" s="3077">
        <f>ROUND(AVERAGE(K19:K$31)/100,4)</f>
        <v>2.6599999999999999E-2</v>
      </c>
      <c r="AH19" s="3077">
        <f>ROUND(AVERAGE(L19:L$31)/100,4)</f>
        <v>1.34E-2</v>
      </c>
    </row>
    <row r="20" spans="1:34">
      <c r="A20" s="3088" t="s">
        <v>970</v>
      </c>
      <c r="B20" s="3111">
        <v>392</v>
      </c>
      <c r="C20" s="3111">
        <v>302</v>
      </c>
      <c r="D20" s="3111">
        <f t="shared" si="100"/>
        <v>302</v>
      </c>
      <c r="E20" s="3111">
        <v>553</v>
      </c>
      <c r="F20" s="3112">
        <v>266</v>
      </c>
      <c r="G20" s="3512">
        <v>2016</v>
      </c>
      <c r="H20" s="3097">
        <v>4</v>
      </c>
      <c r="I20" s="3097">
        <v>4.5599999999999996</v>
      </c>
      <c r="J20" s="3097">
        <v>2.15</v>
      </c>
      <c r="K20" s="3097">
        <v>5.32</v>
      </c>
      <c r="L20" s="3098">
        <v>1.57</v>
      </c>
      <c r="N20" s="3091">
        <f t="shared" si="103"/>
        <v>4.5599999999999995E-2</v>
      </c>
      <c r="O20" s="3077">
        <f t="shared" ref="O20:Q35" si="119">J20/100</f>
        <v>2.1499999999999998E-2</v>
      </c>
      <c r="P20" s="3077">
        <f t="shared" si="119"/>
        <v>5.3200000000000004E-2</v>
      </c>
      <c r="Q20" s="3077">
        <f t="shared" si="119"/>
        <v>1.5700000000000002E-2</v>
      </c>
      <c r="R20" s="3092"/>
      <c r="S20" s="3102"/>
      <c r="T20" s="3103"/>
      <c r="U20" s="3103"/>
      <c r="V20" s="3103"/>
      <c r="X20" s="3099">
        <f>ROUND(SUMPRODUCT(PRODUCT(1+N20:N$31)),4)</f>
        <v>1.3119000000000001</v>
      </c>
      <c r="Y20" s="3099">
        <f>ROUND(SUMPRODUCT(PRODUCT(1+O20:O$31)),4)</f>
        <v>1.2016</v>
      </c>
      <c r="Z20" s="3099">
        <f t="shared" si="79"/>
        <v>1.2016</v>
      </c>
      <c r="AA20" s="3099">
        <f>ROUND(SUMPRODUCT(PRODUCT(1+P20:P$31)),4)</f>
        <v>1.3515999999999999</v>
      </c>
      <c r="AB20" s="3099">
        <f>ROUND(SUMPRODUCT(PRODUCT(1+Q20:Q$31)),4)</f>
        <v>1.1708000000000001</v>
      </c>
      <c r="AD20" s="3077">
        <f>ROUND(AVERAGE(I20:I$31)/100,4)</f>
        <v>2.3E-2</v>
      </c>
      <c r="AE20" s="3077">
        <f>ROUND(AVERAGE(J20:J$31)/100,4)</f>
        <v>1.55E-2</v>
      </c>
      <c r="AF20" s="3077">
        <f t="shared" si="1"/>
        <v>1.55E-2</v>
      </c>
      <c r="AG20" s="3077">
        <f>ROUND(AVERAGE(K20:K$31)/100,4)</f>
        <v>2.5600000000000001E-2</v>
      </c>
      <c r="AH20" s="3077">
        <f>ROUND(AVERAGE(L20:L$31)/100,4)</f>
        <v>1.32E-2</v>
      </c>
    </row>
    <row r="21" spans="1:34">
      <c r="A21" s="3088" t="s">
        <v>969</v>
      </c>
      <c r="B21" s="3089">
        <f t="shared" ref="B21:C23" si="120">B20/(1+N20)</f>
        <v>374.90436113236416</v>
      </c>
      <c r="C21" s="3089">
        <f t="shared" si="120"/>
        <v>295.64366128242779</v>
      </c>
      <c r="D21" s="3089">
        <f t="shared" ref="D21:D80" si="121">C21</f>
        <v>295.64366128242779</v>
      </c>
      <c r="E21" s="3089">
        <f t="shared" ref="E21:F23" si="122">E20/(1+P20)</f>
        <v>525.06646410938095</v>
      </c>
      <c r="F21" s="3089">
        <f t="shared" si="122"/>
        <v>261.88835286009646</v>
      </c>
      <c r="G21" s="3513"/>
      <c r="H21" s="3090">
        <v>3</v>
      </c>
      <c r="I21" s="3090">
        <v>4.12</v>
      </c>
      <c r="J21" s="3090">
        <v>2</v>
      </c>
      <c r="K21" s="3090">
        <v>4.79</v>
      </c>
      <c r="L21" s="3096">
        <v>1.97</v>
      </c>
      <c r="N21" s="3091">
        <f t="shared" ref="N21:Q55" si="123">I21/100</f>
        <v>4.1200000000000001E-2</v>
      </c>
      <c r="O21" s="3077">
        <f t="shared" si="119"/>
        <v>0.02</v>
      </c>
      <c r="P21" s="3077">
        <f t="shared" si="119"/>
        <v>4.7899999999999998E-2</v>
      </c>
      <c r="Q21" s="3077">
        <f t="shared" si="119"/>
        <v>1.9699999999999999E-2</v>
      </c>
      <c r="R21" s="3092"/>
      <c r="S21" s="3091"/>
      <c r="T21" s="3077"/>
      <c r="U21" s="3077"/>
      <c r="V21" s="3077"/>
      <c r="X21" s="3099">
        <f>ROUND(SUMPRODUCT(PRODUCT(1+N21:N$31)),4)</f>
        <v>1.2546999999999999</v>
      </c>
      <c r="Y21" s="3099">
        <f>ROUND(SUMPRODUCT(PRODUCT(1+O21:O$31)),4)</f>
        <v>1.1762999999999999</v>
      </c>
      <c r="Z21" s="3099">
        <f t="shared" si="79"/>
        <v>1.1762999999999999</v>
      </c>
      <c r="AA21" s="3099">
        <f>ROUND(SUMPRODUCT(PRODUCT(1+P21:P$31)),4)</f>
        <v>1.2833000000000001</v>
      </c>
      <c r="AB21" s="3099">
        <f>ROUND(SUMPRODUCT(PRODUCT(1+Q21:Q$31)),4)</f>
        <v>1.1527000000000001</v>
      </c>
      <c r="AD21" s="3077">
        <f>ROUND(AVERAGE(I21:I$31)/100,4)</f>
        <v>2.0899999999999998E-2</v>
      </c>
      <c r="AE21" s="3077">
        <f>ROUND(AVERAGE(J21:J$31)/100,4)</f>
        <v>1.49E-2</v>
      </c>
      <c r="AF21" s="3077">
        <f t="shared" si="1"/>
        <v>1.49E-2</v>
      </c>
      <c r="AG21" s="3077">
        <f>ROUND(AVERAGE(K21:K$31)/100,4)</f>
        <v>2.3099999999999999E-2</v>
      </c>
      <c r="AH21" s="3077">
        <f>ROUND(AVERAGE(L21:L$31)/100,4)</f>
        <v>1.2999999999999999E-2</v>
      </c>
    </row>
    <row r="22" spans="1:34">
      <c r="A22" s="3088" t="s">
        <v>959</v>
      </c>
      <c r="B22" s="3089">
        <f t="shared" si="120"/>
        <v>360.06949782209392</v>
      </c>
      <c r="C22" s="3089">
        <f t="shared" si="120"/>
        <v>289.84672674747821</v>
      </c>
      <c r="D22" s="3089">
        <f t="shared" si="121"/>
        <v>289.84672674747821</v>
      </c>
      <c r="E22" s="3089">
        <f t="shared" si="122"/>
        <v>501.06543001181495</v>
      </c>
      <c r="F22" s="3089">
        <f t="shared" si="122"/>
        <v>256.82882500744967</v>
      </c>
      <c r="G22" s="3513"/>
      <c r="H22" s="3104">
        <v>2</v>
      </c>
      <c r="I22" s="3104">
        <v>3.85</v>
      </c>
      <c r="J22" s="3104">
        <v>1.95</v>
      </c>
      <c r="K22" s="3104">
        <v>4.4800000000000004</v>
      </c>
      <c r="L22" s="3105">
        <v>1.41</v>
      </c>
      <c r="N22" s="3091">
        <f t="shared" si="123"/>
        <v>3.85E-2</v>
      </c>
      <c r="O22" s="3077">
        <f t="shared" si="119"/>
        <v>1.95E-2</v>
      </c>
      <c r="P22" s="3077">
        <f t="shared" si="119"/>
        <v>4.4800000000000006E-2</v>
      </c>
      <c r="Q22" s="3077">
        <f t="shared" si="119"/>
        <v>1.41E-2</v>
      </c>
      <c r="R22" s="3092"/>
      <c r="S22" s="3091"/>
      <c r="T22" s="3077"/>
      <c r="U22" s="3077"/>
      <c r="V22" s="3077"/>
      <c r="X22" s="3099">
        <f>ROUND(SUMPRODUCT(PRODUCT(1+N22:N$31)),4)</f>
        <v>1.2050000000000001</v>
      </c>
      <c r="Y22" s="3099">
        <f>ROUND(SUMPRODUCT(PRODUCT(1+O22:O$31)),4)</f>
        <v>1.1532</v>
      </c>
      <c r="Z22" s="3099">
        <f t="shared" si="79"/>
        <v>1.1532</v>
      </c>
      <c r="AA22" s="3099">
        <f>ROUND(SUMPRODUCT(PRODUCT(1+P22:P$31)),4)</f>
        <v>1.2246999999999999</v>
      </c>
      <c r="AB22" s="3099">
        <f>ROUND(SUMPRODUCT(PRODUCT(1+Q22:Q$31)),4)</f>
        <v>1.1304000000000001</v>
      </c>
      <c r="AD22" s="3077">
        <f>ROUND(AVERAGE(I22:I$31)/100,4)</f>
        <v>1.89E-2</v>
      </c>
      <c r="AE22" s="3077">
        <f>ROUND(AVERAGE(J22:J$31)/100,4)</f>
        <v>1.44E-2</v>
      </c>
      <c r="AF22" s="3077">
        <f t="shared" si="1"/>
        <v>1.44E-2</v>
      </c>
      <c r="AG22" s="3077">
        <f>ROUND(AVERAGE(K22:K$31)/100,4)</f>
        <v>2.06E-2</v>
      </c>
      <c r="AH22" s="3077">
        <f>ROUND(AVERAGE(L22:L$31)/100,4)</f>
        <v>1.23E-2</v>
      </c>
    </row>
    <row r="23" spans="1:34" ht="13.5" thickBot="1">
      <c r="A23" s="3088" t="s">
        <v>968</v>
      </c>
      <c r="B23" s="3089">
        <f t="shared" si="120"/>
        <v>346.720748986128</v>
      </c>
      <c r="C23" s="3089">
        <f t="shared" si="120"/>
        <v>284.30282172386285</v>
      </c>
      <c r="D23" s="3089">
        <f t="shared" si="121"/>
        <v>284.30282172386285</v>
      </c>
      <c r="E23" s="3089">
        <f t="shared" si="122"/>
        <v>479.58023546306947</v>
      </c>
      <c r="F23" s="3089">
        <f t="shared" si="122"/>
        <v>253.25788877571213</v>
      </c>
      <c r="G23" s="3516"/>
      <c r="H23" s="3090">
        <v>1</v>
      </c>
      <c r="I23" s="3090">
        <v>4.09</v>
      </c>
      <c r="J23" s="3090">
        <v>2.93</v>
      </c>
      <c r="K23" s="3090">
        <v>4.54</v>
      </c>
      <c r="L23" s="3096">
        <v>1.48</v>
      </c>
      <c r="N23" s="3091">
        <f t="shared" si="123"/>
        <v>4.0899999999999999E-2</v>
      </c>
      <c r="O23" s="3077">
        <f t="shared" si="119"/>
        <v>2.9300000000000003E-2</v>
      </c>
      <c r="P23" s="3077">
        <f t="shared" si="119"/>
        <v>4.5400000000000003E-2</v>
      </c>
      <c r="Q23" s="3077">
        <f t="shared" si="119"/>
        <v>1.4800000000000001E-2</v>
      </c>
      <c r="R23" s="3092"/>
      <c r="S23" s="3093">
        <f>B23/B24-1</f>
        <v>4.1203450408792808E-2</v>
      </c>
      <c r="T23" s="3094">
        <f>C23/C24-1</f>
        <v>2.6363977342465095E-2</v>
      </c>
      <c r="U23" s="3094">
        <f>E23/E24-1</f>
        <v>4.4837114298626357E-2</v>
      </c>
      <c r="V23" s="3094">
        <f>F23/F24-1</f>
        <v>1.7099954922538574E-2</v>
      </c>
      <c r="X23" s="3099">
        <f>ROUND(SUMPRODUCT(PRODUCT(1+N23:N$31)),4)</f>
        <v>1.1604000000000001</v>
      </c>
      <c r="Y23" s="3099">
        <f>ROUND(SUMPRODUCT(PRODUCT(1+O23:O$31)),4)</f>
        <v>1.1312</v>
      </c>
      <c r="Z23" s="3099">
        <f t="shared" si="79"/>
        <v>1.1312</v>
      </c>
      <c r="AA23" s="3099">
        <f>ROUND(SUMPRODUCT(PRODUCT(1+P23:P$31)),4)</f>
        <v>1.1721999999999999</v>
      </c>
      <c r="AB23" s="3099">
        <f>ROUND(SUMPRODUCT(PRODUCT(1+Q23:Q$31)),4)</f>
        <v>1.1147</v>
      </c>
      <c r="AD23" s="3077">
        <f>ROUND(AVERAGE(I23:I$31)/100,4)</f>
        <v>1.67E-2</v>
      </c>
      <c r="AE23" s="3077">
        <f>ROUND(AVERAGE(J23:J$31)/100,4)</f>
        <v>1.38E-2</v>
      </c>
      <c r="AF23" s="3077">
        <f t="shared" si="1"/>
        <v>1.38E-2</v>
      </c>
      <c r="AG23" s="3077">
        <f>ROUND(AVERAGE(K23:K$31)/100,4)</f>
        <v>1.7899999999999999E-2</v>
      </c>
      <c r="AH23" s="3077">
        <f>ROUND(AVERAGE(L23:L$31)/100,4)</f>
        <v>1.21E-2</v>
      </c>
    </row>
    <row r="24" spans="1:34" ht="13.5" thickBot="1">
      <c r="A24" s="3088" t="s">
        <v>967</v>
      </c>
      <c r="B24" s="3111">
        <v>333</v>
      </c>
      <c r="C24" s="3111">
        <v>277</v>
      </c>
      <c r="D24" s="3111">
        <f t="shared" si="121"/>
        <v>277</v>
      </c>
      <c r="E24" s="3111">
        <v>459</v>
      </c>
      <c r="F24" s="3112">
        <v>249</v>
      </c>
      <c r="G24" s="3515">
        <v>2015</v>
      </c>
      <c r="H24" s="3113">
        <v>4</v>
      </c>
      <c r="I24" s="3113">
        <v>1.63</v>
      </c>
      <c r="J24" s="3113">
        <v>1.1100000000000001</v>
      </c>
      <c r="K24" s="3113">
        <v>1.77</v>
      </c>
      <c r="L24" s="3114">
        <v>1.89</v>
      </c>
      <c r="N24" s="3108">
        <f t="shared" si="123"/>
        <v>1.6299999999999999E-2</v>
      </c>
      <c r="O24" s="3109">
        <f t="shared" si="119"/>
        <v>1.11E-2</v>
      </c>
      <c r="P24" s="3109">
        <f t="shared" si="119"/>
        <v>1.77E-2</v>
      </c>
      <c r="Q24" s="3109">
        <f t="shared" si="119"/>
        <v>1.89E-2</v>
      </c>
      <c r="R24" s="3092"/>
      <c r="X24" s="3099">
        <f>ROUND(SUMPRODUCT(PRODUCT(1+N24:N$31)),4)</f>
        <v>1.1148</v>
      </c>
      <c r="Y24" s="3099">
        <f>ROUND(SUMPRODUCT(PRODUCT(1+O24:O$31)),4)</f>
        <v>1.099</v>
      </c>
      <c r="Z24" s="3099">
        <f t="shared" si="79"/>
        <v>1.099</v>
      </c>
      <c r="AA24" s="3099">
        <f>ROUND(SUMPRODUCT(PRODUCT(1+P24:P$31)),4)</f>
        <v>1.1213</v>
      </c>
      <c r="AB24" s="3099">
        <f>ROUND(SUMPRODUCT(PRODUCT(1+Q24:Q$31)),4)</f>
        <v>1.0984</v>
      </c>
      <c r="AD24" s="3077">
        <f>ROUND(AVERAGE(I24:I$31)/100,4)</f>
        <v>1.37E-2</v>
      </c>
      <c r="AE24" s="3077">
        <f>ROUND(AVERAGE(J24:J$31)/100,4)</f>
        <v>1.1900000000000001E-2</v>
      </c>
      <c r="AF24" s="3077">
        <f t="shared" si="1"/>
        <v>1.1900000000000001E-2</v>
      </c>
      <c r="AG24" s="3077">
        <f>ROUND(AVERAGE(K24:K$31)/100,4)</f>
        <v>1.4500000000000001E-2</v>
      </c>
      <c r="AH24" s="3077">
        <f>ROUND(AVERAGE(L24:L$31)/100,4)</f>
        <v>1.18E-2</v>
      </c>
    </row>
    <row r="25" spans="1:34">
      <c r="A25" s="3088" t="s">
        <v>966</v>
      </c>
      <c r="B25" s="3089">
        <f t="shared" ref="B25:C27" si="124">B24/(1+N24)</f>
        <v>327.65915576109415</v>
      </c>
      <c r="C25" s="3089">
        <f t="shared" si="124"/>
        <v>273.95905449510434</v>
      </c>
      <c r="D25" s="3089">
        <f t="shared" si="121"/>
        <v>273.95905449510434</v>
      </c>
      <c r="E25" s="3089">
        <f t="shared" ref="E25:F27" si="125">E24/(1+P24)</f>
        <v>451.01699911565294</v>
      </c>
      <c r="F25" s="3089">
        <f t="shared" si="125"/>
        <v>244.38119540681129</v>
      </c>
      <c r="G25" s="3513"/>
      <c r="H25" s="3116">
        <v>3</v>
      </c>
      <c r="I25" s="3116">
        <v>1.65</v>
      </c>
      <c r="J25" s="3116">
        <v>0.92</v>
      </c>
      <c r="K25" s="3116">
        <v>1.88</v>
      </c>
      <c r="L25" s="3117">
        <v>1.26</v>
      </c>
      <c r="N25" s="3091">
        <f t="shared" si="123"/>
        <v>1.6500000000000001E-2</v>
      </c>
      <c r="O25" s="3110">
        <f t="shared" si="119"/>
        <v>9.1999999999999998E-3</v>
      </c>
      <c r="P25" s="3110">
        <f t="shared" si="119"/>
        <v>1.8799999999999997E-2</v>
      </c>
      <c r="Q25" s="3110">
        <f t="shared" si="119"/>
        <v>1.26E-2</v>
      </c>
      <c r="R25" s="3092"/>
      <c r="S25" s="3091"/>
      <c r="T25" s="3077"/>
      <c r="U25" s="3077"/>
      <c r="V25" s="3077"/>
      <c r="X25" s="3099">
        <f>ROUND(SUMPRODUCT(PRODUCT(1+N25:N$31)),4)</f>
        <v>1.0969</v>
      </c>
      <c r="Y25" s="3099">
        <f>ROUND(SUMPRODUCT(PRODUCT(1+O25:O$31)),4)</f>
        <v>1.0869</v>
      </c>
      <c r="Z25" s="3099">
        <f t="shared" si="79"/>
        <v>1.0869</v>
      </c>
      <c r="AA25" s="3099">
        <f>ROUND(SUMPRODUCT(PRODUCT(1+P25:P$31)),4)</f>
        <v>1.1017999999999999</v>
      </c>
      <c r="AB25" s="3099">
        <f>ROUND(SUMPRODUCT(PRODUCT(1+Q25:Q$31)),4)</f>
        <v>1.0781000000000001</v>
      </c>
      <c r="AD25" s="3077">
        <f>ROUND(AVERAGE(I25:I$31)/100,4)</f>
        <v>1.3299999999999999E-2</v>
      </c>
      <c r="AE25" s="3077">
        <f>ROUND(AVERAGE(J25:J$31)/100,4)</f>
        <v>1.2E-2</v>
      </c>
      <c r="AF25" s="3077">
        <f t="shared" si="1"/>
        <v>1.2E-2</v>
      </c>
      <c r="AG25" s="3077">
        <f>ROUND(AVERAGE(K25:K$31)/100,4)</f>
        <v>1.4E-2</v>
      </c>
      <c r="AH25" s="3077">
        <f>ROUND(AVERAGE(L25:L$31)/100,4)</f>
        <v>1.0800000000000001E-2</v>
      </c>
    </row>
    <row r="26" spans="1:34">
      <c r="A26" s="3088" t="s">
        <v>965</v>
      </c>
      <c r="B26" s="3089">
        <f t="shared" si="124"/>
        <v>322.34053690220776</v>
      </c>
      <c r="C26" s="3089">
        <f t="shared" si="124"/>
        <v>271.46160770422546</v>
      </c>
      <c r="D26" s="3089">
        <f t="shared" si="121"/>
        <v>271.46160770422546</v>
      </c>
      <c r="E26" s="3089">
        <f t="shared" si="125"/>
        <v>442.69434542172456</v>
      </c>
      <c r="F26" s="3089">
        <f t="shared" si="125"/>
        <v>241.34030753190925</v>
      </c>
      <c r="G26" s="3513"/>
      <c r="H26" s="3104">
        <v>2</v>
      </c>
      <c r="I26" s="3104">
        <v>0.77</v>
      </c>
      <c r="J26" s="3104">
        <v>0.69</v>
      </c>
      <c r="K26" s="3104">
        <v>0.8</v>
      </c>
      <c r="L26" s="3105">
        <v>0.88</v>
      </c>
      <c r="N26" s="3091">
        <f t="shared" si="123"/>
        <v>7.7000000000000002E-3</v>
      </c>
      <c r="O26" s="3110">
        <f t="shared" si="119"/>
        <v>6.8999999999999999E-3</v>
      </c>
      <c r="P26" s="3110">
        <f t="shared" si="119"/>
        <v>8.0000000000000002E-3</v>
      </c>
      <c r="Q26" s="3110">
        <f t="shared" si="119"/>
        <v>8.8000000000000005E-3</v>
      </c>
      <c r="R26" s="3092"/>
      <c r="S26" s="3091"/>
      <c r="T26" s="3077"/>
      <c r="U26" s="3077"/>
      <c r="V26" s="3077"/>
      <c r="X26" s="3099">
        <f>ROUND(SUMPRODUCT(PRODUCT(1+N26:N$31)),4)</f>
        <v>1.0790999999999999</v>
      </c>
      <c r="Y26" s="3099">
        <f>ROUND(SUMPRODUCT(PRODUCT(1+O26:O$31)),4)</f>
        <v>1.077</v>
      </c>
      <c r="Z26" s="3099">
        <f t="shared" si="79"/>
        <v>1.077</v>
      </c>
      <c r="AA26" s="3099">
        <f>ROUND(SUMPRODUCT(PRODUCT(1+P26:P$31)),4)</f>
        <v>1.0813999999999999</v>
      </c>
      <c r="AB26" s="3099">
        <f>ROUND(SUMPRODUCT(PRODUCT(1+Q26:Q$31)),4)</f>
        <v>1.0647</v>
      </c>
      <c r="AD26" s="3077">
        <f>ROUND(AVERAGE(I26:I$31)/100,4)</f>
        <v>1.2800000000000001E-2</v>
      </c>
      <c r="AE26" s="3077">
        <f>ROUND(AVERAGE(J26:J$31)/100,4)</f>
        <v>1.2500000000000001E-2</v>
      </c>
      <c r="AF26" s="3077">
        <f t="shared" si="1"/>
        <v>1.2500000000000001E-2</v>
      </c>
      <c r="AG26" s="3077">
        <f>ROUND(AVERAGE(K26:K$31)/100,4)</f>
        <v>1.32E-2</v>
      </c>
      <c r="AH26" s="3077">
        <f>ROUND(AVERAGE(L26:L$31)/100,4)</f>
        <v>1.0500000000000001E-2</v>
      </c>
    </row>
    <row r="27" spans="1:34">
      <c r="A27" s="3088" t="s">
        <v>964</v>
      </c>
      <c r="B27" s="3089">
        <f t="shared" si="124"/>
        <v>319.87748030386797</v>
      </c>
      <c r="C27" s="3089">
        <f t="shared" si="124"/>
        <v>269.60135833173649</v>
      </c>
      <c r="D27" s="3089">
        <f t="shared" si="121"/>
        <v>269.60135833173649</v>
      </c>
      <c r="E27" s="3089">
        <f t="shared" si="125"/>
        <v>439.18089823583784</v>
      </c>
      <c r="F27" s="3089">
        <f t="shared" si="125"/>
        <v>239.23503918706311</v>
      </c>
      <c r="G27" s="3516"/>
      <c r="H27" s="3090">
        <v>1</v>
      </c>
      <c r="I27" s="3090">
        <v>0.51</v>
      </c>
      <c r="J27" s="3090">
        <v>0.54</v>
      </c>
      <c r="K27" s="3090">
        <v>0.48</v>
      </c>
      <c r="L27" s="3096">
        <v>0.93</v>
      </c>
      <c r="N27" s="3093">
        <f t="shared" si="123"/>
        <v>5.1000000000000004E-3</v>
      </c>
      <c r="O27" s="3094">
        <f t="shared" si="119"/>
        <v>5.4000000000000003E-3</v>
      </c>
      <c r="P27" s="3094">
        <f t="shared" si="119"/>
        <v>4.7999999999999996E-3</v>
      </c>
      <c r="Q27" s="3094">
        <f t="shared" si="119"/>
        <v>9.300000000000001E-3</v>
      </c>
      <c r="R27" s="3092"/>
      <c r="S27" s="3093">
        <f>B27/B28-1</f>
        <v>5.9040261127922822E-3</v>
      </c>
      <c r="T27" s="3094">
        <f>C27/C28-1</f>
        <v>5.9752176557332781E-3</v>
      </c>
      <c r="U27" s="3094">
        <f>E27/E28-1</f>
        <v>4.9906138119859556E-3</v>
      </c>
      <c r="V27" s="3094">
        <f>F27/F28-1</f>
        <v>9.4305450930933787E-3</v>
      </c>
      <c r="X27" s="3099">
        <f>ROUND(SUMPRODUCT(PRODUCT(1+N27:N$31)),4)</f>
        <v>1.0708</v>
      </c>
      <c r="Y27" s="3099">
        <f>ROUND(SUMPRODUCT(PRODUCT(1+O27:O$31)),4)</f>
        <v>1.0696000000000001</v>
      </c>
      <c r="Z27" s="3099">
        <f t="shared" si="79"/>
        <v>1.0696000000000001</v>
      </c>
      <c r="AA27" s="3099">
        <f>ROUND(SUMPRODUCT(PRODUCT(1+P27:P$31)),4)</f>
        <v>1.0728</v>
      </c>
      <c r="AB27" s="3099">
        <f>ROUND(SUMPRODUCT(PRODUCT(1+Q27:Q$31)),4)</f>
        <v>1.0553999999999999</v>
      </c>
      <c r="AD27" s="3077">
        <f>ROUND(AVERAGE(I27:I$31)/100,4)</f>
        <v>1.38E-2</v>
      </c>
      <c r="AE27" s="3077">
        <f>ROUND(AVERAGE(J27:J$31)/100,4)</f>
        <v>1.3599999999999999E-2</v>
      </c>
      <c r="AF27" s="3077">
        <f t="shared" si="1"/>
        <v>1.3599999999999999E-2</v>
      </c>
      <c r="AG27" s="3077">
        <f>ROUND(AVERAGE(K27:K$31)/100,4)</f>
        <v>1.4200000000000001E-2</v>
      </c>
      <c r="AH27" s="3077">
        <f>ROUND(AVERAGE(L27:L$31)/100,4)</f>
        <v>1.0800000000000001E-2</v>
      </c>
    </row>
    <row r="28" spans="1:34" ht="13.5" thickBot="1">
      <c r="A28" s="3088" t="s">
        <v>963</v>
      </c>
      <c r="B28" s="3118">
        <v>318</v>
      </c>
      <c r="C28" s="3118">
        <v>268</v>
      </c>
      <c r="D28" s="3118">
        <f t="shared" si="121"/>
        <v>268</v>
      </c>
      <c r="E28" s="3118">
        <v>437</v>
      </c>
      <c r="F28" s="3119">
        <v>237</v>
      </c>
      <c r="G28" s="3515">
        <v>2014</v>
      </c>
      <c r="H28" s="3113">
        <v>4</v>
      </c>
      <c r="I28" s="3113">
        <v>0.21</v>
      </c>
      <c r="J28" s="3113">
        <v>0.41</v>
      </c>
      <c r="K28" s="3113">
        <v>0.12</v>
      </c>
      <c r="L28" s="3114">
        <v>0.89</v>
      </c>
      <c r="N28" s="3091">
        <f t="shared" si="123"/>
        <v>2.0999999999999999E-3</v>
      </c>
      <c r="O28" s="3077">
        <f t="shared" si="119"/>
        <v>4.0999999999999995E-3</v>
      </c>
      <c r="P28" s="3077">
        <f t="shared" si="119"/>
        <v>1.1999999999999999E-3</v>
      </c>
      <c r="Q28" s="3077">
        <f t="shared" si="119"/>
        <v>8.8999999999999999E-3</v>
      </c>
      <c r="R28" s="3092"/>
      <c r="S28" s="3102"/>
      <c r="T28" s="3103"/>
      <c r="U28" s="3103"/>
      <c r="V28" s="3103"/>
      <c r="X28" s="3099">
        <f>ROUND(SUMPRODUCT(PRODUCT(1+N28:N$31)),4)</f>
        <v>1.0653999999999999</v>
      </c>
      <c r="Y28" s="3099">
        <f>ROUND(SUMPRODUCT(PRODUCT(1+O28:O$31)),4)</f>
        <v>1.0639000000000001</v>
      </c>
      <c r="Z28" s="3099">
        <f t="shared" si="79"/>
        <v>1.0639000000000001</v>
      </c>
      <c r="AA28" s="3099">
        <f>ROUND(SUMPRODUCT(PRODUCT(1+P28:P$31)),4)</f>
        <v>1.0677000000000001</v>
      </c>
      <c r="AB28" s="3099">
        <f>ROUND(SUMPRODUCT(PRODUCT(1+Q28:Q$31)),4)</f>
        <v>1.0456000000000001</v>
      </c>
      <c r="AD28" s="3077">
        <f>ROUND(AVERAGE(I28:I$31)/100,4)</f>
        <v>1.6E-2</v>
      </c>
      <c r="AE28" s="3077">
        <f>ROUND(AVERAGE(J28:J$31)/100,4)</f>
        <v>1.5599999999999999E-2</v>
      </c>
      <c r="AF28" s="3077">
        <f t="shared" si="1"/>
        <v>1.5599999999999999E-2</v>
      </c>
      <c r="AG28" s="3077">
        <f>ROUND(AVERAGE(K28:K$31)/100,4)</f>
        <v>1.66E-2</v>
      </c>
      <c r="AH28" s="3077">
        <f>ROUND(AVERAGE(L28:L$31)/100,4)</f>
        <v>1.12E-2</v>
      </c>
    </row>
    <row r="29" spans="1:34">
      <c r="A29" s="3088" t="s">
        <v>962</v>
      </c>
      <c r="B29" s="3089">
        <f t="shared" ref="B29:C31" si="126">B28/(1+N28)</f>
        <v>317.33359944117353</v>
      </c>
      <c r="C29" s="3089">
        <f t="shared" si="126"/>
        <v>266.90568668459315</v>
      </c>
      <c r="D29" s="3089">
        <f t="shared" si="121"/>
        <v>266.90568668459315</v>
      </c>
      <c r="E29" s="3089">
        <f t="shared" ref="E29:F31" si="127">E28/(1+P28)</f>
        <v>436.47622852576905</v>
      </c>
      <c r="F29" s="3089">
        <f t="shared" si="127"/>
        <v>234.90930716622066</v>
      </c>
      <c r="G29" s="3513"/>
      <c r="H29" s="3120">
        <v>3</v>
      </c>
      <c r="I29" s="3120">
        <v>0.83</v>
      </c>
      <c r="J29" s="3120">
        <v>1.47</v>
      </c>
      <c r="K29" s="3120">
        <v>0.65</v>
      </c>
      <c r="L29" s="3121">
        <v>0.72</v>
      </c>
      <c r="N29" s="3091">
        <f t="shared" si="123"/>
        <v>8.3000000000000001E-3</v>
      </c>
      <c r="O29" s="3077">
        <f t="shared" si="119"/>
        <v>1.47E-2</v>
      </c>
      <c r="P29" s="3077">
        <f t="shared" si="119"/>
        <v>6.5000000000000006E-3</v>
      </c>
      <c r="Q29" s="3077">
        <f t="shared" si="119"/>
        <v>7.1999999999999998E-3</v>
      </c>
      <c r="R29" s="3092"/>
      <c r="S29" s="3091"/>
      <c r="T29" s="3077"/>
      <c r="U29" s="3077"/>
      <c r="V29" s="3077"/>
      <c r="X29" s="3099">
        <f>ROUND(SUMPRODUCT(PRODUCT(1+N29:N$31)),4)</f>
        <v>1.0631999999999999</v>
      </c>
      <c r="Y29" s="3099">
        <f>ROUND(SUMPRODUCT(PRODUCT(1+O29:O$31)),4)</f>
        <v>1.0595000000000001</v>
      </c>
      <c r="Z29" s="3099">
        <f t="shared" si="79"/>
        <v>1.0595000000000001</v>
      </c>
      <c r="AA29" s="3099">
        <f>ROUND(SUMPRODUCT(PRODUCT(1+P29:P$31)),4)</f>
        <v>1.0664</v>
      </c>
      <c r="AB29" s="3099">
        <f>ROUND(SUMPRODUCT(PRODUCT(1+Q29:Q$31)),4)</f>
        <v>1.0364</v>
      </c>
      <c r="AD29" s="3077">
        <f>ROUND(AVERAGE(I29:I$31)/100,4)</f>
        <v>2.07E-2</v>
      </c>
      <c r="AE29" s="3077">
        <f>ROUND(AVERAGE(J29:J$31)/100,4)</f>
        <v>1.95E-2</v>
      </c>
      <c r="AF29" s="3077">
        <f t="shared" si="1"/>
        <v>1.95E-2</v>
      </c>
      <c r="AG29" s="3077">
        <f>ROUND(AVERAGE(K29:K$31)/100,4)</f>
        <v>2.1700000000000001E-2</v>
      </c>
      <c r="AH29" s="3077">
        <f>ROUND(AVERAGE(L29:L$31)/100,4)</f>
        <v>1.2E-2</v>
      </c>
    </row>
    <row r="30" spans="1:34" ht="13.5" thickBot="1">
      <c r="A30" s="3088" t="s">
        <v>961</v>
      </c>
      <c r="B30" s="3089">
        <f t="shared" si="126"/>
        <v>314.72141172386546</v>
      </c>
      <c r="C30" s="3089">
        <f t="shared" si="126"/>
        <v>263.03901319069001</v>
      </c>
      <c r="D30" s="3089">
        <f t="shared" si="121"/>
        <v>263.03901319069001</v>
      </c>
      <c r="E30" s="3089">
        <f t="shared" si="127"/>
        <v>433.65745506782821</v>
      </c>
      <c r="F30" s="3089">
        <f t="shared" si="127"/>
        <v>233.23005080045735</v>
      </c>
      <c r="G30" s="3513"/>
      <c r="H30" s="3113">
        <v>2</v>
      </c>
      <c r="I30" s="3113">
        <v>2.4</v>
      </c>
      <c r="J30" s="3113">
        <v>2.0299999999999998</v>
      </c>
      <c r="K30" s="3113">
        <v>2.59</v>
      </c>
      <c r="L30" s="3114">
        <v>1.52</v>
      </c>
      <c r="N30" s="3091">
        <f t="shared" si="123"/>
        <v>2.4E-2</v>
      </c>
      <c r="O30" s="3077">
        <f t="shared" si="119"/>
        <v>2.0299999999999999E-2</v>
      </c>
      <c r="P30" s="3077">
        <f t="shared" si="119"/>
        <v>2.5899999999999999E-2</v>
      </c>
      <c r="Q30" s="3077">
        <f t="shared" si="119"/>
        <v>1.52E-2</v>
      </c>
      <c r="R30" s="3092"/>
      <c r="S30" s="3091"/>
      <c r="T30" s="3077"/>
      <c r="U30" s="3077"/>
      <c r="V30" s="3077"/>
      <c r="X30" s="3099">
        <f>ROUND(SUMPRODUCT(PRODUCT(1+N30:N$31)),4)</f>
        <v>1.0544</v>
      </c>
      <c r="Y30" s="3099">
        <f>ROUND(SUMPRODUCT(PRODUCT(1+O30:O$31)),4)</f>
        <v>1.0442</v>
      </c>
      <c r="Z30" s="3099">
        <f t="shared" si="79"/>
        <v>1.0442</v>
      </c>
      <c r="AA30" s="3099">
        <f>ROUND(SUMPRODUCT(PRODUCT(1+P30:P$31)),4)</f>
        <v>1.0595000000000001</v>
      </c>
      <c r="AB30" s="3099">
        <f>ROUND(SUMPRODUCT(PRODUCT(1+Q30:Q$31)),4)</f>
        <v>1.0289999999999999</v>
      </c>
      <c r="AD30" s="3077">
        <f>ROUND(AVERAGE(I30:I$31)/100,4)</f>
        <v>2.69E-2</v>
      </c>
      <c r="AE30" s="3077">
        <f>ROUND(AVERAGE(J30:J$31)/100,4)</f>
        <v>2.1899999999999999E-2</v>
      </c>
      <c r="AF30" s="3077">
        <f t="shared" ref="AF30" si="128">AE30</f>
        <v>2.1899999999999999E-2</v>
      </c>
      <c r="AG30" s="3077">
        <f>ROUND(AVERAGE(K30:K$31)/100,4)</f>
        <v>2.9399999999999999E-2</v>
      </c>
      <c r="AH30" s="3077">
        <f>ROUND(AVERAGE(L30:L$31)/100,4)</f>
        <v>1.44E-2</v>
      </c>
    </row>
    <row r="31" spans="1:34" s="3126" customFormat="1" ht="13.5" thickBot="1">
      <c r="A31" s="3122" t="s">
        <v>960</v>
      </c>
      <c r="B31" s="3123">
        <f t="shared" si="126"/>
        <v>307.34512863658733</v>
      </c>
      <c r="C31" s="3123">
        <f t="shared" si="126"/>
        <v>257.80556031626975</v>
      </c>
      <c r="D31" s="3123">
        <f t="shared" si="121"/>
        <v>257.80556031626975</v>
      </c>
      <c r="E31" s="3123">
        <f t="shared" si="127"/>
        <v>422.70928459677179</v>
      </c>
      <c r="F31" s="3123">
        <f t="shared" si="127"/>
        <v>229.73803270336617</v>
      </c>
      <c r="G31" s="3516"/>
      <c r="H31" s="3124">
        <v>1</v>
      </c>
      <c r="I31" s="3124">
        <v>2.97</v>
      </c>
      <c r="J31" s="3124">
        <v>2.34</v>
      </c>
      <c r="K31" s="3124">
        <v>3.28</v>
      </c>
      <c r="L31" s="3125">
        <v>1.36</v>
      </c>
      <c r="N31" s="3127">
        <f t="shared" si="123"/>
        <v>2.9700000000000001E-2</v>
      </c>
      <c r="O31" s="3128">
        <f t="shared" si="119"/>
        <v>2.3399999999999997E-2</v>
      </c>
      <c r="P31" s="3128">
        <f t="shared" si="119"/>
        <v>3.2799999999999996E-2</v>
      </c>
      <c r="Q31" s="3128">
        <f t="shared" si="119"/>
        <v>1.3600000000000001E-2</v>
      </c>
      <c r="R31" s="3129"/>
      <c r="S31" s="3130">
        <f>B31/B32-1</f>
        <v>2.7910129219355539E-2</v>
      </c>
      <c r="T31" s="3131">
        <f>C31/C32-1</f>
        <v>2.3037937762975247E-2</v>
      </c>
      <c r="U31" s="3131">
        <f>E31/E32-1</f>
        <v>3.3519033243940788E-2</v>
      </c>
      <c r="V31" s="3131">
        <f>F31/F32-1</f>
        <v>1.2061818076502862E-2</v>
      </c>
      <c r="W31" s="3132" t="s">
        <v>2636</v>
      </c>
      <c r="X31" s="3133">
        <v>1</v>
      </c>
      <c r="Y31" s="3133">
        <v>1</v>
      </c>
      <c r="Z31" s="3133">
        <v>1</v>
      </c>
      <c r="AA31" s="3133">
        <v>1</v>
      </c>
      <c r="AB31" s="3133">
        <v>1</v>
      </c>
      <c r="AD31" s="3128">
        <f>I31/100</f>
        <v>2.9700000000000001E-2</v>
      </c>
      <c r="AE31" s="3128">
        <f>J31/100</f>
        <v>2.3399999999999997E-2</v>
      </c>
      <c r="AF31" s="3128">
        <f>AE31</f>
        <v>2.3399999999999997E-2</v>
      </c>
      <c r="AG31" s="3128">
        <f>K31/100</f>
        <v>3.2799999999999996E-2</v>
      </c>
      <c r="AH31" s="3128">
        <f>L31/100</f>
        <v>1.3600000000000001E-2</v>
      </c>
    </row>
    <row r="32" spans="1:34" ht="13.5" thickBot="1">
      <c r="A32" s="3088" t="s">
        <v>2579</v>
      </c>
      <c r="B32" s="3111">
        <v>299</v>
      </c>
      <c r="C32" s="3111">
        <v>252</v>
      </c>
      <c r="D32" s="3111">
        <f t="shared" si="121"/>
        <v>252</v>
      </c>
      <c r="E32" s="3111">
        <v>409</v>
      </c>
      <c r="F32" s="3112">
        <v>227</v>
      </c>
      <c r="G32" s="3520">
        <v>2013</v>
      </c>
      <c r="H32" s="3134">
        <v>4</v>
      </c>
      <c r="I32" s="3134">
        <v>1.83</v>
      </c>
      <c r="J32" s="3134">
        <v>1.68</v>
      </c>
      <c r="K32" s="3134">
        <v>1.97</v>
      </c>
      <c r="L32" s="3135">
        <v>0.87</v>
      </c>
      <c r="N32" s="3108">
        <f t="shared" si="123"/>
        <v>1.83E-2</v>
      </c>
      <c r="O32" s="3109">
        <f t="shared" si="119"/>
        <v>1.6799999999999999E-2</v>
      </c>
      <c r="P32" s="3109">
        <f t="shared" si="119"/>
        <v>1.9699999999999999E-2</v>
      </c>
      <c r="Q32" s="3109">
        <f t="shared" si="119"/>
        <v>8.6999999999999994E-3</v>
      </c>
      <c r="R32" s="3092"/>
      <c r="S32" s="3102"/>
      <c r="T32" s="3103"/>
      <c r="U32" s="3103"/>
      <c r="V32" s="3103"/>
      <c r="X32" s="3103"/>
      <c r="Y32" s="3103"/>
      <c r="Z32" s="3103"/>
    </row>
    <row r="33" spans="1:26">
      <c r="A33" s="3088" t="s">
        <v>2580</v>
      </c>
      <c r="B33" s="3089">
        <f t="shared" ref="B33:C35" si="129">B32/(1+N32)</f>
        <v>293.62663262299913</v>
      </c>
      <c r="C33" s="3089">
        <f t="shared" si="129"/>
        <v>247.83634933123525</v>
      </c>
      <c r="D33" s="3089">
        <f t="shared" si="121"/>
        <v>247.83634933123525</v>
      </c>
      <c r="E33" s="3089">
        <f t="shared" ref="E33:F35" si="130">E32/(1+P32)</f>
        <v>401.09836226341076</v>
      </c>
      <c r="F33" s="3089">
        <f t="shared" si="130"/>
        <v>225.04213343908003</v>
      </c>
      <c r="G33" s="3521"/>
      <c r="H33" s="3116">
        <v>3</v>
      </c>
      <c r="I33" s="3116">
        <v>1.86</v>
      </c>
      <c r="J33" s="3116">
        <v>1.72</v>
      </c>
      <c r="K33" s="3116">
        <v>1.98</v>
      </c>
      <c r="L33" s="3117">
        <v>0.88</v>
      </c>
      <c r="N33" s="3091">
        <f t="shared" si="123"/>
        <v>1.8600000000000002E-2</v>
      </c>
      <c r="O33" s="3110">
        <f t="shared" si="119"/>
        <v>1.72E-2</v>
      </c>
      <c r="P33" s="3110">
        <f t="shared" si="119"/>
        <v>1.9799999999999998E-2</v>
      </c>
      <c r="Q33" s="3110">
        <f t="shared" si="119"/>
        <v>8.8000000000000005E-3</v>
      </c>
      <c r="R33" s="3092"/>
      <c r="S33" s="3091"/>
      <c r="T33" s="3077"/>
      <c r="U33" s="3077"/>
      <c r="V33" s="3077"/>
    </row>
    <row r="34" spans="1:26">
      <c r="A34" s="3088" t="s">
        <v>2581</v>
      </c>
      <c r="B34" s="3089">
        <f t="shared" si="129"/>
        <v>288.2649053828776</v>
      </c>
      <c r="C34" s="3089">
        <f t="shared" si="129"/>
        <v>243.64564425013293</v>
      </c>
      <c r="D34" s="3089">
        <f t="shared" si="121"/>
        <v>243.64564425013293</v>
      </c>
      <c r="E34" s="3089">
        <f t="shared" si="130"/>
        <v>393.31080825986544</v>
      </c>
      <c r="F34" s="3089">
        <f t="shared" si="130"/>
        <v>223.07903790551154</v>
      </c>
      <c r="G34" s="3521"/>
      <c r="H34" s="3104">
        <v>2</v>
      </c>
      <c r="I34" s="3104">
        <v>2.04</v>
      </c>
      <c r="J34" s="3104">
        <v>2.33</v>
      </c>
      <c r="K34" s="3104">
        <v>2.0699999999999998</v>
      </c>
      <c r="L34" s="3105">
        <v>0.69</v>
      </c>
      <c r="N34" s="3091">
        <f t="shared" si="123"/>
        <v>2.0400000000000001E-2</v>
      </c>
      <c r="O34" s="3110">
        <f t="shared" si="119"/>
        <v>2.3300000000000001E-2</v>
      </c>
      <c r="P34" s="3110">
        <f t="shared" si="119"/>
        <v>2.07E-2</v>
      </c>
      <c r="Q34" s="3110">
        <f t="shared" si="119"/>
        <v>6.8999999999999999E-3</v>
      </c>
      <c r="R34" s="3092"/>
      <c r="S34" s="3091"/>
      <c r="T34" s="3077"/>
      <c r="U34" s="3077"/>
      <c r="V34" s="3077"/>
      <c r="X34" s="3136"/>
      <c r="Y34" s="3137"/>
    </row>
    <row r="35" spans="1:26">
      <c r="A35" s="3088" t="s">
        <v>2582</v>
      </c>
      <c r="B35" s="3089">
        <f t="shared" si="129"/>
        <v>282.50186729015837</v>
      </c>
      <c r="C35" s="3089">
        <f t="shared" si="129"/>
        <v>238.09796174155468</v>
      </c>
      <c r="D35" s="3089">
        <f t="shared" si="121"/>
        <v>238.09796174155468</v>
      </c>
      <c r="E35" s="3089">
        <f t="shared" si="130"/>
        <v>385.33438646014054</v>
      </c>
      <c r="F35" s="3089">
        <f t="shared" si="130"/>
        <v>221.55034055567739</v>
      </c>
      <c r="G35" s="3522"/>
      <c r="H35" s="3090">
        <v>1</v>
      </c>
      <c r="I35" s="3090">
        <v>1.67</v>
      </c>
      <c r="J35" s="3090">
        <v>1.31</v>
      </c>
      <c r="K35" s="3090">
        <v>1.85</v>
      </c>
      <c r="L35" s="3096">
        <v>0.96</v>
      </c>
      <c r="N35" s="3093">
        <f t="shared" si="123"/>
        <v>1.67E-2</v>
      </c>
      <c r="O35" s="3094">
        <f t="shared" si="119"/>
        <v>1.3100000000000001E-2</v>
      </c>
      <c r="P35" s="3094">
        <f t="shared" si="119"/>
        <v>1.8500000000000003E-2</v>
      </c>
      <c r="Q35" s="3094">
        <f t="shared" si="119"/>
        <v>9.5999999999999992E-3</v>
      </c>
      <c r="R35" s="3092"/>
      <c r="S35" s="3093">
        <f>B35/B36-1</f>
        <v>1.6193767230785472E-2</v>
      </c>
      <c r="T35" s="3094">
        <f>C35/C36-1</f>
        <v>1.7512657015190891E-2</v>
      </c>
      <c r="U35" s="3094">
        <f>E35/E36-1</f>
        <v>1.6713420739157048E-2</v>
      </c>
      <c r="V35" s="3094">
        <f>F35/F36-1</f>
        <v>7.0470025258062563E-3</v>
      </c>
      <c r="X35" s="3138"/>
      <c r="Y35" s="3077"/>
      <c r="Z35" s="3077"/>
    </row>
    <row r="36" spans="1:26" ht="13.5" thickBot="1">
      <c r="A36" s="3088" t="s">
        <v>2583</v>
      </c>
      <c r="B36" s="3139">
        <v>278</v>
      </c>
      <c r="C36" s="3139">
        <v>234</v>
      </c>
      <c r="D36" s="3139">
        <f t="shared" si="121"/>
        <v>234</v>
      </c>
      <c r="E36" s="3139">
        <v>379</v>
      </c>
      <c r="F36" s="3140">
        <v>220</v>
      </c>
      <c r="G36" s="3515">
        <v>2012</v>
      </c>
      <c r="H36" s="3113">
        <v>4</v>
      </c>
      <c r="I36" s="3113">
        <v>0.91</v>
      </c>
      <c r="J36" s="3113">
        <v>0.68</v>
      </c>
      <c r="K36" s="3113">
        <v>0.98</v>
      </c>
      <c r="L36" s="3114">
        <v>0.9</v>
      </c>
      <c r="N36" s="3091">
        <f t="shared" si="123"/>
        <v>9.1000000000000004E-3</v>
      </c>
      <c r="O36" s="3077">
        <f t="shared" si="123"/>
        <v>6.8000000000000005E-3</v>
      </c>
      <c r="P36" s="3077">
        <f t="shared" si="123"/>
        <v>9.7999999999999997E-3</v>
      </c>
      <c r="Q36" s="3077">
        <f t="shared" si="123"/>
        <v>9.0000000000000011E-3</v>
      </c>
      <c r="R36" s="3092"/>
      <c r="S36" s="3102"/>
      <c r="T36" s="3103"/>
      <c r="U36" s="3103"/>
      <c r="V36" s="3103"/>
      <c r="X36" s="3103"/>
      <c r="Y36" s="3103"/>
      <c r="Z36" s="3103"/>
    </row>
    <row r="37" spans="1:26">
      <c r="A37" s="3088" t="s">
        <v>2584</v>
      </c>
      <c r="B37" s="3089">
        <f>B36/(1+N36)</f>
        <v>275.49301357645425</v>
      </c>
      <c r="C37" s="3089">
        <f>C36/(1+O36)</f>
        <v>232.41954707985698</v>
      </c>
      <c r="D37" s="3089">
        <f t="shared" si="121"/>
        <v>232.41954707985698</v>
      </c>
      <c r="E37" s="3089">
        <f t="shared" ref="E37:F39" si="131">E36/(1+P36)</f>
        <v>375.32184591008121</v>
      </c>
      <c r="F37" s="3089">
        <f t="shared" si="131"/>
        <v>218.03766105054513</v>
      </c>
      <c r="G37" s="3513"/>
      <c r="H37" s="3116">
        <v>3</v>
      </c>
      <c r="I37" s="3116">
        <v>0.09</v>
      </c>
      <c r="J37" s="3116">
        <v>0.28999999999999998</v>
      </c>
      <c r="K37" s="3116">
        <v>-0.01</v>
      </c>
      <c r="L37" s="3117">
        <v>0.57999999999999996</v>
      </c>
      <c r="N37" s="3091">
        <f t="shared" si="123"/>
        <v>8.9999999999999998E-4</v>
      </c>
      <c r="O37" s="3077">
        <f t="shared" si="123"/>
        <v>2.8999999999999998E-3</v>
      </c>
      <c r="P37" s="3077">
        <f t="shared" si="123"/>
        <v>-1E-4</v>
      </c>
      <c r="Q37" s="3077">
        <f t="shared" si="123"/>
        <v>5.7999999999999996E-3</v>
      </c>
      <c r="R37" s="3092"/>
      <c r="S37" s="3091"/>
      <c r="T37" s="3077"/>
      <c r="U37" s="3077"/>
      <c r="V37" s="3077"/>
    </row>
    <row r="38" spans="1:26">
      <c r="A38" s="3088" t="s">
        <v>2585</v>
      </c>
      <c r="B38" s="3089">
        <f>B37/(1+N37)</f>
        <v>275.24529281292263</v>
      </c>
      <c r="C38" s="3089">
        <f>C37/(1+O37)</f>
        <v>231.74747938962707</v>
      </c>
      <c r="D38" s="3089">
        <f t="shared" si="121"/>
        <v>231.74747938962707</v>
      </c>
      <c r="E38" s="3089">
        <f t="shared" si="131"/>
        <v>375.35938184826603</v>
      </c>
      <c r="F38" s="3089">
        <f t="shared" si="131"/>
        <v>216.78033510692495</v>
      </c>
      <c r="G38" s="3513"/>
      <c r="H38" s="3104">
        <v>2</v>
      </c>
      <c r="I38" s="3104">
        <v>0.02</v>
      </c>
      <c r="J38" s="3104">
        <v>0.12</v>
      </c>
      <c r="K38" s="3104">
        <v>-0.08</v>
      </c>
      <c r="L38" s="3105">
        <v>1.24</v>
      </c>
      <c r="N38" s="3091">
        <f t="shared" si="123"/>
        <v>2.0000000000000001E-4</v>
      </c>
      <c r="O38" s="3077">
        <f t="shared" si="123"/>
        <v>1.1999999999999999E-3</v>
      </c>
      <c r="P38" s="3077">
        <f t="shared" si="123"/>
        <v>-8.0000000000000004E-4</v>
      </c>
      <c r="Q38" s="3077">
        <f t="shared" si="123"/>
        <v>1.24E-2</v>
      </c>
      <c r="R38" s="3092"/>
      <c r="S38" s="3091"/>
      <c r="T38" s="3077"/>
      <c r="U38" s="3077"/>
      <c r="V38" s="3077"/>
    </row>
    <row r="39" spans="1:26" ht="13.5" thickBot="1">
      <c r="A39" s="3088" t="s">
        <v>2586</v>
      </c>
      <c r="B39" s="3089">
        <f>B38/(1+N38)</f>
        <v>275.19025476197027</v>
      </c>
      <c r="C39" s="3141">
        <v>232</v>
      </c>
      <c r="D39" s="3141">
        <f t="shared" si="121"/>
        <v>232</v>
      </c>
      <c r="E39" s="3089">
        <f t="shared" si="131"/>
        <v>375.65990977608692</v>
      </c>
      <c r="F39" s="3089">
        <f t="shared" si="131"/>
        <v>214.12518283971252</v>
      </c>
      <c r="G39" s="3516"/>
      <c r="H39" s="3090">
        <v>1</v>
      </c>
      <c r="I39" s="3090">
        <v>0.02</v>
      </c>
      <c r="J39" s="3090">
        <v>0.13</v>
      </c>
      <c r="K39" s="3090">
        <v>-0.04</v>
      </c>
      <c r="L39" s="3096">
        <v>0.46</v>
      </c>
      <c r="N39" s="3091">
        <f t="shared" si="123"/>
        <v>2.0000000000000001E-4</v>
      </c>
      <c r="O39" s="3077">
        <f t="shared" si="123"/>
        <v>1.2999999999999999E-3</v>
      </c>
      <c r="P39" s="3077">
        <f t="shared" si="123"/>
        <v>-4.0000000000000002E-4</v>
      </c>
      <c r="Q39" s="3077">
        <f t="shared" si="123"/>
        <v>4.5999999999999999E-3</v>
      </c>
      <c r="R39" s="3092"/>
      <c r="S39" s="3093">
        <f>B39/B40-1</f>
        <v>6.9183549807361189E-4</v>
      </c>
      <c r="T39" s="3094">
        <f>C39/C40-1</f>
        <v>0</v>
      </c>
      <c r="U39" s="3094">
        <f>E39/E40-1</f>
        <v>-9.0449527636460303E-4</v>
      </c>
      <c r="V39" s="3094">
        <f>F39/F40-1</f>
        <v>5.2825485432512753E-3</v>
      </c>
      <c r="X39" s="3077"/>
      <c r="Y39" s="3077"/>
      <c r="Z39" s="3077"/>
    </row>
    <row r="40" spans="1:26" ht="13.5" thickBot="1">
      <c r="A40" s="3088" t="s">
        <v>2587</v>
      </c>
      <c r="B40" s="3111">
        <v>275</v>
      </c>
      <c r="C40" s="3111">
        <v>232</v>
      </c>
      <c r="D40" s="3111">
        <f t="shared" si="121"/>
        <v>232</v>
      </c>
      <c r="E40" s="3111">
        <v>376</v>
      </c>
      <c r="F40" s="3112">
        <v>213</v>
      </c>
      <c r="G40" s="3515">
        <v>2011</v>
      </c>
      <c r="H40" s="3113">
        <v>4</v>
      </c>
      <c r="I40" s="3113">
        <v>-0.2</v>
      </c>
      <c r="J40" s="3113">
        <v>0.04</v>
      </c>
      <c r="K40" s="3113">
        <v>-0.34</v>
      </c>
      <c r="L40" s="3114">
        <v>0.46</v>
      </c>
      <c r="N40" s="3108">
        <f t="shared" si="123"/>
        <v>-2E-3</v>
      </c>
      <c r="O40" s="3109">
        <f t="shared" si="123"/>
        <v>4.0000000000000002E-4</v>
      </c>
      <c r="P40" s="3109">
        <f t="shared" si="123"/>
        <v>-3.4000000000000002E-3</v>
      </c>
      <c r="Q40" s="3109">
        <f t="shared" si="123"/>
        <v>4.5999999999999999E-3</v>
      </c>
      <c r="R40" s="3092"/>
      <c r="S40" s="3102"/>
      <c r="T40" s="3103"/>
      <c r="U40" s="3103"/>
      <c r="V40" s="3103"/>
      <c r="X40" s="3103"/>
      <c r="Y40" s="3103"/>
      <c r="Z40" s="3103"/>
    </row>
    <row r="41" spans="1:26">
      <c r="A41" s="3088" t="s">
        <v>2588</v>
      </c>
      <c r="B41" s="3089">
        <f t="shared" ref="B41:C43" si="132">B40/(1+N40)</f>
        <v>275.55110220440883</v>
      </c>
      <c r="C41" s="3089">
        <f t="shared" si="132"/>
        <v>231.90723710515795</v>
      </c>
      <c r="D41" s="3089">
        <f t="shared" si="121"/>
        <v>231.90723710515795</v>
      </c>
      <c r="E41" s="3089">
        <f t="shared" ref="E41:F43" si="133">E40/(1+P40)</f>
        <v>377.28276138872161</v>
      </c>
      <c r="F41" s="3089">
        <f t="shared" si="133"/>
        <v>212.02468644236512</v>
      </c>
      <c r="G41" s="3513">
        <v>2011</v>
      </c>
      <c r="H41" s="3116">
        <v>3</v>
      </c>
      <c r="I41" s="3116">
        <v>0.13</v>
      </c>
      <c r="J41" s="3116">
        <v>0.75</v>
      </c>
      <c r="K41" s="3116">
        <v>-0.08</v>
      </c>
      <c r="L41" s="3117">
        <v>0.53</v>
      </c>
      <c r="N41" s="3091">
        <f t="shared" si="123"/>
        <v>1.2999999999999999E-3</v>
      </c>
      <c r="O41" s="3110">
        <f t="shared" si="123"/>
        <v>7.4999999999999997E-3</v>
      </c>
      <c r="P41" s="3110">
        <f t="shared" si="123"/>
        <v>-8.0000000000000004E-4</v>
      </c>
      <c r="Q41" s="3110">
        <f t="shared" si="123"/>
        <v>5.3E-3</v>
      </c>
      <c r="R41" s="3092"/>
      <c r="S41" s="3091"/>
      <c r="T41" s="3077"/>
      <c r="U41" s="3077"/>
      <c r="V41" s="3077"/>
    </row>
    <row r="42" spans="1:26">
      <c r="A42" s="3088" t="s">
        <v>2589</v>
      </c>
      <c r="B42" s="3089">
        <f t="shared" si="132"/>
        <v>275.19335084830601</v>
      </c>
      <c r="C42" s="3089">
        <f t="shared" si="132"/>
        <v>230.18088050139744</v>
      </c>
      <c r="D42" s="3089">
        <f t="shared" si="121"/>
        <v>230.18088050139744</v>
      </c>
      <c r="E42" s="3089">
        <f t="shared" si="133"/>
        <v>377.58482925212331</v>
      </c>
      <c r="F42" s="3089">
        <f t="shared" si="133"/>
        <v>210.90687997847917</v>
      </c>
      <c r="G42" s="3513">
        <v>2011</v>
      </c>
      <c r="H42" s="3104">
        <v>2</v>
      </c>
      <c r="I42" s="3104">
        <v>-0.4</v>
      </c>
      <c r="J42" s="3104">
        <v>0.17</v>
      </c>
      <c r="K42" s="3104">
        <v>-0.57999999999999996</v>
      </c>
      <c r="L42" s="3105">
        <v>-0.2</v>
      </c>
      <c r="N42" s="3091">
        <f t="shared" si="123"/>
        <v>-4.0000000000000001E-3</v>
      </c>
      <c r="O42" s="3110">
        <f t="shared" si="123"/>
        <v>1.7000000000000001E-3</v>
      </c>
      <c r="P42" s="3110">
        <f t="shared" si="123"/>
        <v>-5.7999999999999996E-3</v>
      </c>
      <c r="Q42" s="3110">
        <f t="shared" si="123"/>
        <v>-2E-3</v>
      </c>
      <c r="R42" s="3092"/>
      <c r="S42" s="3091"/>
      <c r="T42" s="3077"/>
      <c r="U42" s="3077"/>
      <c r="V42" s="3077"/>
    </row>
    <row r="43" spans="1:26" ht="13.5" thickBot="1">
      <c r="A43" s="3088" t="s">
        <v>2590</v>
      </c>
      <c r="B43" s="3089">
        <f t="shared" si="132"/>
        <v>276.29854502841971</v>
      </c>
      <c r="C43" s="3089">
        <f t="shared" si="132"/>
        <v>229.79023709833027</v>
      </c>
      <c r="D43" s="3089">
        <f t="shared" si="121"/>
        <v>229.79023709833027</v>
      </c>
      <c r="E43" s="3089">
        <f t="shared" si="133"/>
        <v>379.78759731655936</v>
      </c>
      <c r="F43" s="3089">
        <f t="shared" si="133"/>
        <v>211.32953905659235</v>
      </c>
      <c r="G43" s="3516">
        <v>2011</v>
      </c>
      <c r="H43" s="3090">
        <v>1</v>
      </c>
      <c r="I43" s="3090">
        <v>2.65</v>
      </c>
      <c r="J43" s="3090">
        <v>3.76</v>
      </c>
      <c r="K43" s="3090">
        <v>1.89</v>
      </c>
      <c r="L43" s="3096">
        <v>7.95</v>
      </c>
      <c r="N43" s="3093">
        <f t="shared" si="123"/>
        <v>2.6499999999999999E-2</v>
      </c>
      <c r="O43" s="3094">
        <f t="shared" si="123"/>
        <v>3.7599999999999995E-2</v>
      </c>
      <c r="P43" s="3094">
        <f t="shared" si="123"/>
        <v>1.89E-2</v>
      </c>
      <c r="Q43" s="3094">
        <f t="shared" si="123"/>
        <v>7.9500000000000001E-2</v>
      </c>
      <c r="R43" s="3092"/>
      <c r="S43" s="3093">
        <f>B43/B44-1</f>
        <v>2.713213765211786E-2</v>
      </c>
      <c r="T43" s="3094">
        <f>C43/C44-1</f>
        <v>3.9774828499231862E-2</v>
      </c>
      <c r="U43" s="3094">
        <f>E43/E44-1</f>
        <v>1.8197311840641772E-2</v>
      </c>
      <c r="V43" s="3094">
        <f>F43/F44-1</f>
        <v>7.8211933962205826E-2</v>
      </c>
      <c r="X43" s="3077"/>
      <c r="Y43" s="3077"/>
      <c r="Z43" s="3077"/>
    </row>
    <row r="44" spans="1:26" ht="13.5" thickBot="1">
      <c r="A44" s="3088" t="s">
        <v>2591</v>
      </c>
      <c r="B44" s="3111">
        <v>269</v>
      </c>
      <c r="C44" s="3111">
        <v>221</v>
      </c>
      <c r="D44" s="3111">
        <f t="shared" si="121"/>
        <v>221</v>
      </c>
      <c r="E44" s="3111">
        <v>373</v>
      </c>
      <c r="F44" s="3112">
        <v>196</v>
      </c>
      <c r="G44" s="3515">
        <v>2010</v>
      </c>
      <c r="H44" s="3113">
        <v>4</v>
      </c>
      <c r="I44" s="3113">
        <v>5.72</v>
      </c>
      <c r="J44" s="3113">
        <v>6.57</v>
      </c>
      <c r="K44" s="3113">
        <v>5.72</v>
      </c>
      <c r="L44" s="3114">
        <v>2.72</v>
      </c>
      <c r="N44" s="3091">
        <f t="shared" si="123"/>
        <v>5.7200000000000001E-2</v>
      </c>
      <c r="O44" s="3077">
        <f t="shared" si="123"/>
        <v>6.5700000000000008E-2</v>
      </c>
      <c r="P44" s="3077">
        <f t="shared" si="123"/>
        <v>5.7200000000000001E-2</v>
      </c>
      <c r="Q44" s="3077">
        <f t="shared" si="123"/>
        <v>2.7200000000000002E-2</v>
      </c>
      <c r="R44" s="3092"/>
      <c r="S44" s="3102"/>
      <c r="T44" s="3103"/>
      <c r="U44" s="3103"/>
      <c r="V44" s="3103"/>
      <c r="X44" s="3103"/>
      <c r="Y44" s="3103"/>
      <c r="Z44" s="3103"/>
    </row>
    <row r="45" spans="1:26">
      <c r="A45" s="3088" t="s">
        <v>2592</v>
      </c>
      <c r="B45" s="3089">
        <f t="shared" ref="B45:C47" si="134">B44/(1+N44)</f>
        <v>254.44570563753314</v>
      </c>
      <c r="C45" s="3089">
        <f t="shared" si="134"/>
        <v>207.37543398705074</v>
      </c>
      <c r="D45" s="3089">
        <f t="shared" si="121"/>
        <v>207.37543398705074</v>
      </c>
      <c r="E45" s="3089">
        <f t="shared" ref="E45:F47" si="135">E44/(1+P44)</f>
        <v>352.81876655315932</v>
      </c>
      <c r="F45" s="3089">
        <f t="shared" si="135"/>
        <v>190.809968847352</v>
      </c>
      <c r="G45" s="3513">
        <v>2010</v>
      </c>
      <c r="H45" s="3116">
        <v>3</v>
      </c>
      <c r="I45" s="3116">
        <v>4.7300000000000004</v>
      </c>
      <c r="J45" s="3116">
        <v>3.9</v>
      </c>
      <c r="K45" s="3116">
        <v>5.03</v>
      </c>
      <c r="L45" s="3117">
        <v>4.21</v>
      </c>
      <c r="N45" s="3091">
        <f t="shared" si="123"/>
        <v>4.7300000000000002E-2</v>
      </c>
      <c r="O45" s="3077">
        <f t="shared" si="123"/>
        <v>3.9E-2</v>
      </c>
      <c r="P45" s="3077">
        <f t="shared" si="123"/>
        <v>5.0300000000000004E-2</v>
      </c>
      <c r="Q45" s="3077">
        <f t="shared" si="123"/>
        <v>4.2099999999999999E-2</v>
      </c>
      <c r="R45" s="3092"/>
      <c r="S45" s="3091"/>
      <c r="T45" s="3077"/>
      <c r="U45" s="3077"/>
      <c r="V45" s="3077"/>
    </row>
    <row r="46" spans="1:26">
      <c r="A46" s="3088" t="s">
        <v>2593</v>
      </c>
      <c r="B46" s="3089">
        <f t="shared" si="134"/>
        <v>242.95398227588385</v>
      </c>
      <c r="C46" s="3089">
        <f t="shared" si="134"/>
        <v>199.59137053614126</v>
      </c>
      <c r="D46" s="3089">
        <f t="shared" si="121"/>
        <v>199.59137053614126</v>
      </c>
      <c r="E46" s="3089">
        <f t="shared" si="135"/>
        <v>335.92189522342125</v>
      </c>
      <c r="F46" s="3089">
        <f t="shared" si="135"/>
        <v>183.10139991109489</v>
      </c>
      <c r="G46" s="3513">
        <v>2010</v>
      </c>
      <c r="H46" s="3104">
        <v>2</v>
      </c>
      <c r="I46" s="3104">
        <v>4.6900000000000004</v>
      </c>
      <c r="J46" s="3104">
        <v>3.55</v>
      </c>
      <c r="K46" s="3104">
        <v>5.07</v>
      </c>
      <c r="L46" s="3105">
        <v>4.2300000000000004</v>
      </c>
      <c r="N46" s="3091">
        <f t="shared" si="123"/>
        <v>4.6900000000000004E-2</v>
      </c>
      <c r="O46" s="3077">
        <f t="shared" si="123"/>
        <v>3.5499999999999997E-2</v>
      </c>
      <c r="P46" s="3077">
        <f t="shared" si="123"/>
        <v>5.0700000000000002E-2</v>
      </c>
      <c r="Q46" s="3077">
        <f t="shared" si="123"/>
        <v>4.2300000000000004E-2</v>
      </c>
      <c r="R46" s="3092"/>
      <c r="S46" s="3091"/>
      <c r="T46" s="3077"/>
      <c r="U46" s="3077"/>
      <c r="V46" s="3077"/>
    </row>
    <row r="47" spans="1:26" ht="13.5" thickBot="1">
      <c r="A47" s="3088" t="s">
        <v>2594</v>
      </c>
      <c r="B47" s="3089">
        <f t="shared" si="134"/>
        <v>232.06990378821649</v>
      </c>
      <c r="C47" s="3089">
        <f t="shared" si="134"/>
        <v>192.74878854286936</v>
      </c>
      <c r="D47" s="3089">
        <f t="shared" si="121"/>
        <v>192.74878854286936</v>
      </c>
      <c r="E47" s="3089">
        <f t="shared" si="135"/>
        <v>319.71247284992984</v>
      </c>
      <c r="F47" s="3089">
        <f t="shared" si="135"/>
        <v>175.67053622862409</v>
      </c>
      <c r="G47" s="3516">
        <v>2010</v>
      </c>
      <c r="H47" s="3090">
        <v>1</v>
      </c>
      <c r="I47" s="3090">
        <v>5.4</v>
      </c>
      <c r="J47" s="3090">
        <v>3.2</v>
      </c>
      <c r="K47" s="3090">
        <v>6.16</v>
      </c>
      <c r="L47" s="3096">
        <v>4.51</v>
      </c>
      <c r="N47" s="3091">
        <f t="shared" si="123"/>
        <v>5.4000000000000006E-2</v>
      </c>
      <c r="O47" s="3077">
        <f t="shared" si="123"/>
        <v>3.2000000000000001E-2</v>
      </c>
      <c r="P47" s="3077">
        <f t="shared" si="123"/>
        <v>6.1600000000000002E-2</v>
      </c>
      <c r="Q47" s="3077">
        <f t="shared" si="123"/>
        <v>4.5100000000000001E-2</v>
      </c>
      <c r="R47" s="3092"/>
      <c r="S47" s="3093">
        <f>B47/B48-1</f>
        <v>5.4863199037347599E-2</v>
      </c>
      <c r="T47" s="3094">
        <f>C47/C48-1</f>
        <v>3.0742184721226584E-2</v>
      </c>
      <c r="U47" s="3094">
        <f>E47/E48-1</f>
        <v>6.2167683886810154E-2</v>
      </c>
      <c r="V47" s="3094">
        <f>F47/F48-1</f>
        <v>4.5657953741810031E-2</v>
      </c>
      <c r="X47" s="3077"/>
      <c r="Y47" s="3077"/>
      <c r="Z47" s="3077"/>
    </row>
    <row r="48" spans="1:26" ht="13.5" thickBot="1">
      <c r="A48" s="3088" t="s">
        <v>2595</v>
      </c>
      <c r="B48" s="3111">
        <v>220</v>
      </c>
      <c r="C48" s="3111">
        <v>187</v>
      </c>
      <c r="D48" s="3111">
        <f t="shared" si="121"/>
        <v>187</v>
      </c>
      <c r="E48" s="3111">
        <v>301</v>
      </c>
      <c r="F48" s="3112">
        <v>168</v>
      </c>
      <c r="G48" s="3515">
        <v>2009</v>
      </c>
      <c r="H48" s="3113">
        <v>4</v>
      </c>
      <c r="I48" s="3113">
        <v>2.2999999999999998</v>
      </c>
      <c r="J48" s="3113">
        <v>1.04</v>
      </c>
      <c r="K48" s="3113">
        <v>2.84</v>
      </c>
      <c r="L48" s="3114">
        <v>0.67</v>
      </c>
      <c r="N48" s="3108">
        <f t="shared" si="123"/>
        <v>2.3E-2</v>
      </c>
      <c r="O48" s="3109">
        <f t="shared" si="123"/>
        <v>1.04E-2</v>
      </c>
      <c r="P48" s="3109">
        <f t="shared" si="123"/>
        <v>2.8399999999999998E-2</v>
      </c>
      <c r="Q48" s="3109">
        <f t="shared" si="123"/>
        <v>6.7000000000000002E-3</v>
      </c>
      <c r="R48" s="3092"/>
      <c r="S48" s="3102"/>
      <c r="T48" s="3103"/>
      <c r="U48" s="3103"/>
      <c r="V48" s="3103"/>
      <c r="X48" s="3103"/>
      <c r="Y48" s="3103"/>
      <c r="Z48" s="3103"/>
    </row>
    <row r="49" spans="1:26">
      <c r="A49" s="3088" t="s">
        <v>2596</v>
      </c>
      <c r="B49" s="3089">
        <f t="shared" ref="B49:C51" si="136">B48/(1+N48)</f>
        <v>215.05376344086022</v>
      </c>
      <c r="C49" s="3089">
        <f t="shared" si="136"/>
        <v>185.0752177355503</v>
      </c>
      <c r="D49" s="3089">
        <f t="shared" si="121"/>
        <v>185.0752177355503</v>
      </c>
      <c r="E49" s="3089">
        <f t="shared" ref="E49:F51" si="137">E48/(1+P48)</f>
        <v>292.68767016725008</v>
      </c>
      <c r="F49" s="3089">
        <f t="shared" si="137"/>
        <v>166.88189132810174</v>
      </c>
      <c r="G49" s="3513">
        <v>2009</v>
      </c>
      <c r="H49" s="3116">
        <v>3</v>
      </c>
      <c r="I49" s="3116">
        <v>2.1</v>
      </c>
      <c r="J49" s="3116">
        <v>1.86</v>
      </c>
      <c r="K49" s="3116">
        <v>2.29</v>
      </c>
      <c r="L49" s="3117">
        <v>0.85</v>
      </c>
      <c r="N49" s="3091">
        <f t="shared" si="123"/>
        <v>2.1000000000000001E-2</v>
      </c>
      <c r="O49" s="3110">
        <f t="shared" si="123"/>
        <v>1.8600000000000002E-2</v>
      </c>
      <c r="P49" s="3110">
        <f t="shared" si="123"/>
        <v>2.29E-2</v>
      </c>
      <c r="Q49" s="3110">
        <f t="shared" si="123"/>
        <v>8.5000000000000006E-3</v>
      </c>
      <c r="R49" s="3092"/>
      <c r="S49" s="3091"/>
      <c r="T49" s="3077"/>
      <c r="U49" s="3077"/>
      <c r="V49" s="3077"/>
    </row>
    <row r="50" spans="1:26">
      <c r="A50" s="3088" t="s">
        <v>2597</v>
      </c>
      <c r="B50" s="3089">
        <f t="shared" si="136"/>
        <v>210.630522469011</v>
      </c>
      <c r="C50" s="3089">
        <f t="shared" si="136"/>
        <v>181.69567812247232</v>
      </c>
      <c r="D50" s="3089">
        <f t="shared" si="121"/>
        <v>181.69567812247232</v>
      </c>
      <c r="E50" s="3089">
        <f t="shared" si="137"/>
        <v>286.13517466736738</v>
      </c>
      <c r="F50" s="3089">
        <f t="shared" si="137"/>
        <v>165.47535084591149</v>
      </c>
      <c r="G50" s="3513">
        <v>2009</v>
      </c>
      <c r="H50" s="3104">
        <v>2</v>
      </c>
      <c r="I50" s="3104">
        <v>0.86</v>
      </c>
      <c r="J50" s="3104">
        <v>-1.1299999999999999</v>
      </c>
      <c r="K50" s="3104">
        <v>1.79</v>
      </c>
      <c r="L50" s="3105">
        <v>-2.0699999999999998</v>
      </c>
      <c r="N50" s="3091">
        <f t="shared" si="123"/>
        <v>8.6E-3</v>
      </c>
      <c r="O50" s="3110">
        <f t="shared" si="123"/>
        <v>-1.1299999999999999E-2</v>
      </c>
      <c r="P50" s="3110">
        <f t="shared" si="123"/>
        <v>1.7899999999999999E-2</v>
      </c>
      <c r="Q50" s="3110">
        <f t="shared" si="123"/>
        <v>-2.07E-2</v>
      </c>
      <c r="R50" s="3092"/>
      <c r="S50" s="3091"/>
      <c r="T50" s="3077"/>
      <c r="U50" s="3077"/>
      <c r="V50" s="3077"/>
    </row>
    <row r="51" spans="1:26">
      <c r="A51" s="3088" t="s">
        <v>2598</v>
      </c>
      <c r="B51" s="3089">
        <f t="shared" si="136"/>
        <v>208.83454537875372</v>
      </c>
      <c r="C51" s="3089">
        <f t="shared" si="136"/>
        <v>183.77230517090351</v>
      </c>
      <c r="D51" s="3089">
        <f t="shared" si="121"/>
        <v>183.77230517090351</v>
      </c>
      <c r="E51" s="3089">
        <f t="shared" si="137"/>
        <v>281.10342338870947</v>
      </c>
      <c r="F51" s="3089">
        <f t="shared" si="137"/>
        <v>168.97309388942256</v>
      </c>
      <c r="G51" s="3516">
        <v>2009</v>
      </c>
      <c r="H51" s="3090">
        <v>1</v>
      </c>
      <c r="I51" s="3090">
        <v>-2.64</v>
      </c>
      <c r="J51" s="3090">
        <v>-2.5299999999999998</v>
      </c>
      <c r="K51" s="3090">
        <v>-3.02</v>
      </c>
      <c r="L51" s="3096">
        <v>1.52</v>
      </c>
      <c r="N51" s="3093">
        <f t="shared" si="123"/>
        <v>-2.64E-2</v>
      </c>
      <c r="O51" s="3094">
        <f t="shared" si="123"/>
        <v>-2.53E-2</v>
      </c>
      <c r="P51" s="3094">
        <f t="shared" si="123"/>
        <v>-3.0200000000000001E-2</v>
      </c>
      <c r="Q51" s="3094">
        <f t="shared" si="123"/>
        <v>1.52E-2</v>
      </c>
      <c r="R51" s="3092"/>
      <c r="S51" s="3093">
        <f>B51/B52-1</f>
        <v>-2.4137638417038754E-2</v>
      </c>
      <c r="T51" s="3094">
        <f>C51/C52-1</f>
        <v>-2.248773845264096E-2</v>
      </c>
      <c r="U51" s="3094">
        <f>E51/E52-1</f>
        <v>-2.7323794502735366E-2</v>
      </c>
      <c r="V51" s="3094">
        <f>F51/F52-1</f>
        <v>1.7910204153148035E-2</v>
      </c>
      <c r="X51" s="3077"/>
      <c r="Y51" s="3077"/>
      <c r="Z51" s="3077"/>
    </row>
    <row r="52" spans="1:26" ht="13.5" thickBot="1">
      <c r="A52" s="3088" t="s">
        <v>2599</v>
      </c>
      <c r="B52" s="3139">
        <v>214</v>
      </c>
      <c r="C52" s="3139">
        <v>188</v>
      </c>
      <c r="D52" s="3139">
        <f t="shared" si="121"/>
        <v>188</v>
      </c>
      <c r="E52" s="3139">
        <v>289</v>
      </c>
      <c r="F52" s="3140">
        <v>166</v>
      </c>
      <c r="G52" s="3515">
        <v>2008</v>
      </c>
      <c r="H52" s="3113">
        <v>4</v>
      </c>
      <c r="I52" s="3113">
        <v>1.73</v>
      </c>
      <c r="J52" s="3113">
        <v>0.03</v>
      </c>
      <c r="K52" s="3113">
        <v>2.59</v>
      </c>
      <c r="L52" s="3114">
        <v>-1.66</v>
      </c>
      <c r="N52" s="3091">
        <f t="shared" si="123"/>
        <v>1.7299999999999999E-2</v>
      </c>
      <c r="O52" s="3077">
        <f t="shared" si="123"/>
        <v>2.9999999999999997E-4</v>
      </c>
      <c r="P52" s="3077">
        <f t="shared" si="123"/>
        <v>2.5899999999999999E-2</v>
      </c>
      <c r="Q52" s="3077">
        <f t="shared" si="123"/>
        <v>-1.66E-2</v>
      </c>
      <c r="R52" s="3092"/>
      <c r="S52" s="3102"/>
      <c r="T52" s="3103"/>
      <c r="U52" s="3103"/>
      <c r="V52" s="3103"/>
      <c r="X52" s="3103"/>
      <c r="Y52" s="3103"/>
      <c r="Z52" s="3103"/>
    </row>
    <row r="53" spans="1:26">
      <c r="A53" s="3088" t="s">
        <v>2600</v>
      </c>
      <c r="B53" s="3089">
        <f t="shared" ref="B53:C55" si="138">B52/(1+N52)</f>
        <v>210.36075887152265</v>
      </c>
      <c r="C53" s="3089">
        <f t="shared" si="138"/>
        <v>187.94361691492554</v>
      </c>
      <c r="D53" s="3089">
        <f t="shared" si="121"/>
        <v>187.94361691492554</v>
      </c>
      <c r="E53" s="3089">
        <f t="shared" ref="E53:F55" si="139">E52/(1+P52)</f>
        <v>281.70386977288234</v>
      </c>
      <c r="F53" s="3089">
        <f t="shared" si="139"/>
        <v>168.80211511083994</v>
      </c>
      <c r="G53" s="3513">
        <v>2008</v>
      </c>
      <c r="H53" s="3116">
        <v>3</v>
      </c>
      <c r="I53" s="3116">
        <v>1.96</v>
      </c>
      <c r="J53" s="3116">
        <v>2.36</v>
      </c>
      <c r="K53" s="3116">
        <v>1.82</v>
      </c>
      <c r="L53" s="3117">
        <v>2.2200000000000002</v>
      </c>
      <c r="N53" s="3091">
        <f t="shared" si="123"/>
        <v>1.9599999999999999E-2</v>
      </c>
      <c r="O53" s="3077">
        <f t="shared" si="123"/>
        <v>2.3599999999999999E-2</v>
      </c>
      <c r="P53" s="3077">
        <f t="shared" si="123"/>
        <v>1.8200000000000001E-2</v>
      </c>
      <c r="Q53" s="3077">
        <f t="shared" si="123"/>
        <v>2.2200000000000001E-2</v>
      </c>
      <c r="R53" s="3092"/>
      <c r="S53" s="3091"/>
      <c r="T53" s="3077"/>
      <c r="U53" s="3077"/>
      <c r="V53" s="3077"/>
    </row>
    <row r="54" spans="1:26">
      <c r="A54" s="3088" t="s">
        <v>2601</v>
      </c>
      <c r="B54" s="3089">
        <f t="shared" si="138"/>
        <v>206.31694671589116</v>
      </c>
      <c r="C54" s="3089">
        <f t="shared" si="138"/>
        <v>183.61041121036101</v>
      </c>
      <c r="D54" s="3089">
        <f t="shared" si="121"/>
        <v>183.61041121036101</v>
      </c>
      <c r="E54" s="3089">
        <f t="shared" si="139"/>
        <v>276.66850301795557</v>
      </c>
      <c r="F54" s="3089">
        <f t="shared" si="139"/>
        <v>165.1360938278614</v>
      </c>
      <c r="G54" s="3513">
        <v>2008</v>
      </c>
      <c r="H54" s="3104">
        <v>2</v>
      </c>
      <c r="I54" s="3104">
        <v>4.93</v>
      </c>
      <c r="J54" s="3104">
        <v>7.38</v>
      </c>
      <c r="K54" s="3104">
        <v>3.98</v>
      </c>
      <c r="L54" s="3105">
        <v>6.86</v>
      </c>
      <c r="N54" s="3091">
        <f t="shared" si="123"/>
        <v>4.9299999999999997E-2</v>
      </c>
      <c r="O54" s="3077">
        <f t="shared" si="123"/>
        <v>7.3800000000000004E-2</v>
      </c>
      <c r="P54" s="3077">
        <f t="shared" si="123"/>
        <v>3.9800000000000002E-2</v>
      </c>
      <c r="Q54" s="3077">
        <f t="shared" si="123"/>
        <v>6.8600000000000008E-2</v>
      </c>
      <c r="R54" s="3092"/>
      <c r="S54" s="3091"/>
      <c r="T54" s="3077"/>
      <c r="U54" s="3077"/>
      <c r="V54" s="3077"/>
    </row>
    <row r="55" spans="1:26" s="3145" customFormat="1" ht="13.5" thickBot="1">
      <c r="A55" s="3088" t="s">
        <v>2602</v>
      </c>
      <c r="B55" s="3142">
        <f t="shared" si="138"/>
        <v>196.62341248059772</v>
      </c>
      <c r="C55" s="3142">
        <f t="shared" si="138"/>
        <v>170.99125648199012</v>
      </c>
      <c r="D55" s="3142">
        <f t="shared" si="121"/>
        <v>170.99125648199012</v>
      </c>
      <c r="E55" s="3142">
        <f t="shared" si="139"/>
        <v>266.07857570490052</v>
      </c>
      <c r="F55" s="3142">
        <f t="shared" si="139"/>
        <v>154.53499328828505</v>
      </c>
      <c r="G55" s="3516">
        <v>2008</v>
      </c>
      <c r="H55" s="3143">
        <v>1</v>
      </c>
      <c r="I55" s="3143">
        <v>4.1399999999999997</v>
      </c>
      <c r="J55" s="3143">
        <v>3.45</v>
      </c>
      <c r="K55" s="3143">
        <v>4.95</v>
      </c>
      <c r="L55" s="3144">
        <v>4.82</v>
      </c>
      <c r="N55" s="3146">
        <f t="shared" si="123"/>
        <v>4.1399999999999999E-2</v>
      </c>
      <c r="O55" s="3147">
        <f t="shared" si="123"/>
        <v>3.4500000000000003E-2</v>
      </c>
      <c r="P55" s="3147">
        <f t="shared" si="123"/>
        <v>4.9500000000000002E-2</v>
      </c>
      <c r="Q55" s="3147">
        <f t="shared" si="123"/>
        <v>4.82E-2</v>
      </c>
      <c r="R55" s="3148"/>
      <c r="S55" s="3146">
        <f>B55/B56-1</f>
        <v>4.5869215322328349E-2</v>
      </c>
      <c r="T55" s="3147">
        <f>C55/C56-1</f>
        <v>3.6310645345394743E-2</v>
      </c>
      <c r="U55" s="3147">
        <f>E55/E56-1</f>
        <v>4.7553447657088688E-2</v>
      </c>
      <c r="V55" s="3147">
        <f>F55/F56-1</f>
        <v>4.4155360055980086E-2</v>
      </c>
      <c r="X55" s="3147"/>
      <c r="Y55" s="3147"/>
      <c r="Z55" s="3147"/>
    </row>
    <row r="56" spans="1:26" ht="13.5" thickBot="1">
      <c r="A56" s="3088" t="s">
        <v>2603</v>
      </c>
      <c r="B56" s="3111">
        <v>188</v>
      </c>
      <c r="C56" s="3111">
        <v>165</v>
      </c>
      <c r="D56" s="3111">
        <f t="shared" si="121"/>
        <v>165</v>
      </c>
      <c r="E56" s="3111">
        <v>254</v>
      </c>
      <c r="F56" s="3112">
        <v>148</v>
      </c>
      <c r="G56" s="3515">
        <v>2007</v>
      </c>
      <c r="H56" s="3149">
        <v>4</v>
      </c>
      <c r="I56" s="3149">
        <v>5.51</v>
      </c>
      <c r="J56" s="3149">
        <v>4.8899999999999997</v>
      </c>
      <c r="K56" s="3149">
        <v>6.43</v>
      </c>
      <c r="L56" s="3150">
        <v>5.36</v>
      </c>
      <c r="N56" s="3151">
        <f t="shared" ref="N56:O59" si="140">B56/B57-1</f>
        <v>4.1339718365245526E-2</v>
      </c>
      <c r="O56" s="3152">
        <f t="shared" si="140"/>
        <v>4.0324492593776018E-2</v>
      </c>
      <c r="P56" s="3152">
        <f t="shared" ref="P56:Q59" si="141">E56/E57-1</f>
        <v>6.1625555347990968E-2</v>
      </c>
      <c r="Q56" s="3152">
        <f t="shared" si="141"/>
        <v>4.6757569250590603E-2</v>
      </c>
      <c r="R56" s="3092"/>
      <c r="S56" s="3102"/>
      <c r="T56" s="3103"/>
      <c r="U56" s="3103"/>
      <c r="V56" s="3103"/>
      <c r="X56" s="3103"/>
      <c r="Y56" s="3103"/>
      <c r="Z56" s="3103"/>
    </row>
    <row r="57" spans="1:26">
      <c r="A57" s="3088" t="s">
        <v>2604</v>
      </c>
      <c r="B57" s="3089">
        <f t="shared" ref="B57:C59" si="142">B58+(B$56-B$60)*I57/SUM(I$56:I$59)</f>
        <v>180.5366651097618</v>
      </c>
      <c r="C57" s="3089">
        <f t="shared" si="142"/>
        <v>158.60435967302453</v>
      </c>
      <c r="D57" s="3089">
        <f t="shared" si="121"/>
        <v>158.60435967302453</v>
      </c>
      <c r="E57" s="3089">
        <f t="shared" ref="E57:F59" si="143">E58+(E$56-E$60)*K57/SUM(K$56:K$59)</f>
        <v>239.25573260785075</v>
      </c>
      <c r="F57" s="3089">
        <f t="shared" si="143"/>
        <v>141.38899430740037</v>
      </c>
      <c r="G57" s="3513">
        <v>2007</v>
      </c>
      <c r="H57" s="3116">
        <v>3</v>
      </c>
      <c r="I57" s="3116">
        <v>8.65</v>
      </c>
      <c r="J57" s="3116">
        <v>8.06</v>
      </c>
      <c r="K57" s="3116">
        <v>9.94</v>
      </c>
      <c r="L57" s="3117">
        <v>5.8</v>
      </c>
      <c r="N57" s="3151">
        <f t="shared" si="140"/>
        <v>6.940217571740015E-2</v>
      </c>
      <c r="O57" s="3152">
        <f t="shared" si="140"/>
        <v>7.1197482471153428E-2</v>
      </c>
      <c r="P57" s="3152">
        <f t="shared" si="141"/>
        <v>0.10529679922579582</v>
      </c>
      <c r="Q57" s="3152">
        <f t="shared" si="141"/>
        <v>5.3292245059512133E-2</v>
      </c>
      <c r="R57" s="3092"/>
      <c r="S57" s="3091"/>
      <c r="T57" s="3077"/>
      <c r="U57" s="3077"/>
      <c r="V57" s="3077"/>
      <c r="X57" s="3153"/>
      <c r="Y57" s="3153"/>
      <c r="Z57" s="3153"/>
    </row>
    <row r="58" spans="1:26">
      <c r="A58" s="3088" t="s">
        <v>2605</v>
      </c>
      <c r="B58" s="3089">
        <f t="shared" si="142"/>
        <v>168.82017748715555</v>
      </c>
      <c r="C58" s="3089">
        <f t="shared" si="142"/>
        <v>148.06267029972753</v>
      </c>
      <c r="D58" s="3089">
        <f t="shared" si="121"/>
        <v>148.06267029972753</v>
      </c>
      <c r="E58" s="3089">
        <f t="shared" si="143"/>
        <v>216.46288379323747</v>
      </c>
      <c r="F58" s="3089">
        <f t="shared" si="143"/>
        <v>134.23529411764704</v>
      </c>
      <c r="G58" s="3513">
        <v>2007</v>
      </c>
      <c r="H58" s="3104">
        <v>2</v>
      </c>
      <c r="I58" s="3104">
        <v>3.67</v>
      </c>
      <c r="J58" s="3104">
        <v>2.3199999999999998</v>
      </c>
      <c r="K58" s="3104">
        <v>5.0199999999999996</v>
      </c>
      <c r="L58" s="3105">
        <v>6.71</v>
      </c>
      <c r="N58" s="3151">
        <f t="shared" si="140"/>
        <v>3.0339138143848032E-2</v>
      </c>
      <c r="O58" s="3152">
        <f t="shared" si="140"/>
        <v>2.0922341588790472E-2</v>
      </c>
      <c r="P58" s="3152">
        <f t="shared" si="141"/>
        <v>5.6164796592717003E-2</v>
      </c>
      <c r="Q58" s="3152">
        <f t="shared" si="141"/>
        <v>6.5704536723887319E-2</v>
      </c>
      <c r="R58" s="3092"/>
      <c r="S58" s="3091"/>
      <c r="T58" s="3077"/>
      <c r="U58" s="3077"/>
      <c r="V58" s="3077"/>
      <c r="X58" s="3153"/>
      <c r="Y58" s="3153"/>
      <c r="Z58" s="3153"/>
    </row>
    <row r="59" spans="1:26">
      <c r="A59" s="3088" t="s">
        <v>2606</v>
      </c>
      <c r="B59" s="3089">
        <f t="shared" si="142"/>
        <v>163.84913591779542</v>
      </c>
      <c r="C59" s="3089">
        <f t="shared" si="142"/>
        <v>145.0283378746594</v>
      </c>
      <c r="D59" s="3089">
        <f t="shared" si="121"/>
        <v>145.0283378746594</v>
      </c>
      <c r="E59" s="3089">
        <f t="shared" si="143"/>
        <v>204.95180722891567</v>
      </c>
      <c r="F59" s="3089">
        <f t="shared" si="143"/>
        <v>125.95920303605313</v>
      </c>
      <c r="G59" s="3516">
        <v>2007</v>
      </c>
      <c r="H59" s="3090">
        <v>1</v>
      </c>
      <c r="I59" s="3090">
        <v>3.58</v>
      </c>
      <c r="J59" s="3090">
        <v>3.08</v>
      </c>
      <c r="K59" s="3090">
        <v>4.34</v>
      </c>
      <c r="L59" s="3096">
        <v>3.21</v>
      </c>
      <c r="N59" s="3154">
        <f t="shared" si="140"/>
        <v>3.0497710174814063E-2</v>
      </c>
      <c r="O59" s="3155">
        <f t="shared" si="140"/>
        <v>2.8569772160704998E-2</v>
      </c>
      <c r="P59" s="3155">
        <f t="shared" si="141"/>
        <v>5.1034908866234296E-2</v>
      </c>
      <c r="Q59" s="3155">
        <f t="shared" si="141"/>
        <v>3.245248390207478E-2</v>
      </c>
      <c r="R59" s="3092"/>
      <c r="S59" s="3093">
        <f>B59/B60-1</f>
        <v>3.0497710174814063E-2</v>
      </c>
      <c r="T59" s="3094">
        <f>C59/C60-1</f>
        <v>2.8569772160704998E-2</v>
      </c>
      <c r="U59" s="3094">
        <f>E59/E60-1</f>
        <v>5.1034908866234296E-2</v>
      </c>
      <c r="V59" s="3094">
        <f>F59/F60-1</f>
        <v>3.245248390207478E-2</v>
      </c>
      <c r="X59" s="3153"/>
      <c r="Y59" s="3153"/>
      <c r="Z59" s="3153"/>
    </row>
    <row r="60" spans="1:26" ht="13.5" thickBot="1">
      <c r="A60" s="3088" t="s">
        <v>2607</v>
      </c>
      <c r="B60" s="3118">
        <v>159</v>
      </c>
      <c r="C60" s="3118">
        <v>141</v>
      </c>
      <c r="D60" s="3118">
        <f t="shared" si="121"/>
        <v>141</v>
      </c>
      <c r="E60" s="3118">
        <v>195</v>
      </c>
      <c r="F60" s="3119">
        <v>122</v>
      </c>
      <c r="G60" s="3515">
        <v>2006</v>
      </c>
      <c r="H60" s="3113">
        <v>4</v>
      </c>
      <c r="I60" s="3113">
        <v>3.79</v>
      </c>
      <c r="J60" s="3113">
        <v>2.21</v>
      </c>
      <c r="K60" s="3113">
        <v>5.65</v>
      </c>
      <c r="L60" s="3114">
        <v>5.41</v>
      </c>
      <c r="N60" s="3151">
        <f t="shared" ref="N60:O63" si="144">I60/SUM(I$60:I$63)*(B$60/B$64-1)</f>
        <v>7.245466462748526E-2</v>
      </c>
      <c r="O60" s="3152">
        <f t="shared" si="144"/>
        <v>2.3237230038062766E-2</v>
      </c>
      <c r="P60" s="3152">
        <f t="shared" ref="P60:Q63" si="145">K60/SUM(K$60:K$63)*(E$60/E$64-1)</f>
        <v>0.16146893866323722</v>
      </c>
      <c r="Q60" s="3152">
        <f t="shared" si="145"/>
        <v>5.0755230321793784E-2</v>
      </c>
      <c r="R60" s="3092"/>
      <c r="S60" s="3102"/>
      <c r="T60" s="3103"/>
      <c r="U60" s="3103"/>
      <c r="V60" s="3103"/>
      <c r="X60" s="3153"/>
      <c r="Y60" s="3153"/>
      <c r="Z60" s="3153"/>
    </row>
    <row r="61" spans="1:26">
      <c r="A61" s="3088" t="s">
        <v>2608</v>
      </c>
      <c r="B61" s="3089">
        <f t="shared" ref="B61:C63" si="146">B62+(B$60-B$64)*I61/SUM(I$60:I$63)</f>
        <v>149.00125628140702</v>
      </c>
      <c r="C61" s="3089">
        <f t="shared" si="146"/>
        <v>137.95592286501378</v>
      </c>
      <c r="D61" s="3089">
        <f t="shared" si="121"/>
        <v>137.95592286501378</v>
      </c>
      <c r="E61" s="3089">
        <f t="shared" ref="E61:F63" si="147">E62+(E$60-E$64)*K61/SUM(K$60:K$63)</f>
        <v>169.97231450719823</v>
      </c>
      <c r="F61" s="3089">
        <f t="shared" si="147"/>
        <v>116.21390374331551</v>
      </c>
      <c r="G61" s="3513">
        <v>2006</v>
      </c>
      <c r="H61" s="3116">
        <v>3</v>
      </c>
      <c r="I61" s="3116">
        <v>0.92</v>
      </c>
      <c r="J61" s="3116">
        <v>1.08</v>
      </c>
      <c r="K61" s="3116">
        <v>0.73</v>
      </c>
      <c r="L61" s="3117">
        <v>1.08</v>
      </c>
      <c r="N61" s="3151">
        <f t="shared" si="144"/>
        <v>1.7587939698492462E-2</v>
      </c>
      <c r="O61" s="3152">
        <f t="shared" si="144"/>
        <v>1.1355750425840628E-2</v>
      </c>
      <c r="P61" s="3152">
        <f t="shared" si="145"/>
        <v>2.0862358446754544E-2</v>
      </c>
      <c r="Q61" s="3152">
        <f t="shared" si="145"/>
        <v>1.0132282578103011E-2</v>
      </c>
      <c r="R61" s="3092"/>
      <c r="S61" s="3091"/>
      <c r="T61" s="3077"/>
      <c r="U61" s="3077"/>
      <c r="V61" s="3077"/>
      <c r="X61" s="3153"/>
      <c r="Y61" s="3153"/>
      <c r="Z61" s="3153"/>
    </row>
    <row r="62" spans="1:26">
      <c r="A62" s="3088" t="s">
        <v>2609</v>
      </c>
      <c r="B62" s="3089">
        <f t="shared" si="146"/>
        <v>146.57412060301507</v>
      </c>
      <c r="C62" s="3089">
        <f t="shared" si="146"/>
        <v>136.46831955922866</v>
      </c>
      <c r="D62" s="3089">
        <f t="shared" si="121"/>
        <v>136.46831955922866</v>
      </c>
      <c r="E62" s="3089">
        <f t="shared" si="147"/>
        <v>166.73864894795128</v>
      </c>
      <c r="F62" s="3089">
        <f t="shared" si="147"/>
        <v>115.05882352941177</v>
      </c>
      <c r="G62" s="3513">
        <v>2006</v>
      </c>
      <c r="H62" s="3104">
        <v>2</v>
      </c>
      <c r="I62" s="3104">
        <v>0.96</v>
      </c>
      <c r="J62" s="3104">
        <v>0.25</v>
      </c>
      <c r="K62" s="3104">
        <v>1.9</v>
      </c>
      <c r="L62" s="3105">
        <v>0.95</v>
      </c>
      <c r="N62" s="3151">
        <f t="shared" si="144"/>
        <v>1.8352632728861701E-2</v>
      </c>
      <c r="O62" s="3152">
        <f t="shared" si="144"/>
        <v>2.6286459319075526E-3</v>
      </c>
      <c r="P62" s="3152">
        <f t="shared" si="145"/>
        <v>5.4299289107991269E-2</v>
      </c>
      <c r="Q62" s="3152">
        <f t="shared" si="145"/>
        <v>8.9126559714794995E-3</v>
      </c>
      <c r="R62" s="3092"/>
      <c r="S62" s="3091"/>
      <c r="T62" s="3077"/>
      <c r="U62" s="3077"/>
      <c r="V62" s="3077"/>
      <c r="X62" s="3153"/>
      <c r="Y62" s="3153"/>
      <c r="Z62" s="3153"/>
    </row>
    <row r="63" spans="1:26">
      <c r="A63" s="3088" t="s">
        <v>2610</v>
      </c>
      <c r="B63" s="3089">
        <f t="shared" si="146"/>
        <v>144.04145728643215</v>
      </c>
      <c r="C63" s="3089">
        <f t="shared" si="146"/>
        <v>136.12396694214877</v>
      </c>
      <c r="D63" s="3089">
        <f t="shared" si="121"/>
        <v>136.12396694214877</v>
      </c>
      <c r="E63" s="3089">
        <f t="shared" si="147"/>
        <v>158.32225913621264</v>
      </c>
      <c r="F63" s="3089">
        <f t="shared" si="147"/>
        <v>114.04278074866311</v>
      </c>
      <c r="G63" s="3516">
        <v>2006</v>
      </c>
      <c r="H63" s="3090">
        <v>1</v>
      </c>
      <c r="I63" s="3090">
        <v>2.29</v>
      </c>
      <c r="J63" s="3090">
        <v>3.72</v>
      </c>
      <c r="K63" s="3090">
        <v>0.75</v>
      </c>
      <c r="L63" s="3096">
        <v>0.04</v>
      </c>
      <c r="N63" s="3154">
        <f t="shared" si="144"/>
        <v>4.3778675988638847E-2</v>
      </c>
      <c r="O63" s="3155">
        <f t="shared" si="144"/>
        <v>3.9114251466784385E-2</v>
      </c>
      <c r="P63" s="3155">
        <f t="shared" si="145"/>
        <v>2.1433929911049188E-2</v>
      </c>
      <c r="Q63" s="3155">
        <f t="shared" si="145"/>
        <v>3.7526972511492629E-4</v>
      </c>
      <c r="R63" s="3092"/>
      <c r="S63" s="3093">
        <f>B63/B64-1</f>
        <v>4.3778675988638716E-2</v>
      </c>
      <c r="T63" s="3094">
        <f>C63/C64-1</f>
        <v>3.91142514667846E-2</v>
      </c>
      <c r="U63" s="3094">
        <f>E63/E64-1</f>
        <v>2.143392991104931E-2</v>
      </c>
      <c r="V63" s="3094">
        <f>F63/F64-1</f>
        <v>3.7526972511492396E-4</v>
      </c>
      <c r="X63" s="3153"/>
      <c r="Y63" s="3153"/>
      <c r="Z63" s="3153"/>
    </row>
    <row r="64" spans="1:26" ht="13.5" thickBot="1">
      <c r="A64" s="3088" t="s">
        <v>2611</v>
      </c>
      <c r="B64" s="3118">
        <v>138</v>
      </c>
      <c r="C64" s="3118">
        <v>131</v>
      </c>
      <c r="D64" s="3118">
        <f t="shared" si="121"/>
        <v>131</v>
      </c>
      <c r="E64" s="3118">
        <v>155</v>
      </c>
      <c r="F64" s="3119">
        <v>114</v>
      </c>
      <c r="G64" s="3515">
        <v>2005</v>
      </c>
      <c r="H64" s="3113">
        <v>4</v>
      </c>
      <c r="I64" s="3113">
        <v>3.29</v>
      </c>
      <c r="J64" s="3113">
        <v>1.44</v>
      </c>
      <c r="K64" s="3113">
        <v>0.66</v>
      </c>
      <c r="L64" s="3114">
        <v>7.78</v>
      </c>
      <c r="N64" s="3151">
        <f t="shared" ref="N64:O67" si="148">I64/SUM(I$64:I$67)*(B$64/B$68-1)</f>
        <v>9.9404603216919935E-2</v>
      </c>
      <c r="O64" s="3152">
        <f t="shared" si="148"/>
        <v>4.7636550760861554E-2</v>
      </c>
      <c r="P64" s="3152">
        <f t="shared" ref="P64:Q67" si="149">K64/SUM(K$64:K$67)*(E$64/E$68-1)</f>
        <v>8.3756345177664976E-2</v>
      </c>
      <c r="Q64" s="3152">
        <f t="shared" si="149"/>
        <v>5.2148766661559584E-2</v>
      </c>
      <c r="R64" s="3092"/>
      <c r="S64" s="3102"/>
      <c r="T64" s="3103"/>
      <c r="U64" s="3103"/>
      <c r="V64" s="3103"/>
      <c r="X64" s="3153"/>
      <c r="Y64" s="3153"/>
      <c r="Z64" s="3153"/>
    </row>
    <row r="65" spans="1:26">
      <c r="A65" s="3088" t="s">
        <v>2612</v>
      </c>
      <c r="B65" s="3089">
        <f t="shared" ref="B65:C67" si="150">B66+(B$64-B$68)*I65/SUM(I$64:I$67)</f>
        <v>125.9720430107527</v>
      </c>
      <c r="C65" s="3089">
        <f t="shared" si="150"/>
        <v>125.1883408071749</v>
      </c>
      <c r="D65" s="3089">
        <f t="shared" si="121"/>
        <v>125.1883408071749</v>
      </c>
      <c r="E65" s="3089">
        <f t="shared" ref="E65:F67" si="151">E66+(E$64-E$68)*K65/SUM(K$64:K$67)</f>
        <v>144.61421319796952</v>
      </c>
      <c r="F65" s="3089">
        <f t="shared" si="151"/>
        <v>108.42008196721311</v>
      </c>
      <c r="G65" s="3513">
        <v>2005</v>
      </c>
      <c r="H65" s="3116">
        <v>3</v>
      </c>
      <c r="I65" s="3116">
        <v>0.46</v>
      </c>
      <c r="J65" s="3116">
        <v>0.32</v>
      </c>
      <c r="K65" s="3116">
        <v>0.42</v>
      </c>
      <c r="L65" s="3117">
        <v>0.64</v>
      </c>
      <c r="N65" s="3151">
        <f t="shared" si="148"/>
        <v>1.3898515951301874E-2</v>
      </c>
      <c r="O65" s="3152">
        <f t="shared" si="148"/>
        <v>1.0585900169080346E-2</v>
      </c>
      <c r="P65" s="3152">
        <f t="shared" si="149"/>
        <v>5.3299492385786795E-2</v>
      </c>
      <c r="Q65" s="3152">
        <f t="shared" si="149"/>
        <v>4.2898728359123568E-3</v>
      </c>
      <c r="R65" s="3092"/>
      <c r="S65" s="3091"/>
      <c r="T65" s="3077"/>
      <c r="U65" s="3077"/>
      <c r="V65" s="3077"/>
      <c r="X65" s="3153"/>
      <c r="Y65" s="3153"/>
      <c r="Z65" s="3153"/>
    </row>
    <row r="66" spans="1:26">
      <c r="A66" s="3088" t="s">
        <v>2613</v>
      </c>
      <c r="B66" s="3089">
        <f t="shared" si="150"/>
        <v>124.29032258064517</v>
      </c>
      <c r="C66" s="3089">
        <f t="shared" si="150"/>
        <v>123.8968609865471</v>
      </c>
      <c r="D66" s="3089">
        <f t="shared" si="121"/>
        <v>123.8968609865471</v>
      </c>
      <c r="E66" s="3089">
        <f t="shared" si="151"/>
        <v>138.00507614213197</v>
      </c>
      <c r="F66" s="3089">
        <f t="shared" si="151"/>
        <v>107.96106557377048</v>
      </c>
      <c r="G66" s="3513">
        <v>2005</v>
      </c>
      <c r="H66" s="3104">
        <v>2</v>
      </c>
      <c r="I66" s="3104">
        <v>0.47</v>
      </c>
      <c r="J66" s="3104">
        <v>0.1</v>
      </c>
      <c r="K66" s="3104">
        <v>0.52</v>
      </c>
      <c r="L66" s="3105">
        <v>0.79</v>
      </c>
      <c r="N66" s="3151">
        <f t="shared" si="148"/>
        <v>1.420065760241713E-2</v>
      </c>
      <c r="O66" s="3152">
        <f t="shared" si="148"/>
        <v>3.3080938028376083E-3</v>
      </c>
      <c r="P66" s="3152">
        <f t="shared" si="149"/>
        <v>6.598984771573603E-2</v>
      </c>
      <c r="Q66" s="3152">
        <f t="shared" si="149"/>
        <v>5.2953117818293153E-3</v>
      </c>
      <c r="R66" s="3092"/>
      <c r="S66" s="3091"/>
      <c r="T66" s="3077"/>
      <c r="U66" s="3077"/>
      <c r="V66" s="3077"/>
      <c r="X66" s="3153"/>
      <c r="Y66" s="3153"/>
      <c r="Z66" s="3153"/>
    </row>
    <row r="67" spans="1:26">
      <c r="A67" s="3088" t="s">
        <v>2614</v>
      </c>
      <c r="B67" s="3089">
        <f t="shared" si="150"/>
        <v>122.57204301075269</v>
      </c>
      <c r="C67" s="3089">
        <f t="shared" si="150"/>
        <v>123.4932735426009</v>
      </c>
      <c r="D67" s="3089">
        <f t="shared" si="121"/>
        <v>123.4932735426009</v>
      </c>
      <c r="E67" s="3089">
        <f t="shared" si="151"/>
        <v>129.82233502538071</v>
      </c>
      <c r="F67" s="3089">
        <f t="shared" si="151"/>
        <v>107.39446721311475</v>
      </c>
      <c r="G67" s="3516">
        <v>2005</v>
      </c>
      <c r="H67" s="3090">
        <v>1</v>
      </c>
      <c r="I67" s="3090">
        <v>0.43</v>
      </c>
      <c r="J67" s="3090">
        <v>0.37</v>
      </c>
      <c r="K67" s="3090">
        <v>0.37</v>
      </c>
      <c r="L67" s="3096">
        <v>0.55000000000000004</v>
      </c>
      <c r="N67" s="3154">
        <f t="shared" si="148"/>
        <v>1.2992090997956099E-2</v>
      </c>
      <c r="O67" s="3155">
        <f t="shared" si="148"/>
        <v>1.2239947070499151E-2</v>
      </c>
      <c r="P67" s="3155">
        <f t="shared" si="149"/>
        <v>4.6954314720812178E-2</v>
      </c>
      <c r="Q67" s="3155">
        <f t="shared" si="149"/>
        <v>3.6866094683621815E-3</v>
      </c>
      <c r="R67" s="3092"/>
      <c r="S67" s="3093">
        <f>B67/B68-1</f>
        <v>1.2992090997956174E-2</v>
      </c>
      <c r="T67" s="3094">
        <f>C67/C68-1</f>
        <v>1.2239947070499246E-2</v>
      </c>
      <c r="U67" s="3094">
        <f>E67/E68-1</f>
        <v>4.695431472081224E-2</v>
      </c>
      <c r="V67" s="3094">
        <f>F67/F68-1</f>
        <v>3.6866094683620787E-3</v>
      </c>
      <c r="X67" s="3153"/>
      <c r="Y67" s="3153"/>
      <c r="Z67" s="3153"/>
    </row>
    <row r="68" spans="1:26" ht="13.5" thickBot="1">
      <c r="A68" s="3088" t="s">
        <v>2615</v>
      </c>
      <c r="B68" s="3139">
        <v>121</v>
      </c>
      <c r="C68" s="3139">
        <v>122</v>
      </c>
      <c r="D68" s="3139">
        <f t="shared" si="121"/>
        <v>122</v>
      </c>
      <c r="E68" s="3139">
        <v>124</v>
      </c>
      <c r="F68" s="3140">
        <v>107</v>
      </c>
      <c r="G68" s="3515">
        <v>2004</v>
      </c>
      <c r="H68" s="3113">
        <v>4</v>
      </c>
      <c r="I68" s="3113">
        <v>0.33</v>
      </c>
      <c r="J68" s="3113">
        <v>0.5</v>
      </c>
      <c r="K68" s="3113">
        <v>0.5</v>
      </c>
      <c r="L68" s="3114">
        <v>0</v>
      </c>
      <c r="N68" s="3151">
        <f t="shared" ref="N68:O71" si="152">I68/SUM(I$68:I$71)*(B$68/B$72-1)</f>
        <v>1.3391770148526898E-2</v>
      </c>
      <c r="O68" s="3152">
        <f t="shared" si="152"/>
        <v>1.063264221158958E-2</v>
      </c>
      <c r="P68" s="3152">
        <f t="shared" ref="P68:Q71" si="153">K68/SUM(K$68:K$71)*(E$68/E$72-1)</f>
        <v>2.2244466688911134E-2</v>
      </c>
      <c r="Q68" s="3152">
        <f t="shared" si="153"/>
        <v>0</v>
      </c>
      <c r="R68" s="3092"/>
      <c r="S68" s="3102"/>
      <c r="T68" s="3103"/>
      <c r="U68" s="3103"/>
      <c r="V68" s="3103"/>
      <c r="X68" s="3153"/>
      <c r="Y68" s="3153"/>
      <c r="Z68" s="3153"/>
    </row>
    <row r="69" spans="1:26">
      <c r="A69" s="3088" t="s">
        <v>2616</v>
      </c>
      <c r="B69" s="3089">
        <f t="shared" ref="B69:C71" si="154">B70+(B$68-B$72)*I69/SUM(I$68:I$71)</f>
        <v>119.51351351351352</v>
      </c>
      <c r="C69" s="3089">
        <f t="shared" si="154"/>
        <v>120.7878787878788</v>
      </c>
      <c r="D69" s="3089">
        <f t="shared" si="121"/>
        <v>120.7878787878788</v>
      </c>
      <c r="E69" s="3089">
        <f t="shared" ref="E69:F71" si="155">E70+(E$68-E$72)*K69/SUM(K$68:K$71)</f>
        <v>121.5975975975976</v>
      </c>
      <c r="F69" s="3089">
        <f t="shared" si="155"/>
        <v>107</v>
      </c>
      <c r="G69" s="3513">
        <v>2004</v>
      </c>
      <c r="H69" s="3116">
        <v>3</v>
      </c>
      <c r="I69" s="3116">
        <v>0.56000000000000005</v>
      </c>
      <c r="J69" s="3116">
        <v>0.8</v>
      </c>
      <c r="K69" s="3116">
        <v>0.83</v>
      </c>
      <c r="L69" s="3117">
        <v>0.06</v>
      </c>
      <c r="N69" s="3151">
        <f t="shared" si="152"/>
        <v>2.2725428130833527E-2</v>
      </c>
      <c r="O69" s="3152">
        <f t="shared" si="152"/>
        <v>1.7012227538543329E-2</v>
      </c>
      <c r="P69" s="3152">
        <f t="shared" si="153"/>
        <v>3.6925814703592477E-2</v>
      </c>
      <c r="Q69" s="3152">
        <f t="shared" si="153"/>
        <v>2.8846153846153744E-2</v>
      </c>
      <c r="R69" s="3092"/>
      <c r="S69" s="3091"/>
      <c r="T69" s="3077"/>
      <c r="U69" s="3077"/>
      <c r="V69" s="3077"/>
      <c r="X69" s="3153"/>
      <c r="Y69" s="3153"/>
      <c r="Z69" s="3153"/>
    </row>
    <row r="70" spans="1:26">
      <c r="A70" s="3088" t="s">
        <v>2617</v>
      </c>
      <c r="B70" s="3089">
        <f t="shared" si="154"/>
        <v>116.99099099099099</v>
      </c>
      <c r="C70" s="3089">
        <f t="shared" si="154"/>
        <v>118.84848484848486</v>
      </c>
      <c r="D70" s="3089">
        <f t="shared" si="121"/>
        <v>118.84848484848486</v>
      </c>
      <c r="E70" s="3089">
        <f t="shared" si="155"/>
        <v>117.60960960960961</v>
      </c>
      <c r="F70" s="3089">
        <f t="shared" si="155"/>
        <v>104</v>
      </c>
      <c r="G70" s="3513">
        <v>2004</v>
      </c>
      <c r="H70" s="3104">
        <v>2</v>
      </c>
      <c r="I70" s="3104">
        <v>1</v>
      </c>
      <c r="J70" s="3104">
        <v>1.5</v>
      </c>
      <c r="K70" s="3104">
        <v>1.5</v>
      </c>
      <c r="L70" s="3105">
        <v>0</v>
      </c>
      <c r="N70" s="3151">
        <f t="shared" si="152"/>
        <v>4.0581121662202721E-2</v>
      </c>
      <c r="O70" s="3152">
        <f t="shared" si="152"/>
        <v>3.1897926634768738E-2</v>
      </c>
      <c r="P70" s="3152">
        <f t="shared" si="153"/>
        <v>6.6733400066733395E-2</v>
      </c>
      <c r="Q70" s="3152">
        <f t="shared" si="153"/>
        <v>0</v>
      </c>
      <c r="R70" s="3092"/>
      <c r="S70" s="3091"/>
      <c r="T70" s="3077"/>
      <c r="U70" s="3077"/>
      <c r="V70" s="3077"/>
      <c r="X70" s="3153"/>
      <c r="Y70" s="3153"/>
      <c r="Z70" s="3153"/>
    </row>
    <row r="71" spans="1:26" s="3145" customFormat="1" ht="13.5" thickBot="1">
      <c r="A71" s="3088" t="s">
        <v>2618</v>
      </c>
      <c r="B71" s="3142">
        <f t="shared" si="154"/>
        <v>112.48648648648648</v>
      </c>
      <c r="C71" s="3142">
        <f t="shared" si="154"/>
        <v>115.21212121212122</v>
      </c>
      <c r="D71" s="3142">
        <f t="shared" si="121"/>
        <v>115.21212121212122</v>
      </c>
      <c r="E71" s="3142">
        <f t="shared" si="155"/>
        <v>110.4024024024024</v>
      </c>
      <c r="F71" s="3142">
        <f t="shared" si="155"/>
        <v>104</v>
      </c>
      <c r="G71" s="3516">
        <v>2004</v>
      </c>
      <c r="H71" s="3143">
        <v>1</v>
      </c>
      <c r="I71" s="3143">
        <v>0.33</v>
      </c>
      <c r="J71" s="3143">
        <v>0.5</v>
      </c>
      <c r="K71" s="3143">
        <v>0.5</v>
      </c>
      <c r="L71" s="3144">
        <v>0</v>
      </c>
      <c r="N71" s="3156">
        <f t="shared" si="152"/>
        <v>1.3391770148526898E-2</v>
      </c>
      <c r="O71" s="3157">
        <f t="shared" si="152"/>
        <v>1.063264221158958E-2</v>
      </c>
      <c r="P71" s="3157">
        <f t="shared" si="153"/>
        <v>2.2244466688911134E-2</v>
      </c>
      <c r="Q71" s="3157">
        <f t="shared" si="153"/>
        <v>0</v>
      </c>
      <c r="R71" s="3148"/>
      <c r="S71" s="3146">
        <f>B71/B72-1</f>
        <v>1.3391770148526883E-2</v>
      </c>
      <c r="T71" s="3147">
        <f>C71/C72-1</f>
        <v>1.063264221158966E-2</v>
      </c>
      <c r="U71" s="3147">
        <f>E71/E72-1</f>
        <v>2.2244466688911224E-2</v>
      </c>
      <c r="V71" s="3147">
        <f>F71/F72-1</f>
        <v>0</v>
      </c>
      <c r="X71" s="3158"/>
      <c r="Y71" s="3158"/>
      <c r="Z71" s="3158"/>
    </row>
    <row r="72" spans="1:26" ht="13.5" thickBot="1">
      <c r="A72" s="3088" t="s">
        <v>2619</v>
      </c>
      <c r="B72" s="3159">
        <v>111</v>
      </c>
      <c r="C72" s="3159">
        <v>114</v>
      </c>
      <c r="D72" s="3159">
        <f t="shared" si="121"/>
        <v>114</v>
      </c>
      <c r="E72" s="3159">
        <v>108</v>
      </c>
      <c r="F72" s="3160">
        <v>104</v>
      </c>
      <c r="G72" s="3515">
        <v>2003</v>
      </c>
      <c r="H72" s="3149">
        <v>4</v>
      </c>
      <c r="I72" s="3161"/>
      <c r="J72" s="3161"/>
      <c r="K72" s="3161"/>
      <c r="L72" s="3161"/>
      <c r="N72" s="3162"/>
      <c r="O72" s="3161"/>
      <c r="P72" s="3161"/>
      <c r="Q72" s="3161"/>
      <c r="S72" s="3162"/>
      <c r="T72" s="3161"/>
      <c r="U72" s="3161"/>
      <c r="V72" s="3161"/>
      <c r="X72" s="3153"/>
      <c r="Y72" s="3153"/>
      <c r="Z72" s="3153"/>
    </row>
    <row r="73" spans="1:26">
      <c r="A73" s="3088" t="s">
        <v>2620</v>
      </c>
      <c r="B73" s="3163">
        <f t="shared" ref="B73:C75" si="156">B74+(B$72-B$76)/4</f>
        <v>109.75</v>
      </c>
      <c r="C73" s="3163">
        <f t="shared" si="156"/>
        <v>112.25</v>
      </c>
      <c r="D73" s="3163">
        <f t="shared" si="121"/>
        <v>112.25</v>
      </c>
      <c r="E73" s="3163">
        <f t="shared" ref="E73:F75" si="157">E74+(E$72-E$76)/4</f>
        <v>107.25</v>
      </c>
      <c r="F73" s="3163">
        <f t="shared" si="157"/>
        <v>103.5</v>
      </c>
      <c r="G73" s="3513">
        <v>2003</v>
      </c>
      <c r="H73" s="3116">
        <v>3</v>
      </c>
      <c r="I73" s="3161"/>
      <c r="J73" s="3161"/>
      <c r="K73" s="3161"/>
      <c r="L73" s="3161"/>
      <c r="X73" s="3153"/>
      <c r="Y73" s="3153"/>
      <c r="Z73" s="3153"/>
    </row>
    <row r="74" spans="1:26">
      <c r="A74" s="3088" t="s">
        <v>2621</v>
      </c>
      <c r="B74" s="3163">
        <f t="shared" si="156"/>
        <v>108.5</v>
      </c>
      <c r="C74" s="3163">
        <f t="shared" si="156"/>
        <v>110.5</v>
      </c>
      <c r="D74" s="3163">
        <f t="shared" si="121"/>
        <v>110.5</v>
      </c>
      <c r="E74" s="3163">
        <f t="shared" si="157"/>
        <v>106.5</v>
      </c>
      <c r="F74" s="3163">
        <f t="shared" si="157"/>
        <v>103</v>
      </c>
      <c r="G74" s="3513">
        <v>2003</v>
      </c>
      <c r="H74" s="3104">
        <v>2</v>
      </c>
      <c r="I74" s="3161"/>
      <c r="J74" s="3161"/>
      <c r="K74" s="3161"/>
      <c r="L74" s="3161"/>
      <c r="X74" s="3153"/>
      <c r="Y74" s="3153"/>
      <c r="Z74" s="3153"/>
    </row>
    <row r="75" spans="1:26" ht="13.5" thickBot="1">
      <c r="A75" s="3088" t="s">
        <v>2622</v>
      </c>
      <c r="B75" s="3163">
        <f t="shared" si="156"/>
        <v>107.25</v>
      </c>
      <c r="C75" s="3163">
        <f t="shared" si="156"/>
        <v>108.75</v>
      </c>
      <c r="D75" s="3163">
        <f t="shared" si="121"/>
        <v>108.75</v>
      </c>
      <c r="E75" s="3163">
        <f t="shared" si="157"/>
        <v>105.75</v>
      </c>
      <c r="F75" s="3163">
        <f t="shared" si="157"/>
        <v>102.5</v>
      </c>
      <c r="G75" s="3516">
        <v>2003</v>
      </c>
      <c r="H75" s="3164">
        <v>1</v>
      </c>
      <c r="I75" s="3161"/>
      <c r="J75" s="3161"/>
      <c r="K75" s="3161"/>
      <c r="L75" s="3161"/>
      <c r="S75" s="3091"/>
      <c r="T75" s="3077"/>
      <c r="U75" s="3077"/>
      <c r="X75" s="3153"/>
      <c r="Y75" s="3153"/>
      <c r="Z75" s="3153"/>
    </row>
    <row r="76" spans="1:26" ht="13.5" thickBot="1">
      <c r="A76" s="3088" t="s">
        <v>2623</v>
      </c>
      <c r="B76" s="3165">
        <v>106</v>
      </c>
      <c r="C76" s="3165">
        <v>107</v>
      </c>
      <c r="D76" s="3165">
        <f t="shared" si="121"/>
        <v>107</v>
      </c>
      <c r="E76" s="3165">
        <v>105</v>
      </c>
      <c r="F76" s="3166">
        <v>102</v>
      </c>
      <c r="G76" s="3515">
        <v>2002</v>
      </c>
      <c r="H76" s="3113">
        <v>4</v>
      </c>
      <c r="I76" s="3161"/>
      <c r="J76" s="3161"/>
      <c r="K76" s="3161"/>
      <c r="L76" s="3161"/>
      <c r="N76" s="3162"/>
      <c r="O76" s="3161"/>
      <c r="P76" s="3161"/>
      <c r="Q76" s="3161"/>
      <c r="S76" s="3162"/>
      <c r="T76" s="3161"/>
      <c r="U76" s="3161"/>
      <c r="V76" s="3161"/>
      <c r="X76" s="3153"/>
      <c r="Y76" s="3153"/>
      <c r="Z76" s="3153"/>
    </row>
    <row r="77" spans="1:26">
      <c r="A77" s="3088" t="s">
        <v>2624</v>
      </c>
      <c r="B77" s="3163">
        <f t="shared" ref="B77:C79" si="158">B78+(B$76-B$80)/4</f>
        <v>105</v>
      </c>
      <c r="C77" s="3163">
        <f t="shared" si="158"/>
        <v>106</v>
      </c>
      <c r="D77" s="3163">
        <f t="shared" si="121"/>
        <v>106</v>
      </c>
      <c r="E77" s="3163">
        <f t="shared" ref="E77:F79" si="159">E78+(E$76-E$80)/4</f>
        <v>104.5</v>
      </c>
      <c r="F77" s="3163">
        <f t="shared" si="159"/>
        <v>101.5</v>
      </c>
      <c r="G77" s="3513">
        <v>2002</v>
      </c>
      <c r="H77" s="3116">
        <v>3</v>
      </c>
      <c r="I77" s="3161"/>
      <c r="J77" s="3161"/>
      <c r="K77" s="3161"/>
      <c r="L77" s="3161"/>
      <c r="X77" s="3153"/>
      <c r="Y77" s="3153"/>
      <c r="Z77" s="3153"/>
    </row>
    <row r="78" spans="1:26">
      <c r="A78" s="3088" t="s">
        <v>2625</v>
      </c>
      <c r="B78" s="3163">
        <f t="shared" si="158"/>
        <v>104</v>
      </c>
      <c r="C78" s="3163">
        <f t="shared" si="158"/>
        <v>105</v>
      </c>
      <c r="D78" s="3163">
        <f t="shared" si="121"/>
        <v>105</v>
      </c>
      <c r="E78" s="3163">
        <f t="shared" si="159"/>
        <v>104</v>
      </c>
      <c r="F78" s="3163">
        <f t="shared" si="159"/>
        <v>101</v>
      </c>
      <c r="G78" s="3513">
        <v>2002</v>
      </c>
      <c r="H78" s="3104">
        <v>2</v>
      </c>
      <c r="I78" s="3161"/>
      <c r="J78" s="3161"/>
      <c r="K78" s="3161"/>
      <c r="L78" s="3161"/>
      <c r="X78" s="3153"/>
      <c r="Y78" s="3153"/>
      <c r="Z78" s="3153"/>
    </row>
    <row r="79" spans="1:26" s="3126" customFormat="1" ht="13.5" thickBot="1">
      <c r="A79" s="3122" t="s">
        <v>2626</v>
      </c>
      <c r="B79" s="3129">
        <f t="shared" si="158"/>
        <v>103</v>
      </c>
      <c r="C79" s="3129">
        <f t="shared" si="158"/>
        <v>104</v>
      </c>
      <c r="D79" s="3129">
        <f t="shared" si="121"/>
        <v>104</v>
      </c>
      <c r="E79" s="3129">
        <f t="shared" si="159"/>
        <v>103.5</v>
      </c>
      <c r="F79" s="3129">
        <f t="shared" si="159"/>
        <v>100.5</v>
      </c>
      <c r="G79" s="3516">
        <v>2002</v>
      </c>
      <c r="H79" s="3167">
        <v>1</v>
      </c>
      <c r="I79" s="3168"/>
      <c r="J79" s="3168"/>
      <c r="K79" s="3168"/>
      <c r="L79" s="3168"/>
      <c r="N79" s="3169"/>
      <c r="S79" s="3169"/>
      <c r="X79" s="3170"/>
      <c r="Y79" s="3170"/>
      <c r="Z79" s="3170"/>
    </row>
    <row r="80" spans="1:26" ht="13.5" thickBot="1">
      <c r="B80" s="3171">
        <v>102</v>
      </c>
      <c r="C80" s="3172">
        <v>103</v>
      </c>
      <c r="D80" s="3172">
        <f t="shared" si="121"/>
        <v>103</v>
      </c>
      <c r="E80" s="3172">
        <v>103</v>
      </c>
      <c r="F80" s="3173">
        <v>100</v>
      </c>
      <c r="I80" s="3161"/>
      <c r="J80" s="3161"/>
      <c r="K80" s="3161"/>
      <c r="L80" s="3161"/>
      <c r="N80" s="3162"/>
      <c r="O80" s="3161"/>
      <c r="P80" s="3161"/>
      <c r="Q80" s="3161"/>
      <c r="S80" s="3162"/>
      <c r="T80" s="3161"/>
      <c r="U80" s="3161"/>
      <c r="V80" s="3161"/>
      <c r="X80" s="3103"/>
      <c r="Y80" s="3103"/>
      <c r="Z80" s="3103"/>
    </row>
    <row r="82" spans="1:22" s="3175" customFormat="1">
      <c r="A82" s="3174" t="s">
        <v>2627</v>
      </c>
      <c r="G82" s="3176"/>
      <c r="N82" s="3176"/>
      <c r="S82" s="3176"/>
    </row>
    <row r="83" spans="1:22" s="3175" customFormat="1">
      <c r="A83" s="3175" t="s">
        <v>2628</v>
      </c>
      <c r="G83" s="3176"/>
      <c r="N83" s="3176"/>
      <c r="S83" s="3176"/>
    </row>
    <row r="84" spans="1:22" s="3175" customFormat="1">
      <c r="A84" s="3175" t="s">
        <v>2629</v>
      </c>
      <c r="G84" s="3176"/>
      <c r="I84" s="3177"/>
      <c r="J84" s="3177"/>
      <c r="K84" s="3177"/>
      <c r="L84" s="3177"/>
      <c r="N84" s="3178"/>
      <c r="O84" s="3177"/>
      <c r="P84" s="3177"/>
      <c r="Q84" s="3177"/>
      <c r="S84" s="3178"/>
      <c r="T84" s="3177"/>
      <c r="U84" s="3177"/>
      <c r="V84" s="3177"/>
    </row>
    <row r="85" spans="1:22" s="3175" customFormat="1">
      <c r="A85" s="3175" t="s">
        <v>2630</v>
      </c>
      <c r="G85" s="3176"/>
      <c r="N85" s="3176"/>
      <c r="S85" s="3176"/>
    </row>
    <row r="92" spans="1:22" ht="13.5" thickBot="1"/>
    <row r="93" spans="1:22">
      <c r="G93" s="3076"/>
      <c r="S93" s="3179" t="s">
        <v>2631</v>
      </c>
      <c r="T93" s="3180" t="s">
        <v>2632</v>
      </c>
      <c r="U93" s="3180" t="s">
        <v>2633</v>
      </c>
      <c r="V93" s="3180" t="s">
        <v>2634</v>
      </c>
    </row>
    <row r="94" spans="1:22">
      <c r="G94" s="3076"/>
      <c r="N94" s="3102"/>
      <c r="O94" s="3103"/>
      <c r="P94" s="3103"/>
      <c r="Q94" s="3103"/>
      <c r="S94" s="3181">
        <v>2006</v>
      </c>
      <c r="T94" s="3182">
        <v>15.1</v>
      </c>
      <c r="U94" s="3182">
        <v>7.43</v>
      </c>
      <c r="V94" s="3182">
        <v>26.26</v>
      </c>
    </row>
    <row r="95" spans="1:22">
      <c r="G95" s="3076"/>
      <c r="N95" s="3102"/>
      <c r="O95" s="3103"/>
      <c r="P95" s="3103"/>
      <c r="Q95" s="3103"/>
      <c r="S95" s="3183">
        <v>2005</v>
      </c>
      <c r="T95" s="3184">
        <v>13.9</v>
      </c>
      <c r="U95" s="3184">
        <v>7.49</v>
      </c>
      <c r="V95" s="3184">
        <v>24.92</v>
      </c>
    </row>
    <row r="96" spans="1:22">
      <c r="G96" s="3076"/>
      <c r="N96" s="3102"/>
      <c r="O96" s="3103"/>
      <c r="P96" s="3103"/>
      <c r="Q96" s="3103"/>
      <c r="S96" s="3181">
        <v>2004</v>
      </c>
      <c r="T96" s="3182">
        <v>9.48</v>
      </c>
      <c r="U96" s="3182">
        <v>7.2</v>
      </c>
      <c r="V96" s="3182">
        <v>14.68</v>
      </c>
    </row>
    <row r="97" spans="7:22">
      <c r="G97" s="3076"/>
      <c r="N97" s="3102"/>
      <c r="O97" s="3103"/>
      <c r="P97" s="3103"/>
      <c r="Q97" s="3103"/>
      <c r="S97" s="3183">
        <v>2003</v>
      </c>
      <c r="T97" s="3184">
        <v>4.5</v>
      </c>
      <c r="U97" s="3184">
        <v>6.12</v>
      </c>
      <c r="V97" s="3184">
        <v>2.34</v>
      </c>
    </row>
    <row r="98" spans="7:22" ht="13.5" thickBot="1">
      <c r="G98" s="3076"/>
      <c r="N98" s="3102"/>
      <c r="O98" s="3103"/>
      <c r="P98" s="3103"/>
      <c r="Q98" s="3103"/>
      <c r="S98" s="3185">
        <v>2002</v>
      </c>
      <c r="T98" s="3186">
        <v>3.59</v>
      </c>
      <c r="U98" s="3186">
        <v>4.54</v>
      </c>
      <c r="V98" s="3186">
        <v>2.5499999999999998</v>
      </c>
    </row>
    <row r="99" spans="7:22">
      <c r="G99" s="3076"/>
      <c r="N99" s="3102"/>
      <c r="O99" s="3103"/>
      <c r="P99" s="3103"/>
      <c r="Q99" s="3103"/>
    </row>
    <row r="100" spans="7:22">
      <c r="G100" s="3076"/>
      <c r="N100" s="3102"/>
      <c r="O100" s="3103"/>
      <c r="P100" s="3103"/>
      <c r="Q100" s="3103"/>
    </row>
    <row r="101" spans="7:22">
      <c r="G101" s="3076"/>
      <c r="N101" s="3102"/>
      <c r="O101" s="3103"/>
      <c r="P101" s="3103"/>
      <c r="Q101" s="3103"/>
    </row>
    <row r="102" spans="7:22">
      <c r="G102" s="3076"/>
      <c r="N102" s="3102"/>
      <c r="O102" s="3103"/>
      <c r="P102" s="3103"/>
      <c r="Q102" s="3103"/>
    </row>
    <row r="103" spans="7:22">
      <c r="G103" s="3076"/>
      <c r="N103" s="3102"/>
      <c r="O103" s="3103"/>
      <c r="P103" s="3103"/>
      <c r="Q103" s="3103"/>
    </row>
    <row r="104" spans="7:22">
      <c r="G104" s="3076"/>
      <c r="N104" s="3102"/>
      <c r="O104" s="3103"/>
      <c r="P104" s="3103"/>
      <c r="Q104" s="3103"/>
    </row>
    <row r="105" spans="7:22">
      <c r="G105" s="3076"/>
      <c r="N105" s="3102"/>
      <c r="O105" s="3103"/>
      <c r="P105" s="3103"/>
      <c r="Q105" s="3103"/>
    </row>
    <row r="106" spans="7:22">
      <c r="G106" s="3076"/>
      <c r="N106" s="3102"/>
      <c r="O106" s="3103"/>
      <c r="P106" s="3103"/>
      <c r="Q106" s="3103"/>
    </row>
    <row r="107" spans="7:22">
      <c r="G107" s="3076"/>
      <c r="N107" s="3102"/>
      <c r="O107" s="3103"/>
      <c r="P107" s="3103"/>
      <c r="Q107" s="3103"/>
    </row>
    <row r="108" spans="7:22">
      <c r="G108" s="3076"/>
      <c r="N108" s="3102"/>
      <c r="O108" s="3103"/>
      <c r="P108" s="3103"/>
      <c r="Q108" s="3103"/>
    </row>
    <row r="109" spans="7:22">
      <c r="G109" s="3076"/>
      <c r="N109" s="3102"/>
      <c r="O109" s="3103"/>
      <c r="P109" s="3103"/>
      <c r="Q109" s="3103"/>
      <c r="S109" s="3076"/>
    </row>
    <row r="110" spans="7:22">
      <c r="G110" s="3076"/>
      <c r="N110" s="3102"/>
      <c r="O110" s="3103"/>
      <c r="P110" s="3103"/>
      <c r="Q110" s="3103"/>
      <c r="S110" s="3076"/>
    </row>
    <row r="111" spans="7:22">
      <c r="G111" s="3076"/>
      <c r="N111" s="3102"/>
      <c r="O111" s="3103"/>
      <c r="P111" s="3103"/>
      <c r="Q111" s="3103"/>
      <c r="S111" s="3076"/>
    </row>
    <row r="112" spans="7:22">
      <c r="G112" s="3076"/>
      <c r="N112" s="3102"/>
      <c r="O112" s="3103"/>
      <c r="P112" s="3103"/>
      <c r="Q112" s="3103"/>
      <c r="S112" s="3076"/>
    </row>
    <row r="113" spans="7:19">
      <c r="G113" s="3076"/>
      <c r="N113" s="3102"/>
      <c r="O113" s="3103"/>
      <c r="P113" s="3103"/>
      <c r="Q113" s="3103"/>
      <c r="S113" s="3076"/>
    </row>
    <row r="114" spans="7:19">
      <c r="G114" s="3076"/>
      <c r="N114" s="3102"/>
      <c r="O114" s="3103"/>
      <c r="P114" s="3103"/>
      <c r="Q114" s="3103"/>
      <c r="S114" s="3076"/>
    </row>
  </sheetData>
  <sheetProtection formatCells="0" formatColumns="0" formatRows="0"/>
  <mergeCells count="23">
    <mergeCell ref="X1:AB1"/>
    <mergeCell ref="B1:F1"/>
    <mergeCell ref="AD1:AH1"/>
    <mergeCell ref="G76:G79"/>
    <mergeCell ref="G1:L1"/>
    <mergeCell ref="N1:Q1"/>
    <mergeCell ref="S1:V1"/>
    <mergeCell ref="G52:G55"/>
    <mergeCell ref="G56:G59"/>
    <mergeCell ref="G60:G63"/>
    <mergeCell ref="G64:G67"/>
    <mergeCell ref="G68:G71"/>
    <mergeCell ref="G72:G75"/>
    <mergeCell ref="G28:G31"/>
    <mergeCell ref="G32:G35"/>
    <mergeCell ref="G36:G39"/>
    <mergeCell ref="G16:G19"/>
    <mergeCell ref="G12:G15"/>
    <mergeCell ref="G40:G43"/>
    <mergeCell ref="G44:G47"/>
    <mergeCell ref="G48:G51"/>
    <mergeCell ref="G20:G23"/>
    <mergeCell ref="G24:G27"/>
  </mergeCells>
  <phoneticPr fontId="228" type="noConversion"/>
  <pageMargins left="0.7" right="0.7" top="0.75" bottom="0.75" header="0.3" footer="0.3"/>
  <pageSetup paperSize="9" scale="75" orientation="landscape" r:id="rId1"/>
  <rowBreaks count="1" manualBreakCount="1">
    <brk id="55" max="21" man="1"/>
  </rowBreaks>
  <colBreaks count="1" manualBreakCount="1">
    <brk id="22" max="70" man="1"/>
  </colBreak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647"/>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422" t="s">
        <v>522</v>
      </c>
      <c r="D4" s="3423"/>
      <c r="E4" s="3456" t="s">
        <v>523</v>
      </c>
      <c r="F4" s="3457"/>
      <c r="G4" s="3422" t="s">
        <v>524</v>
      </c>
      <c r="H4" s="3423"/>
      <c r="I4" s="3422" t="s">
        <v>525</v>
      </c>
      <c r="J4" s="3423"/>
      <c r="K4" s="514" t="s">
        <v>526</v>
      </c>
      <c r="L4" s="2119"/>
      <c r="M4" s="2120"/>
      <c r="N4" s="2120"/>
      <c r="O4" s="2120"/>
      <c r="P4" s="3424" t="s">
        <v>527</v>
      </c>
      <c r="Q4" s="3425"/>
      <c r="R4" s="3430" t="s">
        <v>523</v>
      </c>
      <c r="S4" s="3431"/>
      <c r="T4" s="3430" t="s">
        <v>524</v>
      </c>
      <c r="U4" s="3431"/>
      <c r="V4" s="3417" t="s">
        <v>525</v>
      </c>
      <c r="W4" s="3417"/>
      <c r="X4" s="1554"/>
      <c r="Y4" s="3430" t="s">
        <v>527</v>
      </c>
      <c r="Z4" s="3431"/>
      <c r="AA4" s="3419" t="s">
        <v>523</v>
      </c>
      <c r="AB4" s="3420" t="s">
        <v>524</v>
      </c>
      <c r="AC4" s="3419" t="s">
        <v>525</v>
      </c>
    </row>
    <row r="5" spans="1:29" ht="15">
      <c r="A5" s="515"/>
      <c r="B5" s="516"/>
      <c r="C5" s="3438" t="s">
        <v>2926</v>
      </c>
      <c r="D5" s="3439"/>
      <c r="E5" s="3458" t="s">
        <v>2927</v>
      </c>
      <c r="F5" s="3459"/>
      <c r="G5" s="3438" t="s">
        <v>2928</v>
      </c>
      <c r="H5" s="3439"/>
      <c r="I5" s="3438" t="s">
        <v>2929</v>
      </c>
      <c r="J5" s="3439"/>
      <c r="K5" s="514"/>
      <c r="L5" s="2119"/>
      <c r="M5" s="2120"/>
      <c r="N5" s="2120"/>
      <c r="O5" s="2120"/>
      <c r="P5" s="3426"/>
      <c r="Q5" s="3427"/>
      <c r="R5" s="3432"/>
      <c r="S5" s="3433"/>
      <c r="T5" s="3432"/>
      <c r="U5" s="3433"/>
      <c r="V5" s="3417"/>
      <c r="W5" s="3417"/>
      <c r="X5" s="1554"/>
      <c r="Y5" s="3432"/>
      <c r="Z5" s="3433"/>
      <c r="AA5" s="3420"/>
      <c r="AB5" s="3420"/>
      <c r="AC5" s="3420"/>
    </row>
    <row r="6" spans="1:29" ht="15.75" thickBot="1">
      <c r="A6" s="517"/>
      <c r="B6" s="518"/>
      <c r="C6" s="3436" t="s">
        <v>2930</v>
      </c>
      <c r="D6" s="3437"/>
      <c r="E6" s="3454" t="s">
        <v>2930</v>
      </c>
      <c r="F6" s="3455"/>
      <c r="G6" s="3436" t="s">
        <v>2930</v>
      </c>
      <c r="H6" s="3437"/>
      <c r="I6" s="3436" t="s">
        <v>2930</v>
      </c>
      <c r="J6" s="3437"/>
      <c r="K6" s="514" t="s">
        <v>528</v>
      </c>
      <c r="L6" s="2119"/>
      <c r="M6" s="2120"/>
      <c r="N6" s="2120"/>
      <c r="O6" s="2120"/>
      <c r="P6" s="3428"/>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c r="F7" s="522">
        <f>SUMIF(52:52,YEAR(E7)&amp;"-"&amp;MONTH(E7),53:53)</f>
        <v>0</v>
      </c>
      <c r="G7" s="521"/>
      <c r="H7" s="520">
        <f>SUMIF(52:52,YEAR(G7)&amp;"-"&amp;MONTH(G7),53:53)</f>
        <v>0</v>
      </c>
      <c r="I7" s="521"/>
      <c r="J7" s="520">
        <f>SUMIF(52:52,YEAR(I7)&amp;"-"&amp;MONTH(I7),53:53)</f>
        <v>0</v>
      </c>
      <c r="K7" s="524"/>
      <c r="L7" s="2121"/>
      <c r="M7" s="2122"/>
      <c r="N7" s="2122"/>
      <c r="O7" s="2122"/>
      <c r="P7" s="3447" t="s">
        <v>530</v>
      </c>
      <c r="Q7" s="3449"/>
      <c r="R7" s="1555" t="s">
        <v>8</v>
      </c>
      <c r="S7" s="1556">
        <f t="shared" ref="S7:S15" si="0">F7</f>
        <v>0</v>
      </c>
      <c r="T7" s="1555" t="s">
        <v>8</v>
      </c>
      <c r="U7" s="1556">
        <f t="shared" ref="U7:U15" si="1">H7</f>
        <v>0</v>
      </c>
      <c r="V7" s="1555" t="s">
        <v>8</v>
      </c>
      <c r="W7" s="1556">
        <f t="shared" ref="W7:W15"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447" t="s">
        <v>533</v>
      </c>
      <c r="Q8" s="3448"/>
      <c r="R8" s="1555" t="s">
        <v>8</v>
      </c>
      <c r="S8" s="1556">
        <f t="shared" si="0"/>
        <v>0</v>
      </c>
      <c r="T8" s="1555" t="s">
        <v>8</v>
      </c>
      <c r="U8" s="1556">
        <f t="shared" si="1"/>
        <v>0</v>
      </c>
      <c r="V8" s="1555" t="s">
        <v>8</v>
      </c>
      <c r="W8" s="1556">
        <f t="shared" si="2"/>
        <v>0</v>
      </c>
      <c r="X8" s="1557"/>
      <c r="Y8" s="3447" t="s">
        <v>533</v>
      </c>
      <c r="Z8" s="3448"/>
      <c r="AA8" s="1558" t="e">
        <f t="shared" ref="AA8:AA40" si="3">D8/F8</f>
        <v>#DIV/0!</v>
      </c>
      <c r="AB8" s="1558" t="e">
        <f t="shared" ref="AB8:AB40" si="4">D8/H8</f>
        <v>#DIV/0!</v>
      </c>
      <c r="AC8" s="1558" t="e">
        <f t="shared" ref="AC8:AC40" si="5">D8/J8</f>
        <v>#DIV/0!</v>
      </c>
    </row>
    <row r="9" spans="1:29" s="1216" customFormat="1" ht="15">
      <c r="A9" s="2754"/>
      <c r="B9" s="2761" t="s">
        <v>2752</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416" t="s">
        <v>535</v>
      </c>
      <c r="Q9" s="1147" t="str">
        <f t="shared" ref="Q9:Q15" si="6">B9</f>
        <v>用途</v>
      </c>
      <c r="R9" s="1555" t="s">
        <v>8</v>
      </c>
      <c r="S9" s="1556">
        <f t="shared" si="0"/>
        <v>100</v>
      </c>
      <c r="T9" s="1555" t="s">
        <v>8</v>
      </c>
      <c r="U9" s="1556">
        <f t="shared" si="1"/>
        <v>100</v>
      </c>
      <c r="V9" s="1555" t="s">
        <v>8</v>
      </c>
      <c r="W9" s="1556">
        <f t="shared" si="2"/>
        <v>100</v>
      </c>
      <c r="X9" s="1557"/>
      <c r="Y9" s="3341" t="s">
        <v>536</v>
      </c>
      <c r="Z9" s="1146" t="str">
        <f t="shared" ref="Z9:Z15" si="7">Q9</f>
        <v>用途</v>
      </c>
      <c r="AA9" s="1558">
        <f t="shared" si="3"/>
        <v>1</v>
      </c>
      <c r="AB9" s="1558">
        <f t="shared" si="4"/>
        <v>1</v>
      </c>
      <c r="AC9" s="1558">
        <f t="shared" si="5"/>
        <v>1</v>
      </c>
    </row>
    <row r="10" spans="1:29" s="1334" customFormat="1" ht="27">
      <c r="A10" s="2755"/>
      <c r="B10" s="2760" t="s">
        <v>2753</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6"/>
      <c r="B11" s="2760" t="s">
        <v>2754</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416"/>
      <c r="Q11" s="1147" t="str">
        <f t="shared" si="6"/>
        <v>容积率</v>
      </c>
      <c r="R11" s="1555" t="s">
        <v>8</v>
      </c>
      <c r="S11" s="1556" t="e">
        <f t="shared" si="0"/>
        <v>#N/A</v>
      </c>
      <c r="T11" s="1555" t="s">
        <v>8</v>
      </c>
      <c r="U11" s="1556" t="e">
        <f t="shared" si="1"/>
        <v>#N/A</v>
      </c>
      <c r="V11" s="1555" t="s">
        <v>8</v>
      </c>
      <c r="W11" s="1556" t="e">
        <f t="shared" si="2"/>
        <v>#N/A</v>
      </c>
      <c r="X11" s="1557"/>
      <c r="Y11" s="3341"/>
      <c r="Z11" s="1146" t="str">
        <f t="shared" si="7"/>
        <v>容积率</v>
      </c>
      <c r="AA11" s="1558" t="e">
        <f t="shared" si="3"/>
        <v>#N/A</v>
      </c>
      <c r="AB11" s="1558" t="e">
        <f t="shared" si="4"/>
        <v>#N/A</v>
      </c>
      <c r="AC11" s="1558" t="e">
        <f t="shared" si="5"/>
        <v>#N/A</v>
      </c>
    </row>
    <row r="12" spans="1:29" s="1216" customFormat="1" ht="15">
      <c r="A12" s="2757"/>
      <c r="B12" s="2763">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
      <c r="A13" s="2757"/>
      <c r="B13" s="2763">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15.75" thickBot="1">
      <c r="A14" s="2758"/>
      <c r="B14" s="2764">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416"/>
      <c r="Q14" s="1147">
        <f t="shared" si="6"/>
        <v>111</v>
      </c>
      <c r="R14" s="1555" t="s">
        <v>8</v>
      </c>
      <c r="S14" s="1556">
        <f t="shared" si="0"/>
        <v>100</v>
      </c>
      <c r="T14" s="1555" t="s">
        <v>8</v>
      </c>
      <c r="U14" s="1556">
        <f t="shared" si="1"/>
        <v>100</v>
      </c>
      <c r="V14" s="1555" t="s">
        <v>8</v>
      </c>
      <c r="W14" s="1556">
        <f t="shared" si="2"/>
        <v>100</v>
      </c>
      <c r="X14" s="1557"/>
      <c r="Y14" s="3341"/>
      <c r="Z14" s="1146">
        <f t="shared" si="7"/>
        <v>111</v>
      </c>
      <c r="AA14" s="1558">
        <f t="shared" si="3"/>
        <v>1</v>
      </c>
      <c r="AB14" s="1558">
        <f t="shared" si="4"/>
        <v>1</v>
      </c>
      <c r="AC14" s="1558">
        <f t="shared" si="5"/>
        <v>1</v>
      </c>
    </row>
    <row r="15" spans="1:29" ht="57">
      <c r="A15" s="2750" t="s">
        <v>2750</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450" t="s">
        <v>540</v>
      </c>
      <c r="Q15" s="1559" t="str">
        <f t="shared" si="6"/>
        <v>产业集聚程度</v>
      </c>
      <c r="R15" s="1560" t="s">
        <v>8</v>
      </c>
      <c r="S15" s="1561">
        <f t="shared" si="0"/>
        <v>100</v>
      </c>
      <c r="T15" s="1560" t="s">
        <v>8</v>
      </c>
      <c r="U15" s="1561">
        <f t="shared" si="1"/>
        <v>100</v>
      </c>
      <c r="V15" s="1560" t="s">
        <v>8</v>
      </c>
      <c r="W15" s="1561">
        <f t="shared" si="2"/>
        <v>100</v>
      </c>
      <c r="X15" s="1554"/>
      <c r="Y15" s="3450"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51"/>
      <c r="Q16" s="1559"/>
      <c r="R16" s="1560"/>
      <c r="S16" s="1561"/>
      <c r="T16" s="1560"/>
      <c r="U16" s="1561"/>
      <c r="V16" s="1560"/>
      <c r="W16" s="1561"/>
      <c r="X16" s="1554"/>
      <c r="Y16" s="3451"/>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451"/>
      <c r="Q17" s="1559" t="str">
        <f>B17</f>
        <v>交通便捷度</v>
      </c>
      <c r="R17" s="1560" t="s">
        <v>8</v>
      </c>
      <c r="S17" s="1561">
        <f>F17</f>
        <v>100</v>
      </c>
      <c r="T17" s="1560" t="s">
        <v>8</v>
      </c>
      <c r="U17" s="1561">
        <f>H17</f>
        <v>100</v>
      </c>
      <c r="V17" s="1560" t="s">
        <v>8</v>
      </c>
      <c r="W17" s="1561">
        <f>J17</f>
        <v>100</v>
      </c>
      <c r="X17" s="1554"/>
      <c r="Y17" s="3451"/>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51"/>
      <c r="Q18" s="1559"/>
      <c r="R18" s="1560"/>
      <c r="S18" s="1561"/>
      <c r="T18" s="1560"/>
      <c r="U18" s="1561"/>
      <c r="V18" s="1560"/>
      <c r="W18" s="1561"/>
      <c r="X18" s="1554"/>
      <c r="Y18" s="3451"/>
      <c r="Z18" s="1562"/>
      <c r="AA18" s="1563">
        <v>1</v>
      </c>
      <c r="AB18" s="1563">
        <v>1</v>
      </c>
      <c r="AC18" s="1563">
        <v>1</v>
      </c>
    </row>
    <row r="19" spans="1:29" ht="42.75">
      <c r="A19" s="532"/>
      <c r="B19" s="2568" t="s">
        <v>2543</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451"/>
      <c r="Q19" s="1559" t="str">
        <f>B19</f>
        <v>公共配套设施</v>
      </c>
      <c r="R19" s="1560" t="s">
        <v>8</v>
      </c>
      <c r="S19" s="1561">
        <f>F19</f>
        <v>100</v>
      </c>
      <c r="T19" s="1560" t="s">
        <v>8</v>
      </c>
      <c r="U19" s="1561">
        <f>H19</f>
        <v>100</v>
      </c>
      <c r="V19" s="1560" t="s">
        <v>8</v>
      </c>
      <c r="W19" s="1561">
        <f>J19</f>
        <v>100</v>
      </c>
      <c r="X19" s="1554"/>
      <c r="Y19" s="3451"/>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451"/>
      <c r="Q20" s="1559"/>
      <c r="R20" s="1560"/>
      <c r="S20" s="1561"/>
      <c r="T20" s="1560"/>
      <c r="U20" s="1561"/>
      <c r="V20" s="1560"/>
      <c r="W20" s="1561"/>
      <c r="X20" s="1554"/>
      <c r="Y20" s="3451"/>
      <c r="Z20" s="1562"/>
      <c r="AA20" s="1563">
        <v>1</v>
      </c>
      <c r="AB20" s="1563">
        <v>1</v>
      </c>
      <c r="AC20" s="1563">
        <v>1</v>
      </c>
    </row>
    <row r="21" spans="1:29" ht="28.5">
      <c r="A21" s="532"/>
      <c r="B21" s="2556" t="s">
        <v>2555</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451"/>
      <c r="Q21" s="2544" t="str">
        <f>B21</f>
        <v>基础设施水平</v>
      </c>
      <c r="R21" s="1560" t="s">
        <v>8</v>
      </c>
      <c r="S21" s="1561">
        <f>F21</f>
        <v>100</v>
      </c>
      <c r="T21" s="1560" t="s">
        <v>8</v>
      </c>
      <c r="U21" s="1561">
        <f>H21</f>
        <v>100</v>
      </c>
      <c r="V21" s="1560" t="s">
        <v>8</v>
      </c>
      <c r="W21" s="1561">
        <f>J21</f>
        <v>100</v>
      </c>
      <c r="X21" s="2546"/>
      <c r="Y21" s="3451"/>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451"/>
      <c r="Q22" s="2544"/>
      <c r="R22" s="1560"/>
      <c r="S22" s="1561"/>
      <c r="T22" s="1560"/>
      <c r="U22" s="1561"/>
      <c r="V22" s="1560"/>
      <c r="W22" s="1561"/>
      <c r="X22" s="2546"/>
      <c r="Y22" s="3451"/>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451"/>
      <c r="Q23" s="1559" t="str">
        <f>B23</f>
        <v>环境质量</v>
      </c>
      <c r="R23" s="1560" t="s">
        <v>8</v>
      </c>
      <c r="S23" s="1561">
        <f>F23</f>
        <v>100</v>
      </c>
      <c r="T23" s="1560" t="s">
        <v>8</v>
      </c>
      <c r="U23" s="1561">
        <f>H23</f>
        <v>100</v>
      </c>
      <c r="V23" s="1560" t="s">
        <v>8</v>
      </c>
      <c r="W23" s="1561">
        <f>J23</f>
        <v>100</v>
      </c>
      <c r="X23" s="1554"/>
      <c r="Y23" s="3451"/>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451"/>
      <c r="Q24" s="1559"/>
      <c r="R24" s="1560"/>
      <c r="S24" s="1561"/>
      <c r="T24" s="1560"/>
      <c r="U24" s="1561"/>
      <c r="V24" s="1560"/>
      <c r="W24" s="1561"/>
      <c r="X24" s="1554"/>
      <c r="Y24" s="3451"/>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451"/>
      <c r="Q25" s="1559">
        <f>B25</f>
        <v>111</v>
      </c>
      <c r="R25" s="1560" t="s">
        <v>8</v>
      </c>
      <c r="S25" s="1561">
        <f>F25</f>
        <v>100</v>
      </c>
      <c r="T25" s="1560" t="s">
        <v>8</v>
      </c>
      <c r="U25" s="1561">
        <f>H25</f>
        <v>100</v>
      </c>
      <c r="V25" s="1560" t="s">
        <v>8</v>
      </c>
      <c r="W25" s="1561">
        <f>J25</f>
        <v>100</v>
      </c>
      <c r="X25" s="1554"/>
      <c r="Y25" s="3451"/>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451"/>
      <c r="Q26" s="1559">
        <f t="shared" ref="Q26:Q40" si="11">B26</f>
        <v>111</v>
      </c>
      <c r="R26" s="1560" t="s">
        <v>8</v>
      </c>
      <c r="S26" s="1561">
        <f>F26</f>
        <v>100</v>
      </c>
      <c r="T26" s="1560" t="s">
        <v>8</v>
      </c>
      <c r="U26" s="1561">
        <f>H26</f>
        <v>100</v>
      </c>
      <c r="V26" s="1560" t="s">
        <v>8</v>
      </c>
      <c r="W26" s="1561">
        <f>J26</f>
        <v>100</v>
      </c>
      <c r="X26" s="1554"/>
      <c r="Y26" s="3451"/>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451"/>
      <c r="Q27" s="1147">
        <f t="shared" si="11"/>
        <v>111</v>
      </c>
      <c r="R27" s="1555" t="s">
        <v>8</v>
      </c>
      <c r="S27" s="1556">
        <f>F27</f>
        <v>100</v>
      </c>
      <c r="T27" s="1555" t="s">
        <v>8</v>
      </c>
      <c r="U27" s="1556">
        <f>H27</f>
        <v>100</v>
      </c>
      <c r="V27" s="1555" t="s">
        <v>8</v>
      </c>
      <c r="W27" s="1556">
        <f>J27</f>
        <v>100</v>
      </c>
      <c r="X27" s="1557"/>
      <c r="Y27" s="3451"/>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451"/>
      <c r="Q28" s="1559">
        <f t="shared" si="11"/>
        <v>111</v>
      </c>
      <c r="R28" s="1560" t="s">
        <v>8</v>
      </c>
      <c r="S28" s="1561">
        <f t="shared" ref="S28:S40" si="12">F28</f>
        <v>100</v>
      </c>
      <c r="T28" s="1560" t="s">
        <v>8</v>
      </c>
      <c r="U28" s="1561">
        <f t="shared" ref="U28:U40" si="13">H28</f>
        <v>100</v>
      </c>
      <c r="V28" s="1560" t="s">
        <v>8</v>
      </c>
      <c r="W28" s="1561">
        <f t="shared" ref="W28:W40" si="14">J28</f>
        <v>100</v>
      </c>
      <c r="X28" s="1554"/>
      <c r="Y28" s="3451"/>
      <c r="Z28" s="1562">
        <f t="shared" ref="Z28:Z40" si="15">Q28</f>
        <v>111</v>
      </c>
      <c r="AA28" s="1563">
        <f t="shared" si="3"/>
        <v>1</v>
      </c>
      <c r="AB28" s="1563">
        <f t="shared" si="4"/>
        <v>1</v>
      </c>
      <c r="AC28" s="1563">
        <f t="shared" si="5"/>
        <v>1</v>
      </c>
    </row>
    <row r="29" spans="1:29" ht="15">
      <c r="A29" s="2747" t="s">
        <v>2751</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452" t="s">
        <v>550</v>
      </c>
      <c r="Q29" s="1559" t="str">
        <f t="shared" si="11"/>
        <v>建筑类型</v>
      </c>
      <c r="R29" s="1560" t="s">
        <v>8</v>
      </c>
      <c r="S29" s="1561">
        <f t="shared" si="12"/>
        <v>100</v>
      </c>
      <c r="T29" s="1560" t="s">
        <v>8</v>
      </c>
      <c r="U29" s="1561">
        <f t="shared" si="13"/>
        <v>100</v>
      </c>
      <c r="V29" s="1560" t="s">
        <v>8</v>
      </c>
      <c r="W29" s="1561">
        <f t="shared" si="14"/>
        <v>100</v>
      </c>
      <c r="X29" s="1554"/>
      <c r="Y29" s="3453"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453"/>
      <c r="Q30" s="1591" t="str">
        <f t="shared" si="11"/>
        <v>项目建筑规模</v>
      </c>
      <c r="R30" s="1564" t="s">
        <v>8</v>
      </c>
      <c r="S30" s="1565" t="e">
        <f t="shared" si="12"/>
        <v>#N/A</v>
      </c>
      <c r="T30" s="1564" t="s">
        <v>8</v>
      </c>
      <c r="U30" s="1565" t="e">
        <f t="shared" si="13"/>
        <v>#N/A</v>
      </c>
      <c r="V30" s="1564" t="s">
        <v>8</v>
      </c>
      <c r="W30" s="1565" t="e">
        <f t="shared" si="14"/>
        <v>#N/A</v>
      </c>
      <c r="X30" s="1566"/>
      <c r="Y30" s="3453"/>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453"/>
      <c r="Q31" s="1559" t="str">
        <f t="shared" si="11"/>
        <v>建筑结构</v>
      </c>
      <c r="R31" s="1560" t="s">
        <v>8</v>
      </c>
      <c r="S31" s="1561">
        <f t="shared" si="12"/>
        <v>100</v>
      </c>
      <c r="T31" s="1560" t="s">
        <v>8</v>
      </c>
      <c r="U31" s="1561">
        <f t="shared" si="13"/>
        <v>100</v>
      </c>
      <c r="V31" s="1560" t="s">
        <v>8</v>
      </c>
      <c r="W31" s="1561">
        <f t="shared" si="14"/>
        <v>100</v>
      </c>
      <c r="X31" s="1554"/>
      <c r="Y31" s="3453"/>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453"/>
      <c r="Q32" s="1559" t="str">
        <f t="shared" si="11"/>
        <v>公共部分装修</v>
      </c>
      <c r="R32" s="1560" t="s">
        <v>8</v>
      </c>
      <c r="S32" s="1561">
        <f t="shared" si="12"/>
        <v>100</v>
      </c>
      <c r="T32" s="1560" t="s">
        <v>8</v>
      </c>
      <c r="U32" s="1561">
        <f t="shared" si="13"/>
        <v>100</v>
      </c>
      <c r="V32" s="1560" t="s">
        <v>8</v>
      </c>
      <c r="W32" s="1561">
        <f t="shared" si="14"/>
        <v>100</v>
      </c>
      <c r="X32" s="1554"/>
      <c r="Y32" s="3453"/>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453"/>
      <c r="Q33" s="1559" t="str">
        <f t="shared" si="11"/>
        <v>成新度</v>
      </c>
      <c r="R33" s="1560" t="s">
        <v>8</v>
      </c>
      <c r="S33" s="1561" t="e">
        <f t="shared" si="12"/>
        <v>#N/A</v>
      </c>
      <c r="T33" s="1560" t="s">
        <v>8</v>
      </c>
      <c r="U33" s="1561" t="e">
        <f t="shared" si="13"/>
        <v>#N/A</v>
      </c>
      <c r="V33" s="1560" t="s">
        <v>8</v>
      </c>
      <c r="W33" s="1561" t="e">
        <f t="shared" si="14"/>
        <v>#N/A</v>
      </c>
      <c r="X33" s="1554"/>
      <c r="Y33" s="3453"/>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453"/>
      <c r="Q34" s="1147" t="str">
        <f t="shared" si="11"/>
        <v>物业管理</v>
      </c>
      <c r="R34" s="1555" t="s">
        <v>8</v>
      </c>
      <c r="S34" s="1556">
        <f t="shared" si="12"/>
        <v>100</v>
      </c>
      <c r="T34" s="1555" t="s">
        <v>8</v>
      </c>
      <c r="U34" s="1556">
        <f t="shared" si="13"/>
        <v>100</v>
      </c>
      <c r="V34" s="1555" t="s">
        <v>8</v>
      </c>
      <c r="W34" s="1556">
        <f t="shared" si="14"/>
        <v>100</v>
      </c>
      <c r="X34" s="1557"/>
      <c r="Y34" s="3453"/>
      <c r="Z34" s="1146" t="str">
        <f t="shared" si="15"/>
        <v>物业管理</v>
      </c>
      <c r="AA34" s="1558">
        <f t="shared" si="3"/>
        <v>1</v>
      </c>
      <c r="AB34" s="1558">
        <f t="shared" si="4"/>
        <v>1</v>
      </c>
      <c r="AC34" s="1558">
        <f t="shared" si="5"/>
        <v>1</v>
      </c>
    </row>
    <row r="35" spans="1:29" ht="15">
      <c r="A35" s="594"/>
      <c r="B35" s="1881" t="s">
        <v>2562</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453" t="s">
        <v>550</v>
      </c>
      <c r="Q35" s="1559" t="str">
        <f t="shared" si="11"/>
        <v>市政基础设施</v>
      </c>
      <c r="R35" s="1560" t="s">
        <v>8</v>
      </c>
      <c r="S35" s="1561">
        <f t="shared" si="12"/>
        <v>100</v>
      </c>
      <c r="T35" s="1560" t="s">
        <v>8</v>
      </c>
      <c r="U35" s="1561">
        <f t="shared" si="13"/>
        <v>100</v>
      </c>
      <c r="V35" s="1560" t="s">
        <v>8</v>
      </c>
      <c r="W35" s="1561">
        <f t="shared" si="14"/>
        <v>100</v>
      </c>
      <c r="X35" s="1554"/>
      <c r="Y35" s="3453"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453"/>
      <c r="Q36" s="1559" t="str">
        <f t="shared" si="11"/>
        <v>内部装修</v>
      </c>
      <c r="R36" s="1560" t="s">
        <v>8</v>
      </c>
      <c r="S36" s="1561">
        <f t="shared" si="12"/>
        <v>100</v>
      </c>
      <c r="T36" s="1560" t="s">
        <v>8</v>
      </c>
      <c r="U36" s="1561">
        <f t="shared" si="13"/>
        <v>100</v>
      </c>
      <c r="V36" s="1560" t="s">
        <v>8</v>
      </c>
      <c r="W36" s="1561">
        <f t="shared" si="14"/>
        <v>100</v>
      </c>
      <c r="X36" s="1554"/>
      <c r="Y36" s="3453"/>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453"/>
      <c r="Q37" s="1559" t="str">
        <f t="shared" si="11"/>
        <v>内部装修状况</v>
      </c>
      <c r="R37" s="1560" t="s">
        <v>8</v>
      </c>
      <c r="S37" s="1561">
        <f t="shared" si="12"/>
        <v>100</v>
      </c>
      <c r="T37" s="1560" t="s">
        <v>8</v>
      </c>
      <c r="U37" s="1561">
        <f t="shared" si="13"/>
        <v>100</v>
      </c>
      <c r="V37" s="1560" t="s">
        <v>8</v>
      </c>
      <c r="W37" s="1561">
        <f t="shared" si="14"/>
        <v>100</v>
      </c>
      <c r="X37" s="1554"/>
      <c r="Y37" s="3453"/>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453"/>
      <c r="Q38" s="1591">
        <f t="shared" si="11"/>
        <v>111</v>
      </c>
      <c r="R38" s="1564" t="s">
        <v>8</v>
      </c>
      <c r="S38" s="1565">
        <f t="shared" si="12"/>
        <v>100</v>
      </c>
      <c r="T38" s="1564" t="s">
        <v>8</v>
      </c>
      <c r="U38" s="1565">
        <f t="shared" si="13"/>
        <v>100</v>
      </c>
      <c r="V38" s="1564" t="s">
        <v>8</v>
      </c>
      <c r="W38" s="1565">
        <f t="shared" si="14"/>
        <v>100</v>
      </c>
      <c r="X38" s="1566"/>
      <c r="Y38" s="3453"/>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453"/>
      <c r="Q39" s="1559">
        <f t="shared" si="11"/>
        <v>111</v>
      </c>
      <c r="R39" s="1560" t="s">
        <v>8</v>
      </c>
      <c r="S39" s="1561">
        <f t="shared" si="12"/>
        <v>100</v>
      </c>
      <c r="T39" s="1560" t="s">
        <v>8</v>
      </c>
      <c r="U39" s="1561">
        <f t="shared" si="13"/>
        <v>100</v>
      </c>
      <c r="V39" s="1560" t="s">
        <v>8</v>
      </c>
      <c r="W39" s="1561">
        <f t="shared" si="14"/>
        <v>100</v>
      </c>
      <c r="X39" s="1554"/>
      <c r="Y39" s="3453"/>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99"/>
      <c r="Q40" s="1559">
        <f t="shared" si="11"/>
        <v>111</v>
      </c>
      <c r="R40" s="1560" t="s">
        <v>8</v>
      </c>
      <c r="S40" s="1561">
        <f t="shared" si="12"/>
        <v>100</v>
      </c>
      <c r="T40" s="1560" t="s">
        <v>8</v>
      </c>
      <c r="U40" s="1561">
        <f t="shared" si="13"/>
        <v>100</v>
      </c>
      <c r="V40" s="1560" t="s">
        <v>8</v>
      </c>
      <c r="W40" s="1561">
        <f t="shared" si="14"/>
        <v>100</v>
      </c>
      <c r="X40" s="1554"/>
      <c r="Y40" s="3499"/>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416" t="str">
        <f>A41</f>
        <v>成交单价（元/平方米）</v>
      </c>
      <c r="Q41" s="3416"/>
      <c r="R41" s="3498">
        <f>E41</f>
        <v>0</v>
      </c>
      <c r="S41" s="3498"/>
      <c r="T41" s="3498">
        <f>G41</f>
        <v>0</v>
      </c>
      <c r="U41" s="3498"/>
      <c r="V41" s="3498">
        <f>I41</f>
        <v>0</v>
      </c>
      <c r="W41" s="3498"/>
      <c r="X41" s="1546"/>
      <c r="Y41" s="1568"/>
      <c r="Z41" s="1546"/>
      <c r="AA41" s="1546"/>
      <c r="AB41" s="1546"/>
      <c r="AC41" s="1546"/>
    </row>
    <row r="42" spans="1:29" ht="15.75" thickBot="1">
      <c r="A42" s="615" t="s">
        <v>2756</v>
      </c>
      <c r="B42" s="888"/>
      <c r="C42" s="2598" t="e">
        <f>R43</f>
        <v>#DIV/0!</v>
      </c>
      <c r="D42" s="2599"/>
      <c r="E42" s="2600" t="e">
        <f>R42</f>
        <v>#DIV/0!</v>
      </c>
      <c r="F42" s="2600"/>
      <c r="G42" s="2598" t="e">
        <f>T42</f>
        <v>#DIV/0!</v>
      </c>
      <c r="H42" s="2599"/>
      <c r="I42" s="2600" t="e">
        <f>V42</f>
        <v>#DIV/0!</v>
      </c>
      <c r="J42" s="2599"/>
      <c r="K42" s="1598"/>
      <c r="L42" s="2130"/>
      <c r="M42" s="2131"/>
      <c r="N42" s="2120"/>
      <c r="O42" s="2131"/>
      <c r="P42" s="3416" t="str">
        <f>A42</f>
        <v>比较价格（元/平方米）</v>
      </c>
      <c r="Q42" s="3416"/>
      <c r="R42" s="3498" t="e">
        <f>IF(F1="售价",ROUND(PRODUCT(R41,AA7:AA40),0),ROUND(PRODUCT(R41,AA7:AA40),1))</f>
        <v>#DIV/0!</v>
      </c>
      <c r="S42" s="3498"/>
      <c r="T42" s="3498" t="e">
        <f>IF(F1="售价",ROUND(PRODUCT(T41,AB7:AB40),0),ROUND(PRODUCT(T41,AB7:AB40),1))</f>
        <v>#DIV/0!</v>
      </c>
      <c r="U42" s="3498"/>
      <c r="V42" s="3498" t="e">
        <f>IF(F1="售价",ROUND(PRODUCT(V41,AC7:AC40),0),ROUND(PRODUCT(V41,AC7:AC40),1))</f>
        <v>#DIV/0!</v>
      </c>
      <c r="W42" s="3498"/>
      <c r="X42" s="1546"/>
      <c r="Y42" s="1546"/>
      <c r="Z42" s="1546"/>
      <c r="AA42" s="1546"/>
      <c r="AB42" s="1546"/>
      <c r="AC42" s="1546"/>
    </row>
    <row r="43" spans="1:29" ht="15.75" thickBot="1">
      <c r="A43" s="621" t="s">
        <v>2932</v>
      </c>
      <c r="B43" s="622"/>
      <c r="C43" s="2601" t="e">
        <f>R43</f>
        <v>#DIV/0!</v>
      </c>
      <c r="D43" s="2601"/>
      <c r="E43" s="2601"/>
      <c r="F43" s="2601"/>
      <c r="G43" s="2601"/>
      <c r="H43" s="2601"/>
      <c r="I43" s="2601"/>
      <c r="J43" s="2601"/>
      <c r="K43" s="1599"/>
      <c r="L43" s="2130"/>
      <c r="M43" s="2131"/>
      <c r="N43" s="2131"/>
      <c r="O43" s="2131"/>
      <c r="P43" s="3413" t="str">
        <f>A43</f>
        <v>估价对象XX用房的比较价格（楼面单价，元/平方米）</v>
      </c>
      <c r="Q43" s="3414"/>
      <c r="R43" s="3497" t="e">
        <f>IF(F1="售价",ROUND(AVERAGE(R42:V42),0),ROUND(AVERAGE(R42:V42),1))</f>
        <v>#DIV/0!</v>
      </c>
      <c r="S43" s="3497"/>
      <c r="T43" s="3497"/>
      <c r="U43" s="3497"/>
      <c r="V43" s="3497"/>
      <c r="W43" s="3497"/>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642" t="str">
        <f>YEAR(C7)&amp;"-"&amp;MONTH(C7)</f>
        <v>2020-6</v>
      </c>
      <c r="D52" s="2644">
        <f>EDATE(C52,-1)</f>
        <v>43952</v>
      </c>
      <c r="E52" s="2644">
        <f t="shared" ref="E52:O52" si="16">EDATE(D52,-1)</f>
        <v>43922</v>
      </c>
      <c r="F52" s="2644">
        <f t="shared" si="16"/>
        <v>43891</v>
      </c>
      <c r="G52" s="2644">
        <f t="shared" si="16"/>
        <v>43862</v>
      </c>
      <c r="H52" s="2644">
        <f t="shared" si="16"/>
        <v>43831</v>
      </c>
      <c r="I52" s="2644">
        <f t="shared" si="16"/>
        <v>43800</v>
      </c>
      <c r="J52" s="2644">
        <f t="shared" si="16"/>
        <v>43770</v>
      </c>
      <c r="K52" s="2644">
        <f t="shared" si="16"/>
        <v>43739</v>
      </c>
      <c r="L52" s="2644">
        <f t="shared" si="16"/>
        <v>43709</v>
      </c>
      <c r="M52" s="2644">
        <f t="shared" si="16"/>
        <v>43678</v>
      </c>
      <c r="N52" s="2644">
        <f t="shared" si="16"/>
        <v>43647</v>
      </c>
      <c r="O52" s="2644">
        <f t="shared" si="16"/>
        <v>43617</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2554</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2555</v>
      </c>
      <c r="C76" s="2563" t="s">
        <v>2556</v>
      </c>
      <c r="D76" s="2563" t="s">
        <v>2557</v>
      </c>
      <c r="E76" s="2563" t="s">
        <v>2558</v>
      </c>
      <c r="F76" s="2563" t="s">
        <v>2559</v>
      </c>
      <c r="G76" s="2563" t="s">
        <v>2560</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2553</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647"/>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2074</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422" t="s">
        <v>798</v>
      </c>
      <c r="D4" s="3423"/>
      <c r="E4" s="3422" t="s">
        <v>799</v>
      </c>
      <c r="F4" s="3423"/>
      <c r="G4" s="3422" t="s">
        <v>800</v>
      </c>
      <c r="H4" s="3423"/>
      <c r="I4" s="3422" t="s">
        <v>801</v>
      </c>
      <c r="J4" s="3423"/>
      <c r="K4" s="514" t="s">
        <v>802</v>
      </c>
      <c r="L4" s="2119"/>
      <c r="M4" s="2120"/>
      <c r="N4" s="2120"/>
      <c r="O4" s="2120"/>
      <c r="P4" s="3424" t="s">
        <v>803</v>
      </c>
      <c r="Q4" s="3425"/>
      <c r="R4" s="3430" t="s">
        <v>799</v>
      </c>
      <c r="S4" s="3431"/>
      <c r="T4" s="3430" t="s">
        <v>800</v>
      </c>
      <c r="U4" s="3431"/>
      <c r="V4" s="3417" t="s">
        <v>801</v>
      </c>
      <c r="W4" s="3417"/>
      <c r="X4" s="1554"/>
      <c r="Y4" s="3430" t="s">
        <v>803</v>
      </c>
      <c r="Z4" s="3431"/>
      <c r="AA4" s="3419" t="s">
        <v>799</v>
      </c>
      <c r="AB4" s="3420" t="s">
        <v>800</v>
      </c>
      <c r="AC4" s="3419" t="s">
        <v>801</v>
      </c>
    </row>
    <row r="5" spans="1:29" ht="15">
      <c r="A5" s="515"/>
      <c r="B5" s="516"/>
      <c r="C5" s="3438" t="s">
        <v>2926</v>
      </c>
      <c r="D5" s="3439"/>
      <c r="E5" s="3438" t="s">
        <v>2927</v>
      </c>
      <c r="F5" s="3439"/>
      <c r="G5" s="3438" t="s">
        <v>2928</v>
      </c>
      <c r="H5" s="3439"/>
      <c r="I5" s="3438" t="s">
        <v>2929</v>
      </c>
      <c r="J5" s="3439"/>
      <c r="K5" s="514"/>
      <c r="L5" s="2119"/>
      <c r="M5" s="2120"/>
      <c r="N5" s="2120"/>
      <c r="O5" s="2120"/>
      <c r="P5" s="3426"/>
      <c r="Q5" s="3427"/>
      <c r="R5" s="3432"/>
      <c r="S5" s="3433"/>
      <c r="T5" s="3432"/>
      <c r="U5" s="3433"/>
      <c r="V5" s="3417"/>
      <c r="W5" s="3417"/>
      <c r="X5" s="1554"/>
      <c r="Y5" s="3432"/>
      <c r="Z5" s="3433"/>
      <c r="AA5" s="3420"/>
      <c r="AB5" s="3420"/>
      <c r="AC5" s="3420"/>
    </row>
    <row r="6" spans="1:29" ht="15.75" thickBot="1">
      <c r="A6" s="517"/>
      <c r="B6" s="518"/>
      <c r="C6" s="3436" t="s">
        <v>2930</v>
      </c>
      <c r="D6" s="3437"/>
      <c r="E6" s="3440" t="s">
        <v>2930</v>
      </c>
      <c r="F6" s="3441"/>
      <c r="G6" s="3436" t="s">
        <v>2930</v>
      </c>
      <c r="H6" s="3437"/>
      <c r="I6" s="3436" t="s">
        <v>2930</v>
      </c>
      <c r="J6" s="3437"/>
      <c r="K6" s="514" t="s">
        <v>528</v>
      </c>
      <c r="L6" s="2119"/>
      <c r="M6" s="2120"/>
      <c r="N6" s="2120"/>
      <c r="O6" s="2120"/>
      <c r="P6" s="3428"/>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c r="F7" s="522">
        <f>SUMIF(48:48,YEAR(E7)&amp;"-"&amp;MONTH(E7),49:49)</f>
        <v>0</v>
      </c>
      <c r="G7" s="523"/>
      <c r="H7" s="520">
        <f>SUMIF(48:48,YEAR(G7)&amp;"-"&amp;MONTH(G7),49:49)</f>
        <v>0</v>
      </c>
      <c r="I7" s="523"/>
      <c r="J7" s="520">
        <f>SUMIF(48:48,YEAR(I7)&amp;"-"&amp;MONTH(I7),49:49)</f>
        <v>0</v>
      </c>
      <c r="K7" s="524"/>
      <c r="L7" s="2121"/>
      <c r="M7" s="2122"/>
      <c r="N7" s="2122"/>
      <c r="O7" s="2122"/>
      <c r="P7" s="3447" t="s">
        <v>530</v>
      </c>
      <c r="Q7" s="3449"/>
      <c r="R7" s="1555" t="s">
        <v>8</v>
      </c>
      <c r="S7" s="1556">
        <f t="shared" ref="S7:S14" si="0">F7</f>
        <v>0</v>
      </c>
      <c r="T7" s="1555" t="s">
        <v>8</v>
      </c>
      <c r="U7" s="1556">
        <f t="shared" ref="U7:U14" si="1">H7</f>
        <v>0</v>
      </c>
      <c r="V7" s="1555" t="s">
        <v>8</v>
      </c>
      <c r="W7" s="1556">
        <f t="shared" ref="W7:W14"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447" t="s">
        <v>533</v>
      </c>
      <c r="Q8" s="3448"/>
      <c r="R8" s="1555" t="s">
        <v>8</v>
      </c>
      <c r="S8" s="1556">
        <f t="shared" si="0"/>
        <v>0</v>
      </c>
      <c r="T8" s="1555" t="s">
        <v>8</v>
      </c>
      <c r="U8" s="1556">
        <f t="shared" si="1"/>
        <v>0</v>
      </c>
      <c r="V8" s="1555" t="s">
        <v>8</v>
      </c>
      <c r="W8" s="1556">
        <f t="shared" si="2"/>
        <v>0</v>
      </c>
      <c r="X8" s="1557"/>
      <c r="Y8" s="3447" t="s">
        <v>533</v>
      </c>
      <c r="Z8" s="3448"/>
      <c r="AA8" s="1558" t="e">
        <f t="shared" ref="AA8:AA36" si="3">D8/F8</f>
        <v>#DIV/0!</v>
      </c>
      <c r="AB8" s="1558" t="e">
        <f t="shared" ref="AB8:AB36" si="4">D8/H8</f>
        <v>#DIV/0!</v>
      </c>
      <c r="AC8" s="1558" t="e">
        <f t="shared" ref="AC8:AC36" si="5">D8/J8</f>
        <v>#DIV/0!</v>
      </c>
    </row>
    <row r="9" spans="1:29" s="1216" customFormat="1" ht="15">
      <c r="A9" s="2754"/>
      <c r="B9" s="2761" t="s">
        <v>2752</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416" t="s">
        <v>535</v>
      </c>
      <c r="Q9" s="1147" t="str">
        <f t="shared" ref="Q9:Q14" si="6">B9</f>
        <v>用途</v>
      </c>
      <c r="R9" s="1555" t="s">
        <v>8</v>
      </c>
      <c r="S9" s="1556">
        <f t="shared" si="0"/>
        <v>100</v>
      </c>
      <c r="T9" s="1555" t="s">
        <v>8</v>
      </c>
      <c r="U9" s="1556">
        <f t="shared" si="1"/>
        <v>100</v>
      </c>
      <c r="V9" s="1555" t="s">
        <v>8</v>
      </c>
      <c r="W9" s="1556">
        <f t="shared" si="2"/>
        <v>100</v>
      </c>
      <c r="X9" s="1557"/>
      <c r="Y9" s="3341" t="s">
        <v>536</v>
      </c>
      <c r="Z9" s="1146" t="str">
        <f t="shared" ref="Z9:Z14" si="7">Q9</f>
        <v>用途</v>
      </c>
      <c r="AA9" s="1558">
        <f t="shared" si="3"/>
        <v>1</v>
      </c>
      <c r="AB9" s="1558">
        <f t="shared" si="4"/>
        <v>1</v>
      </c>
      <c r="AC9" s="1558">
        <f t="shared" si="5"/>
        <v>1</v>
      </c>
    </row>
    <row r="10" spans="1:29" s="1334" customFormat="1" ht="27">
      <c r="A10" s="2755"/>
      <c r="B10" s="2760" t="s">
        <v>2753</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7"/>
      <c r="B11" s="2763">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416"/>
      <c r="Q11" s="1147">
        <f t="shared" si="6"/>
        <v>111</v>
      </c>
      <c r="R11" s="1555" t="s">
        <v>8</v>
      </c>
      <c r="S11" s="1556">
        <f t="shared" si="0"/>
        <v>100</v>
      </c>
      <c r="T11" s="1555" t="s">
        <v>8</v>
      </c>
      <c r="U11" s="1556">
        <f t="shared" si="1"/>
        <v>100</v>
      </c>
      <c r="V11" s="1555" t="s">
        <v>8</v>
      </c>
      <c r="W11" s="1556">
        <f t="shared" si="2"/>
        <v>100</v>
      </c>
      <c r="X11" s="1557"/>
      <c r="Y11" s="3341"/>
      <c r="Z11" s="1146">
        <f t="shared" si="7"/>
        <v>111</v>
      </c>
      <c r="AA11" s="1558">
        <f t="shared" si="3"/>
        <v>1</v>
      </c>
      <c r="AB11" s="1558">
        <f t="shared" si="4"/>
        <v>1</v>
      </c>
      <c r="AC11" s="1558">
        <f t="shared" si="5"/>
        <v>1</v>
      </c>
    </row>
    <row r="12" spans="1:29" s="1216" customFormat="1" ht="15">
      <c r="A12" s="2757"/>
      <c r="B12" s="2763">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75" thickBot="1">
      <c r="A13" s="2758"/>
      <c r="B13" s="2764">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85.5">
      <c r="A14" s="2750" t="s">
        <v>2750</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450" t="s">
        <v>540</v>
      </c>
      <c r="Q14" s="1559" t="str">
        <f t="shared" si="6"/>
        <v>交通便捷度</v>
      </c>
      <c r="R14" s="1560" t="s">
        <v>8</v>
      </c>
      <c r="S14" s="1561">
        <f t="shared" si="0"/>
        <v>100</v>
      </c>
      <c r="T14" s="1560" t="s">
        <v>8</v>
      </c>
      <c r="U14" s="1561">
        <f t="shared" si="1"/>
        <v>100</v>
      </c>
      <c r="V14" s="1560" t="s">
        <v>8</v>
      </c>
      <c r="W14" s="1561">
        <f t="shared" si="2"/>
        <v>100</v>
      </c>
      <c r="X14" s="1554"/>
      <c r="Y14" s="3450"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451"/>
      <c r="Q15" s="1559"/>
      <c r="R15" s="1560"/>
      <c r="S15" s="1561"/>
      <c r="T15" s="1560"/>
      <c r="U15" s="1561"/>
      <c r="V15" s="1560"/>
      <c r="W15" s="1561"/>
      <c r="X15" s="1554"/>
      <c r="Y15" s="3451"/>
      <c r="Z15" s="1562"/>
      <c r="AA15" s="1563">
        <v>1</v>
      </c>
      <c r="AB15" s="1563">
        <v>1</v>
      </c>
      <c r="AC15" s="1563">
        <v>1</v>
      </c>
    </row>
    <row r="16" spans="1:29" ht="42.75">
      <c r="A16" s="515"/>
      <c r="B16" s="2568" t="s">
        <v>2543</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451"/>
      <c r="Q16" s="1559" t="str">
        <f>B16</f>
        <v>公共配套设施</v>
      </c>
      <c r="R16" s="1560" t="s">
        <v>8</v>
      </c>
      <c r="S16" s="1561">
        <f>F16</f>
        <v>100</v>
      </c>
      <c r="T16" s="1560" t="s">
        <v>8</v>
      </c>
      <c r="U16" s="1561">
        <f>H16</f>
        <v>100</v>
      </c>
      <c r="V16" s="1560" t="s">
        <v>8</v>
      </c>
      <c r="W16" s="1561">
        <f>J16</f>
        <v>100</v>
      </c>
      <c r="X16" s="1554"/>
      <c r="Y16" s="3451"/>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451"/>
      <c r="Q17" s="1559"/>
      <c r="R17" s="1560"/>
      <c r="S17" s="1561"/>
      <c r="T17" s="1560"/>
      <c r="U17" s="1561"/>
      <c r="V17" s="1560"/>
      <c r="W17" s="1561"/>
      <c r="X17" s="1554"/>
      <c r="Y17" s="3451"/>
      <c r="Z17" s="1562"/>
      <c r="AA17" s="1563">
        <v>1</v>
      </c>
      <c r="AB17" s="1563">
        <v>1</v>
      </c>
      <c r="AC17" s="1563">
        <v>1</v>
      </c>
    </row>
    <row r="18" spans="1:29" ht="28.5">
      <c r="A18" s="515"/>
      <c r="B18" s="2556" t="s">
        <v>2555</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451"/>
      <c r="Q18" s="2544" t="str">
        <f>B18</f>
        <v>基础设施水平</v>
      </c>
      <c r="R18" s="1560" t="s">
        <v>8</v>
      </c>
      <c r="S18" s="1561">
        <f>F18</f>
        <v>100</v>
      </c>
      <c r="T18" s="1560" t="s">
        <v>8</v>
      </c>
      <c r="U18" s="1561">
        <f>H18</f>
        <v>100</v>
      </c>
      <c r="V18" s="1560" t="s">
        <v>8</v>
      </c>
      <c r="W18" s="1561">
        <f>J18</f>
        <v>100</v>
      </c>
      <c r="X18" s="2546"/>
      <c r="Y18" s="3451"/>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451"/>
      <c r="Q19" s="2544"/>
      <c r="R19" s="1560"/>
      <c r="S19" s="1561"/>
      <c r="T19" s="1560"/>
      <c r="U19" s="1561"/>
      <c r="V19" s="1560"/>
      <c r="W19" s="1561"/>
      <c r="X19" s="2546"/>
      <c r="Y19" s="3451"/>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451"/>
      <c r="Q20" s="1559" t="str">
        <f>B20</f>
        <v>自然及人文环境</v>
      </c>
      <c r="R20" s="1560" t="s">
        <v>8</v>
      </c>
      <c r="S20" s="1561">
        <f>F20</f>
        <v>100</v>
      </c>
      <c r="T20" s="1560" t="s">
        <v>8</v>
      </c>
      <c r="U20" s="1561">
        <f>H20</f>
        <v>100</v>
      </c>
      <c r="V20" s="1560" t="s">
        <v>8</v>
      </c>
      <c r="W20" s="1561">
        <f>J20</f>
        <v>100</v>
      </c>
      <c r="X20" s="1554"/>
      <c r="Y20" s="3451"/>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451"/>
      <c r="Q21" s="1559"/>
      <c r="R21" s="1560"/>
      <c r="S21" s="1561"/>
      <c r="T21" s="1560"/>
      <c r="U21" s="1561"/>
      <c r="V21" s="1560"/>
      <c r="W21" s="1561"/>
      <c r="X21" s="1554"/>
      <c r="Y21" s="3451"/>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451"/>
      <c r="Q22" s="1559" t="str">
        <f>B22</f>
        <v>楼层</v>
      </c>
      <c r="R22" s="1560" t="s">
        <v>8</v>
      </c>
      <c r="S22" s="1561">
        <f>F22</f>
        <v>100</v>
      </c>
      <c r="T22" s="1560" t="s">
        <v>8</v>
      </c>
      <c r="U22" s="1561">
        <f>H22</f>
        <v>100</v>
      </c>
      <c r="V22" s="1560" t="s">
        <v>8</v>
      </c>
      <c r="W22" s="1561">
        <f>J22</f>
        <v>100</v>
      </c>
      <c r="X22" s="1554"/>
      <c r="Y22" s="3451"/>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451"/>
      <c r="Q23" s="1559">
        <f>B23</f>
        <v>111</v>
      </c>
      <c r="R23" s="1560" t="s">
        <v>8</v>
      </c>
      <c r="S23" s="1561">
        <f>F23</f>
        <v>100</v>
      </c>
      <c r="T23" s="1560" t="s">
        <v>8</v>
      </c>
      <c r="U23" s="1561">
        <f>H23</f>
        <v>100</v>
      </c>
      <c r="V23" s="1560" t="s">
        <v>8</v>
      </c>
      <c r="W23" s="1561">
        <f>J23</f>
        <v>100</v>
      </c>
      <c r="X23" s="1554"/>
      <c r="Y23" s="3451"/>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451"/>
      <c r="Q24" s="1559">
        <f t="shared" ref="Q24:Q36" si="11">B24</f>
        <v>111</v>
      </c>
      <c r="R24" s="1560" t="s">
        <v>8</v>
      </c>
      <c r="S24" s="1561">
        <f>F24</f>
        <v>100</v>
      </c>
      <c r="T24" s="1560" t="s">
        <v>8</v>
      </c>
      <c r="U24" s="1561">
        <f>H24</f>
        <v>100</v>
      </c>
      <c r="V24" s="1560" t="s">
        <v>8</v>
      </c>
      <c r="W24" s="1561">
        <f>J24</f>
        <v>100</v>
      </c>
      <c r="X24" s="1554"/>
      <c r="Y24" s="3451"/>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451"/>
      <c r="Q25" s="1147">
        <f t="shared" si="11"/>
        <v>111</v>
      </c>
      <c r="R25" s="1555" t="s">
        <v>8</v>
      </c>
      <c r="S25" s="1556">
        <f>F25</f>
        <v>100</v>
      </c>
      <c r="T25" s="1555" t="s">
        <v>8</v>
      </c>
      <c r="U25" s="1556">
        <f>H25</f>
        <v>100</v>
      </c>
      <c r="V25" s="1555" t="s">
        <v>8</v>
      </c>
      <c r="W25" s="1556">
        <f>J25</f>
        <v>100</v>
      </c>
      <c r="X25" s="1557"/>
      <c r="Y25" s="3451"/>
      <c r="Z25" s="1146">
        <f>Q25</f>
        <v>111</v>
      </c>
      <c r="AA25" s="1563">
        <f>D25/F25</f>
        <v>1</v>
      </c>
      <c r="AB25" s="1563">
        <f>D25/H25</f>
        <v>1</v>
      </c>
      <c r="AC25" s="1563">
        <f>D25/J25</f>
        <v>1</v>
      </c>
    </row>
    <row r="26" spans="1:29" ht="15">
      <c r="A26" s="2747" t="s">
        <v>2751</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452"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453"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453"/>
      <c r="Q27" s="1591" t="str">
        <f t="shared" si="11"/>
        <v>项目停车位配比</v>
      </c>
      <c r="R27" s="1564" t="s">
        <v>8</v>
      </c>
      <c r="S27" s="1565">
        <f t="shared" si="12"/>
        <v>100</v>
      </c>
      <c r="T27" s="1564" t="s">
        <v>8</v>
      </c>
      <c r="U27" s="1565">
        <f t="shared" si="13"/>
        <v>100</v>
      </c>
      <c r="V27" s="1564" t="s">
        <v>8</v>
      </c>
      <c r="W27" s="1565">
        <f t="shared" si="14"/>
        <v>100</v>
      </c>
      <c r="X27" s="1566"/>
      <c r="Y27" s="3453"/>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453"/>
      <c r="Q28" s="1559" t="str">
        <f t="shared" si="11"/>
        <v>公共部分装修</v>
      </c>
      <c r="R28" s="1560" t="s">
        <v>8</v>
      </c>
      <c r="S28" s="1561">
        <f t="shared" si="12"/>
        <v>100</v>
      </c>
      <c r="T28" s="1560" t="s">
        <v>8</v>
      </c>
      <c r="U28" s="1561">
        <f t="shared" si="13"/>
        <v>100</v>
      </c>
      <c r="V28" s="1560" t="s">
        <v>8</v>
      </c>
      <c r="W28" s="1561">
        <f t="shared" si="14"/>
        <v>100</v>
      </c>
      <c r="X28" s="1554"/>
      <c r="Y28" s="3453"/>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453"/>
      <c r="Q29" s="1559" t="str">
        <f t="shared" si="11"/>
        <v>成新率</v>
      </c>
      <c r="R29" s="1560" t="s">
        <v>8</v>
      </c>
      <c r="S29" s="1561" t="e">
        <f t="shared" si="12"/>
        <v>#N/A</v>
      </c>
      <c r="T29" s="1560" t="s">
        <v>8</v>
      </c>
      <c r="U29" s="1561" t="e">
        <f t="shared" si="13"/>
        <v>#N/A</v>
      </c>
      <c r="V29" s="1560" t="s">
        <v>8</v>
      </c>
      <c r="W29" s="1561" t="e">
        <f t="shared" si="14"/>
        <v>#N/A</v>
      </c>
      <c r="X29" s="1554"/>
      <c r="Y29" s="3453"/>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453"/>
      <c r="Q30" s="1559" t="str">
        <f t="shared" si="11"/>
        <v>物业等级</v>
      </c>
      <c r="R30" s="1560" t="s">
        <v>8</v>
      </c>
      <c r="S30" s="1561">
        <f t="shared" si="12"/>
        <v>100</v>
      </c>
      <c r="T30" s="1560" t="s">
        <v>8</v>
      </c>
      <c r="U30" s="1561">
        <f t="shared" si="13"/>
        <v>100</v>
      </c>
      <c r="V30" s="1560" t="s">
        <v>8</v>
      </c>
      <c r="W30" s="1561">
        <f t="shared" si="14"/>
        <v>100</v>
      </c>
      <c r="X30" s="1554"/>
      <c r="Y30" s="3453"/>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453"/>
      <c r="Q31" s="1147" t="str">
        <f t="shared" si="11"/>
        <v>停车位面积</v>
      </c>
      <c r="R31" s="1555" t="s">
        <v>8</v>
      </c>
      <c r="S31" s="1556" t="e">
        <f t="shared" si="12"/>
        <v>#N/A</v>
      </c>
      <c r="T31" s="1555" t="s">
        <v>8</v>
      </c>
      <c r="U31" s="1556" t="e">
        <f t="shared" si="13"/>
        <v>#N/A</v>
      </c>
      <c r="V31" s="1555" t="s">
        <v>8</v>
      </c>
      <c r="W31" s="1556" t="e">
        <f t="shared" si="14"/>
        <v>#N/A</v>
      </c>
      <c r="X31" s="1557"/>
      <c r="Y31" s="3453"/>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453" t="s">
        <v>550</v>
      </c>
      <c r="Q32" s="1559" t="str">
        <f t="shared" si="11"/>
        <v>车位类型</v>
      </c>
      <c r="R32" s="1560" t="s">
        <v>8</v>
      </c>
      <c r="S32" s="1561">
        <f t="shared" si="12"/>
        <v>100</v>
      </c>
      <c r="T32" s="1560" t="s">
        <v>8</v>
      </c>
      <c r="U32" s="1561">
        <f t="shared" si="13"/>
        <v>100</v>
      </c>
      <c r="V32" s="1560" t="s">
        <v>8</v>
      </c>
      <c r="W32" s="1561">
        <f t="shared" si="14"/>
        <v>100</v>
      </c>
      <c r="X32" s="1554"/>
      <c r="Y32" s="3453"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453"/>
      <c r="Q33" s="1559" t="str">
        <f t="shared" si="11"/>
        <v>是否直接入户</v>
      </c>
      <c r="R33" s="1560" t="s">
        <v>8</v>
      </c>
      <c r="S33" s="1561">
        <f t="shared" si="12"/>
        <v>100</v>
      </c>
      <c r="T33" s="1560" t="s">
        <v>8</v>
      </c>
      <c r="U33" s="1561">
        <f t="shared" si="13"/>
        <v>100</v>
      </c>
      <c r="V33" s="1560" t="s">
        <v>8</v>
      </c>
      <c r="W33" s="1561">
        <f t="shared" si="14"/>
        <v>100</v>
      </c>
      <c r="X33" s="1554"/>
      <c r="Y33" s="3453"/>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453"/>
      <c r="Q34" s="1559">
        <f t="shared" si="11"/>
        <v>111</v>
      </c>
      <c r="R34" s="1560" t="s">
        <v>8</v>
      </c>
      <c r="S34" s="1561">
        <f t="shared" si="12"/>
        <v>100</v>
      </c>
      <c r="T34" s="1560" t="s">
        <v>8</v>
      </c>
      <c r="U34" s="1561">
        <f t="shared" si="13"/>
        <v>100</v>
      </c>
      <c r="V34" s="1560" t="s">
        <v>8</v>
      </c>
      <c r="W34" s="1561">
        <f t="shared" si="14"/>
        <v>100</v>
      </c>
      <c r="X34" s="1554"/>
      <c r="Y34" s="3453"/>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453"/>
      <c r="Q35" s="1591">
        <f t="shared" si="11"/>
        <v>111</v>
      </c>
      <c r="R35" s="1564" t="s">
        <v>8</v>
      </c>
      <c r="S35" s="1565">
        <f t="shared" si="12"/>
        <v>100</v>
      </c>
      <c r="T35" s="1564" t="s">
        <v>8</v>
      </c>
      <c r="U35" s="1565">
        <f t="shared" si="13"/>
        <v>100</v>
      </c>
      <c r="V35" s="1564" t="s">
        <v>8</v>
      </c>
      <c r="W35" s="1565">
        <f t="shared" si="14"/>
        <v>100</v>
      </c>
      <c r="X35" s="1566"/>
      <c r="Y35" s="3453"/>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453"/>
      <c r="Q36" s="1559">
        <f t="shared" si="11"/>
        <v>111</v>
      </c>
      <c r="R36" s="1560" t="s">
        <v>8</v>
      </c>
      <c r="S36" s="1561">
        <f t="shared" si="12"/>
        <v>100</v>
      </c>
      <c r="T36" s="1560" t="s">
        <v>8</v>
      </c>
      <c r="U36" s="1561">
        <f t="shared" si="13"/>
        <v>100</v>
      </c>
      <c r="V36" s="1560" t="s">
        <v>8</v>
      </c>
      <c r="W36" s="1561">
        <f t="shared" si="14"/>
        <v>100</v>
      </c>
      <c r="X36" s="1554"/>
      <c r="Y36" s="3453"/>
      <c r="Z36" s="1562">
        <f t="shared" si="15"/>
        <v>111</v>
      </c>
      <c r="AA36" s="1563">
        <f t="shared" si="3"/>
        <v>1</v>
      </c>
      <c r="AB36" s="1563">
        <f t="shared" si="4"/>
        <v>1</v>
      </c>
      <c r="AC36" s="1563">
        <f t="shared" si="5"/>
        <v>1</v>
      </c>
    </row>
    <row r="37" spans="1:29" ht="15">
      <c r="A37" s="1832" t="s">
        <v>2075</v>
      </c>
      <c r="B37" s="1833" t="s">
        <v>2076</v>
      </c>
      <c r="C37" s="2592" t="s">
        <v>1</v>
      </c>
      <c r="D37" s="2593"/>
      <c r="E37" s="2594"/>
      <c r="F37" s="2595"/>
      <c r="G37" s="2596"/>
      <c r="H37" s="2597"/>
      <c r="I37" s="2594"/>
      <c r="J37" s="2597"/>
      <c r="K37" s="1597"/>
      <c r="L37" s="2130"/>
      <c r="M37" s="2131"/>
      <c r="N37" s="2120"/>
      <c r="O37" s="2131"/>
      <c r="P37" s="3416" t="str">
        <f>A37</f>
        <v>成交单价</v>
      </c>
      <c r="Q37" s="3416"/>
      <c r="R37" s="3498">
        <f>E37</f>
        <v>0</v>
      </c>
      <c r="S37" s="3498"/>
      <c r="T37" s="3498">
        <f>G37</f>
        <v>0</v>
      </c>
      <c r="U37" s="3498"/>
      <c r="V37" s="3498">
        <f>I37</f>
        <v>0</v>
      </c>
      <c r="W37" s="3498"/>
      <c r="X37" s="1546"/>
      <c r="Y37" s="1568"/>
      <c r="Z37" s="1546"/>
      <c r="AA37" s="1546"/>
      <c r="AB37" s="1546"/>
      <c r="AC37" s="1546"/>
    </row>
    <row r="38" spans="1:29" ht="15.75" thickBot="1">
      <c r="A38" s="615" t="s">
        <v>2756</v>
      </c>
      <c r="B38" s="888"/>
      <c r="C38" s="2598" t="e">
        <f>R39</f>
        <v>#DIV/0!</v>
      </c>
      <c r="D38" s="2599"/>
      <c r="E38" s="2600" t="e">
        <f>R38</f>
        <v>#DIV/0!</v>
      </c>
      <c r="F38" s="2600"/>
      <c r="G38" s="2598" t="e">
        <f>T38</f>
        <v>#DIV/0!</v>
      </c>
      <c r="H38" s="2599"/>
      <c r="I38" s="2600" t="e">
        <f>V38</f>
        <v>#DIV/0!</v>
      </c>
      <c r="J38" s="2599"/>
      <c r="K38" s="1598"/>
      <c r="L38" s="2130"/>
      <c r="M38" s="2131"/>
      <c r="N38" s="2131"/>
      <c r="O38" s="2131"/>
      <c r="P38" s="3416" t="str">
        <f>A38</f>
        <v>比较价格（元/平方米）</v>
      </c>
      <c r="Q38" s="3416"/>
      <c r="R38" s="3498" t="e">
        <f>IF(F1="售价",ROUND(PRODUCT(R37,AA7:AA36),0),ROUND(PRODUCT(R37,AA7:AA36),1))</f>
        <v>#DIV/0!</v>
      </c>
      <c r="S38" s="3498"/>
      <c r="T38" s="3498" t="e">
        <f>IF(F1="售价",ROUND(PRODUCT(T37,AB7:AB36),0),ROUND(PRODUCT(T37,AB7:AB36),1))</f>
        <v>#DIV/0!</v>
      </c>
      <c r="U38" s="3498"/>
      <c r="V38" s="3498" t="e">
        <f>IF(F1="售价",ROUND(PRODUCT(V37,AC7:AC36),0),ROUND(PRODUCT(V37,AC7:AC36),1))</f>
        <v>#DIV/0!</v>
      </c>
      <c r="W38" s="3498"/>
      <c r="X38" s="1546"/>
      <c r="Y38" s="1546"/>
      <c r="Z38" s="1546"/>
      <c r="AA38" s="1546"/>
      <c r="AB38" s="1546"/>
      <c r="AC38" s="1546"/>
    </row>
    <row r="39" spans="1:29" ht="15.75" thickBot="1">
      <c r="A39" s="621" t="s">
        <v>2932</v>
      </c>
      <c r="B39" s="622"/>
      <c r="C39" s="2601" t="e">
        <f>R39</f>
        <v>#DIV/0!</v>
      </c>
      <c r="D39" s="2601"/>
      <c r="E39" s="2601"/>
      <c r="F39" s="2601"/>
      <c r="G39" s="2601"/>
      <c r="H39" s="2601"/>
      <c r="I39" s="2601"/>
      <c r="J39" s="2601"/>
      <c r="K39" s="1599"/>
      <c r="L39" s="2130"/>
      <c r="M39" s="2131"/>
      <c r="N39" s="2131"/>
      <c r="O39" s="2131"/>
      <c r="P39" s="3413" t="str">
        <f>A39</f>
        <v>估价对象XX用房的比较价格（楼面单价，元/平方米）</v>
      </c>
      <c r="Q39" s="3414"/>
      <c r="R39" s="3497" t="e">
        <f>IF(F1="售价",ROUND(AVERAGE(R38:V38),0),ROUND(AVERAGE(R38:V38),1))</f>
        <v>#DIV/0!</v>
      </c>
      <c r="S39" s="3497"/>
      <c r="T39" s="3497"/>
      <c r="U39" s="3497"/>
      <c r="V39" s="3497"/>
      <c r="W39" s="3497"/>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642" t="str">
        <f>YEAR(C7)&amp;"-"&amp;MONTH(C7)</f>
        <v>2020-6</v>
      </c>
      <c r="D48" s="2644">
        <f>EDATE(C48,-1)</f>
        <v>43952</v>
      </c>
      <c r="E48" s="2644">
        <f t="shared" ref="E48:O48" si="16">EDATE(D48,-1)</f>
        <v>43922</v>
      </c>
      <c r="F48" s="2644">
        <f t="shared" si="16"/>
        <v>43891</v>
      </c>
      <c r="G48" s="2644">
        <f t="shared" si="16"/>
        <v>43862</v>
      </c>
      <c r="H48" s="2644">
        <f t="shared" si="16"/>
        <v>43831</v>
      </c>
      <c r="I48" s="2644">
        <f t="shared" si="16"/>
        <v>43800</v>
      </c>
      <c r="J48" s="2644">
        <f t="shared" si="16"/>
        <v>43770</v>
      </c>
      <c r="K48" s="2644">
        <f t="shared" si="16"/>
        <v>43739</v>
      </c>
      <c r="L48" s="2644">
        <f t="shared" si="16"/>
        <v>43709</v>
      </c>
      <c r="M48" s="2644">
        <f t="shared" si="16"/>
        <v>43678</v>
      </c>
      <c r="N48" s="2644">
        <f t="shared" si="16"/>
        <v>43647</v>
      </c>
      <c r="O48" s="2644">
        <f t="shared" si="16"/>
        <v>43617</v>
      </c>
      <c r="P48" s="2146"/>
      <c r="Q48" s="2147"/>
      <c r="R48" s="2147"/>
      <c r="S48" s="2147"/>
      <c r="T48" s="2147"/>
      <c r="U48" s="2147"/>
      <c r="V48" s="2147"/>
      <c r="W48" s="2147"/>
      <c r="X48" s="2147"/>
      <c r="Y48" s="2147"/>
      <c r="Z48" s="2147"/>
      <c r="AA48" s="2147"/>
      <c r="AB48" s="2147"/>
      <c r="AC48" s="2147"/>
    </row>
    <row r="49" spans="1:29" s="1216" customFormat="1" ht="15">
      <c r="A49" s="647"/>
      <c r="B49" s="648"/>
      <c r="C49" s="2643">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2554</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2555</v>
      </c>
      <c r="C67" s="2563" t="s">
        <v>2556</v>
      </c>
      <c r="D67" s="2563" t="s">
        <v>2557</v>
      </c>
      <c r="E67" s="2563" t="s">
        <v>2558</v>
      </c>
      <c r="F67" s="2563" t="s">
        <v>2559</v>
      </c>
      <c r="G67" s="2563" t="s">
        <v>2560</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647"/>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422" t="s">
        <v>798</v>
      </c>
      <c r="D4" s="3423"/>
      <c r="E4" s="3456" t="s">
        <v>799</v>
      </c>
      <c r="F4" s="3457"/>
      <c r="G4" s="3422" t="s">
        <v>800</v>
      </c>
      <c r="H4" s="3423"/>
      <c r="I4" s="3422" t="s">
        <v>801</v>
      </c>
      <c r="J4" s="3423"/>
      <c r="K4" s="514" t="s">
        <v>802</v>
      </c>
      <c r="L4" s="2119"/>
      <c r="M4" s="2120"/>
      <c r="N4" s="2120"/>
      <c r="O4" s="2120"/>
      <c r="P4" s="3424" t="s">
        <v>803</v>
      </c>
      <c r="Q4" s="3425"/>
      <c r="R4" s="3430" t="s">
        <v>799</v>
      </c>
      <c r="S4" s="3431"/>
      <c r="T4" s="3430" t="s">
        <v>800</v>
      </c>
      <c r="U4" s="3431"/>
      <c r="V4" s="3417" t="s">
        <v>801</v>
      </c>
      <c r="W4" s="3417"/>
      <c r="X4" s="1554"/>
      <c r="Y4" s="3430" t="s">
        <v>803</v>
      </c>
      <c r="Z4" s="3431"/>
      <c r="AA4" s="3419" t="s">
        <v>799</v>
      </c>
      <c r="AB4" s="3420" t="s">
        <v>800</v>
      </c>
      <c r="AC4" s="3419" t="s">
        <v>801</v>
      </c>
    </row>
    <row r="5" spans="1:29" ht="15">
      <c r="A5" s="515"/>
      <c r="B5" s="516"/>
      <c r="C5" s="3438" t="s">
        <v>2926</v>
      </c>
      <c r="D5" s="3439"/>
      <c r="E5" s="3458" t="s">
        <v>2927</v>
      </c>
      <c r="F5" s="3459"/>
      <c r="G5" s="3438" t="s">
        <v>2928</v>
      </c>
      <c r="H5" s="3439"/>
      <c r="I5" s="3438" t="s">
        <v>2929</v>
      </c>
      <c r="J5" s="3439"/>
      <c r="K5" s="514"/>
      <c r="L5" s="2119"/>
      <c r="M5" s="2120"/>
      <c r="N5" s="2120"/>
      <c r="O5" s="2120"/>
      <c r="P5" s="3426"/>
      <c r="Q5" s="3427"/>
      <c r="R5" s="3432"/>
      <c r="S5" s="3433"/>
      <c r="T5" s="3432"/>
      <c r="U5" s="3433"/>
      <c r="V5" s="3417"/>
      <c r="W5" s="3417"/>
      <c r="X5" s="1554"/>
      <c r="Y5" s="3432"/>
      <c r="Z5" s="3433"/>
      <c r="AA5" s="3420"/>
      <c r="AB5" s="3420"/>
      <c r="AC5" s="3420"/>
    </row>
    <row r="6" spans="1:29" ht="15.75" thickBot="1">
      <c r="A6" s="517"/>
      <c r="B6" s="518"/>
      <c r="C6" s="3436" t="s">
        <v>2930</v>
      </c>
      <c r="D6" s="3437"/>
      <c r="E6" s="3454" t="s">
        <v>2930</v>
      </c>
      <c r="F6" s="3455"/>
      <c r="G6" s="3436" t="s">
        <v>2930</v>
      </c>
      <c r="H6" s="3437"/>
      <c r="I6" s="3436" t="s">
        <v>2930</v>
      </c>
      <c r="J6" s="3437"/>
      <c r="K6" s="514" t="s">
        <v>528</v>
      </c>
      <c r="L6" s="2119"/>
      <c r="M6" s="2120"/>
      <c r="N6" s="2120"/>
      <c r="O6" s="2120"/>
      <c r="P6" s="3428"/>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c r="F7" s="522">
        <f>SUMIF(46:46,YEAR(E7)&amp;"-"&amp;MONTH(E7),47:47)</f>
        <v>0</v>
      </c>
      <c r="G7" s="523"/>
      <c r="H7" s="520">
        <f>SUMIF(46:46,YEAR(G7)&amp;"-"&amp;MONTH(G7),47:47)</f>
        <v>0</v>
      </c>
      <c r="I7" s="523"/>
      <c r="J7" s="520">
        <f>SUMIF(46:46,YEAR(I7)&amp;"-"&amp;MONTH(I7),47:47)</f>
        <v>0</v>
      </c>
      <c r="K7" s="524"/>
      <c r="L7" s="2121"/>
      <c r="M7" s="2122"/>
      <c r="N7" s="2122"/>
      <c r="O7" s="2122"/>
      <c r="P7" s="3447" t="s">
        <v>530</v>
      </c>
      <c r="Q7" s="3449"/>
      <c r="R7" s="1555" t="s">
        <v>8</v>
      </c>
      <c r="S7" s="1556">
        <f t="shared" ref="S7:S14" si="0">F7</f>
        <v>0</v>
      </c>
      <c r="T7" s="1555" t="s">
        <v>8</v>
      </c>
      <c r="U7" s="1556">
        <f t="shared" ref="U7:U14" si="1">H7</f>
        <v>0</v>
      </c>
      <c r="V7" s="1555" t="s">
        <v>8</v>
      </c>
      <c r="W7" s="1556">
        <f t="shared" ref="W7:W14"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447" t="s">
        <v>533</v>
      </c>
      <c r="Q8" s="3448"/>
      <c r="R8" s="1555" t="s">
        <v>8</v>
      </c>
      <c r="S8" s="1556">
        <f t="shared" si="0"/>
        <v>0</v>
      </c>
      <c r="T8" s="1555" t="s">
        <v>8</v>
      </c>
      <c r="U8" s="1556">
        <f t="shared" si="1"/>
        <v>0</v>
      </c>
      <c r="V8" s="1555" t="s">
        <v>8</v>
      </c>
      <c r="W8" s="1556">
        <f t="shared" si="2"/>
        <v>0</v>
      </c>
      <c r="X8" s="1557"/>
      <c r="Y8" s="3447" t="s">
        <v>533</v>
      </c>
      <c r="Z8" s="3448"/>
      <c r="AA8" s="1558" t="e">
        <f t="shared" ref="AA8:AA34" si="3">D8/F8</f>
        <v>#DIV/0!</v>
      </c>
      <c r="AB8" s="1558" t="e">
        <f t="shared" ref="AB8:AB34" si="4">D8/H8</f>
        <v>#DIV/0!</v>
      </c>
      <c r="AC8" s="1558" t="e">
        <f t="shared" ref="AC8:AC34" si="5">D8/J8</f>
        <v>#DIV/0!</v>
      </c>
    </row>
    <row r="9" spans="1:29" s="1216" customFormat="1" ht="15">
      <c r="A9" s="2754"/>
      <c r="B9" s="2761" t="s">
        <v>2752</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416" t="s">
        <v>535</v>
      </c>
      <c r="Q9" s="1147" t="str">
        <f t="shared" ref="Q9:Q14" si="6">B9</f>
        <v>用途</v>
      </c>
      <c r="R9" s="1555" t="s">
        <v>8</v>
      </c>
      <c r="S9" s="1556">
        <f t="shared" si="0"/>
        <v>100</v>
      </c>
      <c r="T9" s="1555" t="s">
        <v>8</v>
      </c>
      <c r="U9" s="1556">
        <f t="shared" si="1"/>
        <v>100</v>
      </c>
      <c r="V9" s="1555" t="s">
        <v>8</v>
      </c>
      <c r="W9" s="1556">
        <f t="shared" si="2"/>
        <v>100</v>
      </c>
      <c r="X9" s="1557"/>
      <c r="Y9" s="3341" t="s">
        <v>536</v>
      </c>
      <c r="Z9" s="1146" t="str">
        <f t="shared" ref="Z9:Z14" si="7">Q9</f>
        <v>用途</v>
      </c>
      <c r="AA9" s="1558">
        <f t="shared" si="3"/>
        <v>1</v>
      </c>
      <c r="AB9" s="1558">
        <f t="shared" si="4"/>
        <v>1</v>
      </c>
      <c r="AC9" s="1558">
        <f t="shared" si="5"/>
        <v>1</v>
      </c>
    </row>
    <row r="10" spans="1:29" s="1334" customFormat="1" ht="27">
      <c r="A10" s="2755"/>
      <c r="B10" s="2760" t="s">
        <v>2753</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7"/>
      <c r="B11" s="2763">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416"/>
      <c r="Q11" s="1147">
        <f t="shared" si="6"/>
        <v>111</v>
      </c>
      <c r="R11" s="1555" t="s">
        <v>8</v>
      </c>
      <c r="S11" s="1556">
        <f t="shared" si="0"/>
        <v>100</v>
      </c>
      <c r="T11" s="1555" t="s">
        <v>8</v>
      </c>
      <c r="U11" s="1556">
        <f t="shared" si="1"/>
        <v>100</v>
      </c>
      <c r="V11" s="1555" t="s">
        <v>8</v>
      </c>
      <c r="W11" s="1556">
        <f t="shared" si="2"/>
        <v>100</v>
      </c>
      <c r="X11" s="1557"/>
      <c r="Y11" s="3341"/>
      <c r="Z11" s="1146">
        <f t="shared" si="7"/>
        <v>111</v>
      </c>
      <c r="AA11" s="1558">
        <f t="shared" si="3"/>
        <v>1</v>
      </c>
      <c r="AB11" s="1558">
        <f t="shared" si="4"/>
        <v>1</v>
      </c>
      <c r="AC11" s="1558">
        <f t="shared" si="5"/>
        <v>1</v>
      </c>
    </row>
    <row r="12" spans="1:29" s="1216" customFormat="1" ht="15">
      <c r="A12" s="2757"/>
      <c r="B12" s="2763">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75" thickBot="1">
      <c r="A13" s="2758"/>
      <c r="B13" s="2764">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85.5">
      <c r="A14" s="2750" t="s">
        <v>2750</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450" t="s">
        <v>540</v>
      </c>
      <c r="Q14" s="1559" t="str">
        <f t="shared" si="6"/>
        <v>交通便捷度</v>
      </c>
      <c r="R14" s="1560" t="s">
        <v>8</v>
      </c>
      <c r="S14" s="1561">
        <f t="shared" si="0"/>
        <v>100</v>
      </c>
      <c r="T14" s="1560" t="s">
        <v>8</v>
      </c>
      <c r="U14" s="1561">
        <f t="shared" si="1"/>
        <v>100</v>
      </c>
      <c r="V14" s="1560" t="s">
        <v>8</v>
      </c>
      <c r="W14" s="1561">
        <f t="shared" si="2"/>
        <v>100</v>
      </c>
      <c r="X14" s="1554"/>
      <c r="Y14" s="3450"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451"/>
      <c r="Q15" s="1559"/>
      <c r="R15" s="1560"/>
      <c r="S15" s="1561"/>
      <c r="T15" s="1560"/>
      <c r="U15" s="1561"/>
      <c r="V15" s="1560"/>
      <c r="W15" s="1561"/>
      <c r="X15" s="1554"/>
      <c r="Y15" s="3451"/>
      <c r="Z15" s="1562"/>
      <c r="AA15" s="1563">
        <v>1</v>
      </c>
      <c r="AB15" s="1563">
        <v>1</v>
      </c>
      <c r="AC15" s="1563">
        <v>1</v>
      </c>
    </row>
    <row r="16" spans="1:29" ht="42.75">
      <c r="A16" s="532"/>
      <c r="B16" s="2568" t="s">
        <v>2543</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451"/>
      <c r="Q16" s="1559" t="str">
        <f>B16</f>
        <v>公共配套设施</v>
      </c>
      <c r="R16" s="1560" t="s">
        <v>8</v>
      </c>
      <c r="S16" s="1561">
        <f>F16</f>
        <v>100</v>
      </c>
      <c r="T16" s="1560" t="s">
        <v>8</v>
      </c>
      <c r="U16" s="1561">
        <f>H16</f>
        <v>100</v>
      </c>
      <c r="V16" s="1560" t="s">
        <v>8</v>
      </c>
      <c r="W16" s="1561">
        <f>J16</f>
        <v>100</v>
      </c>
      <c r="X16" s="1554"/>
      <c r="Y16" s="3451"/>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451"/>
      <c r="Q17" s="1559"/>
      <c r="R17" s="1560"/>
      <c r="S17" s="1561"/>
      <c r="T17" s="1560"/>
      <c r="U17" s="1561"/>
      <c r="V17" s="1560"/>
      <c r="W17" s="1561"/>
      <c r="X17" s="1554"/>
      <c r="Y17" s="3451"/>
      <c r="Z17" s="1562"/>
      <c r="AA17" s="1563">
        <v>1</v>
      </c>
      <c r="AB17" s="1563">
        <v>1</v>
      </c>
      <c r="AC17" s="1563">
        <v>1</v>
      </c>
    </row>
    <row r="18" spans="1:29" ht="28.5">
      <c r="A18" s="532"/>
      <c r="B18" s="2556" t="s">
        <v>2555</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451"/>
      <c r="Q18" s="2544" t="str">
        <f>B18</f>
        <v>基础设施水平</v>
      </c>
      <c r="R18" s="1560" t="s">
        <v>8</v>
      </c>
      <c r="S18" s="1561">
        <f>F18</f>
        <v>100</v>
      </c>
      <c r="T18" s="1560" t="s">
        <v>8</v>
      </c>
      <c r="U18" s="1561">
        <f>H18</f>
        <v>100</v>
      </c>
      <c r="V18" s="1560" t="s">
        <v>8</v>
      </c>
      <c r="W18" s="1561">
        <f>J18</f>
        <v>100</v>
      </c>
      <c r="X18" s="2546"/>
      <c r="Y18" s="3451"/>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451"/>
      <c r="Q19" s="2544"/>
      <c r="R19" s="1560"/>
      <c r="S19" s="1561"/>
      <c r="T19" s="1560"/>
      <c r="U19" s="1561"/>
      <c r="V19" s="1560"/>
      <c r="W19" s="1561"/>
      <c r="X19" s="2546"/>
      <c r="Y19" s="3451"/>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451"/>
      <c r="Q20" s="1559" t="str">
        <f>B20</f>
        <v>自然及人文环境</v>
      </c>
      <c r="R20" s="1560" t="s">
        <v>8</v>
      </c>
      <c r="S20" s="1561">
        <f>F20</f>
        <v>100</v>
      </c>
      <c r="T20" s="1560" t="s">
        <v>8</v>
      </c>
      <c r="U20" s="1561">
        <f>H20</f>
        <v>100</v>
      </c>
      <c r="V20" s="1560" t="s">
        <v>8</v>
      </c>
      <c r="W20" s="1561">
        <f>J20</f>
        <v>100</v>
      </c>
      <c r="X20" s="1554"/>
      <c r="Y20" s="3451"/>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451"/>
      <c r="Q21" s="1559"/>
      <c r="R21" s="1560"/>
      <c r="S21" s="1561"/>
      <c r="T21" s="1560"/>
      <c r="U21" s="1561"/>
      <c r="V21" s="1560"/>
      <c r="W21" s="1561"/>
      <c r="X21" s="1554"/>
      <c r="Y21" s="3451"/>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451"/>
      <c r="Q22" s="1559" t="str">
        <f>B22</f>
        <v>楼层</v>
      </c>
      <c r="R22" s="1560" t="s">
        <v>8</v>
      </c>
      <c r="S22" s="1561">
        <f>F22</f>
        <v>100</v>
      </c>
      <c r="T22" s="1560" t="s">
        <v>8</v>
      </c>
      <c r="U22" s="1561">
        <f>H22</f>
        <v>100</v>
      </c>
      <c r="V22" s="1560" t="s">
        <v>8</v>
      </c>
      <c r="W22" s="1561">
        <f>J22</f>
        <v>100</v>
      </c>
      <c r="X22" s="1554"/>
      <c r="Y22" s="3451"/>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451"/>
      <c r="Q23" s="1559">
        <f>B23</f>
        <v>111</v>
      </c>
      <c r="R23" s="1560" t="s">
        <v>8</v>
      </c>
      <c r="S23" s="1561">
        <f>F23</f>
        <v>100</v>
      </c>
      <c r="T23" s="1560" t="s">
        <v>8</v>
      </c>
      <c r="U23" s="1561">
        <f>H23</f>
        <v>100</v>
      </c>
      <c r="V23" s="1560" t="s">
        <v>8</v>
      </c>
      <c r="W23" s="1561">
        <f>J23</f>
        <v>100</v>
      </c>
      <c r="X23" s="1554"/>
      <c r="Y23" s="3451"/>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451"/>
      <c r="Q24" s="1559">
        <f t="shared" ref="Q24:Q34" si="11">B24</f>
        <v>111</v>
      </c>
      <c r="R24" s="1560" t="s">
        <v>8</v>
      </c>
      <c r="S24" s="1561">
        <f>F24</f>
        <v>100</v>
      </c>
      <c r="T24" s="1560" t="s">
        <v>8</v>
      </c>
      <c r="U24" s="1561">
        <f>H24</f>
        <v>100</v>
      </c>
      <c r="V24" s="1560" t="s">
        <v>8</v>
      </c>
      <c r="W24" s="1561">
        <f>J24</f>
        <v>100</v>
      </c>
      <c r="X24" s="1554"/>
      <c r="Y24" s="3451"/>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451"/>
      <c r="Q25" s="1147">
        <f t="shared" si="11"/>
        <v>111</v>
      </c>
      <c r="R25" s="1555" t="s">
        <v>8</v>
      </c>
      <c r="S25" s="1556">
        <f>F25</f>
        <v>100</v>
      </c>
      <c r="T25" s="1555" t="s">
        <v>8</v>
      </c>
      <c r="U25" s="1556">
        <f>H25</f>
        <v>100</v>
      </c>
      <c r="V25" s="1555" t="s">
        <v>8</v>
      </c>
      <c r="W25" s="1556">
        <f>J25</f>
        <v>100</v>
      </c>
      <c r="X25" s="1557"/>
      <c r="Y25" s="3451"/>
      <c r="Z25" s="1146">
        <f>Q25</f>
        <v>111</v>
      </c>
      <c r="AA25" s="1563">
        <f>D25/F25</f>
        <v>1</v>
      </c>
      <c r="AB25" s="1563">
        <f>D25/H25</f>
        <v>1</v>
      </c>
      <c r="AC25" s="1563">
        <f>D25/J25</f>
        <v>1</v>
      </c>
    </row>
    <row r="26" spans="1:29" ht="15">
      <c r="A26" s="2747" t="s">
        <v>2751</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452"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453"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453"/>
      <c r="Q27" s="1591" t="str">
        <f t="shared" si="11"/>
        <v>成新率</v>
      </c>
      <c r="R27" s="1564" t="s">
        <v>8</v>
      </c>
      <c r="S27" s="1565" t="e">
        <f t="shared" si="12"/>
        <v>#N/A</v>
      </c>
      <c r="T27" s="1564" t="s">
        <v>8</v>
      </c>
      <c r="U27" s="1565" t="e">
        <f t="shared" si="13"/>
        <v>#N/A</v>
      </c>
      <c r="V27" s="1564" t="s">
        <v>8</v>
      </c>
      <c r="W27" s="1565" t="e">
        <f t="shared" si="14"/>
        <v>#N/A</v>
      </c>
      <c r="X27" s="1566"/>
      <c r="Y27" s="3453"/>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453"/>
      <c r="Q28" s="1559" t="str">
        <f t="shared" si="11"/>
        <v>物业等级</v>
      </c>
      <c r="R28" s="1560" t="s">
        <v>8</v>
      </c>
      <c r="S28" s="1561">
        <f t="shared" si="12"/>
        <v>100</v>
      </c>
      <c r="T28" s="1560" t="s">
        <v>8</v>
      </c>
      <c r="U28" s="1561">
        <f t="shared" si="13"/>
        <v>100</v>
      </c>
      <c r="V28" s="1560" t="s">
        <v>8</v>
      </c>
      <c r="W28" s="1561">
        <f t="shared" si="14"/>
        <v>100</v>
      </c>
      <c r="X28" s="1554"/>
      <c r="Y28" s="3453"/>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453"/>
      <c r="Q29" s="1559" t="str">
        <f t="shared" si="11"/>
        <v>有无电梯</v>
      </c>
      <c r="R29" s="1560" t="s">
        <v>8</v>
      </c>
      <c r="S29" s="1561">
        <f t="shared" si="12"/>
        <v>100</v>
      </c>
      <c r="T29" s="1560" t="s">
        <v>8</v>
      </c>
      <c r="U29" s="1561">
        <f t="shared" si="13"/>
        <v>100</v>
      </c>
      <c r="V29" s="1560" t="s">
        <v>8</v>
      </c>
      <c r="W29" s="1561">
        <f t="shared" si="14"/>
        <v>100</v>
      </c>
      <c r="X29" s="1554"/>
      <c r="Y29" s="3453"/>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453"/>
      <c r="Q30" s="1559" t="str">
        <f t="shared" si="11"/>
        <v>建筑面积</v>
      </c>
      <c r="R30" s="1560" t="s">
        <v>8</v>
      </c>
      <c r="S30" s="1561" t="e">
        <f t="shared" si="12"/>
        <v>#N/A</v>
      </c>
      <c r="T30" s="1560" t="s">
        <v>8</v>
      </c>
      <c r="U30" s="1561" t="e">
        <f t="shared" si="13"/>
        <v>#N/A</v>
      </c>
      <c r="V30" s="1560" t="s">
        <v>8</v>
      </c>
      <c r="W30" s="1561" t="e">
        <f t="shared" si="14"/>
        <v>#N/A</v>
      </c>
      <c r="X30" s="1554"/>
      <c r="Y30" s="3453"/>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453"/>
      <c r="Q31" s="1147" t="str">
        <f t="shared" si="11"/>
        <v>是否封闭</v>
      </c>
      <c r="R31" s="1555" t="s">
        <v>8</v>
      </c>
      <c r="S31" s="1556">
        <f t="shared" si="12"/>
        <v>100</v>
      </c>
      <c r="T31" s="1555" t="s">
        <v>8</v>
      </c>
      <c r="U31" s="1556">
        <f t="shared" si="13"/>
        <v>100</v>
      </c>
      <c r="V31" s="1555" t="s">
        <v>8</v>
      </c>
      <c r="W31" s="1556">
        <f t="shared" si="14"/>
        <v>100</v>
      </c>
      <c r="X31" s="1557"/>
      <c r="Y31" s="3453"/>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453" t="s">
        <v>550</v>
      </c>
      <c r="Q32" s="1559">
        <f t="shared" si="11"/>
        <v>111</v>
      </c>
      <c r="R32" s="1560" t="s">
        <v>8</v>
      </c>
      <c r="S32" s="1561">
        <f t="shared" si="12"/>
        <v>100</v>
      </c>
      <c r="T32" s="1560" t="s">
        <v>8</v>
      </c>
      <c r="U32" s="1561">
        <f t="shared" si="13"/>
        <v>100</v>
      </c>
      <c r="V32" s="1560" t="s">
        <v>8</v>
      </c>
      <c r="W32" s="1561">
        <f t="shared" si="14"/>
        <v>100</v>
      </c>
      <c r="X32" s="1554"/>
      <c r="Y32" s="3453"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453"/>
      <c r="Q33" s="1559">
        <f t="shared" si="11"/>
        <v>111</v>
      </c>
      <c r="R33" s="1560" t="s">
        <v>8</v>
      </c>
      <c r="S33" s="1561">
        <f t="shared" si="12"/>
        <v>100</v>
      </c>
      <c r="T33" s="1560" t="s">
        <v>8</v>
      </c>
      <c r="U33" s="1561">
        <f t="shared" si="13"/>
        <v>100</v>
      </c>
      <c r="V33" s="1560" t="s">
        <v>8</v>
      </c>
      <c r="W33" s="1561">
        <f t="shared" si="14"/>
        <v>100</v>
      </c>
      <c r="X33" s="1554"/>
      <c r="Y33" s="3453"/>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453"/>
      <c r="Q34" s="1559">
        <f t="shared" si="11"/>
        <v>111</v>
      </c>
      <c r="R34" s="1560" t="s">
        <v>8</v>
      </c>
      <c r="S34" s="1561">
        <f t="shared" si="12"/>
        <v>100</v>
      </c>
      <c r="T34" s="1560" t="s">
        <v>8</v>
      </c>
      <c r="U34" s="1561">
        <f t="shared" si="13"/>
        <v>100</v>
      </c>
      <c r="V34" s="1560" t="s">
        <v>8</v>
      </c>
      <c r="W34" s="1561">
        <f t="shared" si="14"/>
        <v>100</v>
      </c>
      <c r="X34" s="1554"/>
      <c r="Y34" s="3453"/>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416" t="str">
        <f>A35</f>
        <v>成交单价（元/平方米）</v>
      </c>
      <c r="Q35" s="3416"/>
      <c r="R35" s="3498">
        <f>E35</f>
        <v>0</v>
      </c>
      <c r="S35" s="3498"/>
      <c r="T35" s="3498">
        <f>G35</f>
        <v>0</v>
      </c>
      <c r="U35" s="3498"/>
      <c r="V35" s="3498">
        <f>I35</f>
        <v>0</v>
      </c>
      <c r="W35" s="3498"/>
      <c r="X35" s="1546"/>
      <c r="Y35" s="1568"/>
      <c r="Z35" s="1546"/>
      <c r="AA35" s="1546"/>
      <c r="AB35" s="1546"/>
      <c r="AC35" s="1546"/>
    </row>
    <row r="36" spans="1:29" ht="15.75" thickBot="1">
      <c r="A36" s="615" t="s">
        <v>2756</v>
      </c>
      <c r="B36" s="888"/>
      <c r="C36" s="2598" t="e">
        <f>R37</f>
        <v>#DIV/0!</v>
      </c>
      <c r="D36" s="2599"/>
      <c r="E36" s="2600" t="e">
        <f>R36</f>
        <v>#DIV/0!</v>
      </c>
      <c r="F36" s="2600"/>
      <c r="G36" s="2598" t="e">
        <f>T36</f>
        <v>#DIV/0!</v>
      </c>
      <c r="H36" s="2599"/>
      <c r="I36" s="2600" t="e">
        <f>V36</f>
        <v>#DIV/0!</v>
      </c>
      <c r="J36" s="2599"/>
      <c r="K36" s="1598"/>
      <c r="L36" s="2130"/>
      <c r="M36" s="2131"/>
      <c r="N36" s="2120"/>
      <c r="O36" s="2131"/>
      <c r="P36" s="3416" t="str">
        <f>A36</f>
        <v>比较价格（元/平方米）</v>
      </c>
      <c r="Q36" s="3416"/>
      <c r="R36" s="3498" t="e">
        <f>IF(F1="售价",ROUND(PRODUCT(R35,AA7:AA34),0),ROUND(PRODUCT(R35,AA7:AA34),1))</f>
        <v>#DIV/0!</v>
      </c>
      <c r="S36" s="3498"/>
      <c r="T36" s="3498" t="e">
        <f>IF(F1="售价",ROUND(PRODUCT(T35,AB7:AB34),0),ROUND(PRODUCT(T35,AB7:AB34),1))</f>
        <v>#DIV/0!</v>
      </c>
      <c r="U36" s="3498"/>
      <c r="V36" s="3498" t="e">
        <f>IF(F1="售价",ROUND(PRODUCT(V35,AC7:AC34),0),ROUND(PRODUCT(V35,AC7:AC34),1))</f>
        <v>#DIV/0!</v>
      </c>
      <c r="W36" s="3498"/>
      <c r="X36" s="1546"/>
      <c r="Y36" s="1546"/>
      <c r="Z36" s="1546"/>
      <c r="AA36" s="1546"/>
      <c r="AB36" s="1546"/>
      <c r="AC36" s="1546"/>
    </row>
    <row r="37" spans="1:29" ht="15.75" thickBot="1">
      <c r="A37" s="621" t="s">
        <v>2932</v>
      </c>
      <c r="B37" s="622"/>
      <c r="C37" s="2601" t="e">
        <f>R37</f>
        <v>#DIV/0!</v>
      </c>
      <c r="D37" s="2601"/>
      <c r="E37" s="2601"/>
      <c r="F37" s="2601"/>
      <c r="G37" s="2601"/>
      <c r="H37" s="2601"/>
      <c r="I37" s="2601"/>
      <c r="J37" s="2601"/>
      <c r="K37" s="1599"/>
      <c r="L37" s="2130"/>
      <c r="M37" s="2131"/>
      <c r="N37" s="2131"/>
      <c r="O37" s="2131"/>
      <c r="P37" s="3413" t="str">
        <f>A37</f>
        <v>估价对象XX用房的比较价格（楼面单价，元/平方米）</v>
      </c>
      <c r="Q37" s="3414"/>
      <c r="R37" s="3497" t="e">
        <f>IF(F1="售价",ROUND(AVERAGE(R36:V36),0),ROUND(AVERAGE(R36:V36),1))</f>
        <v>#DIV/0!</v>
      </c>
      <c r="S37" s="3497"/>
      <c r="T37" s="3497"/>
      <c r="U37" s="3497"/>
      <c r="V37" s="3497"/>
      <c r="W37" s="3497"/>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642" t="str">
        <f>YEAR(C7)&amp;"-"&amp;MONTH(C7)</f>
        <v>2020-6</v>
      </c>
      <c r="D46" s="2644">
        <f>EDATE(C46,-1)</f>
        <v>43952</v>
      </c>
      <c r="E46" s="2644">
        <f t="shared" ref="E46:O46" si="16">EDATE(D46,-1)</f>
        <v>43922</v>
      </c>
      <c r="F46" s="2644">
        <f t="shared" si="16"/>
        <v>43891</v>
      </c>
      <c r="G46" s="2644">
        <f t="shared" si="16"/>
        <v>43862</v>
      </c>
      <c r="H46" s="2644">
        <f t="shared" si="16"/>
        <v>43831</v>
      </c>
      <c r="I46" s="2644">
        <f t="shared" si="16"/>
        <v>43800</v>
      </c>
      <c r="J46" s="2644">
        <f t="shared" si="16"/>
        <v>43770</v>
      </c>
      <c r="K46" s="2644">
        <f t="shared" si="16"/>
        <v>43739</v>
      </c>
      <c r="L46" s="2644">
        <f t="shared" si="16"/>
        <v>43709</v>
      </c>
      <c r="M46" s="2644">
        <f t="shared" si="16"/>
        <v>43678</v>
      </c>
      <c r="N46" s="2644">
        <f t="shared" si="16"/>
        <v>43647</v>
      </c>
      <c r="O46" s="2644">
        <f t="shared" si="16"/>
        <v>43617</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2554</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2555</v>
      </c>
      <c r="C65" s="2563" t="s">
        <v>2556</v>
      </c>
      <c r="D65" s="2563" t="s">
        <v>2557</v>
      </c>
      <c r="E65" s="2563" t="s">
        <v>2558</v>
      </c>
      <c r="F65" s="2563" t="s">
        <v>2559</v>
      </c>
      <c r="G65" s="2563" t="s">
        <v>2560</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2300</v>
      </c>
      <c r="C1" s="3526" t="s">
        <v>2301</v>
      </c>
      <c r="D1" s="3527"/>
      <c r="E1" s="3527"/>
      <c r="F1" s="3527"/>
      <c r="G1" s="3527"/>
      <c r="H1" s="3527"/>
      <c r="I1" s="3527"/>
      <c r="J1" s="3527"/>
      <c r="K1" s="3527"/>
      <c r="L1" s="3527"/>
      <c r="M1" s="3527"/>
      <c r="N1" s="3527"/>
      <c r="O1" s="3527"/>
      <c r="P1" s="3527"/>
      <c r="Q1" s="3527"/>
      <c r="R1" s="3527"/>
      <c r="S1" s="3528"/>
      <c r="T1" s="2220" t="s">
        <v>2302</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2303</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2919" t="s">
        <v>2925</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2921" t="s">
        <v>2924</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2921" t="s">
        <v>2923</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2920"/>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2919" t="s">
        <v>2936</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2919" t="s">
        <v>2922</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2919" t="s">
        <v>2921</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2304</v>
      </c>
      <c r="B17" s="2264" t="s">
        <v>2305</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523" t="s">
        <v>20</v>
      </c>
      <c r="D22" s="3524"/>
      <c r="E22" s="3524"/>
      <c r="F22" s="3524"/>
      <c r="G22" s="3524"/>
      <c r="H22" s="3524"/>
      <c r="I22" s="3524"/>
      <c r="J22" s="3524"/>
      <c r="K22" s="3524"/>
      <c r="L22" s="3524"/>
      <c r="M22" s="3524"/>
      <c r="N22" s="3524"/>
      <c r="O22" s="3524"/>
      <c r="P22" s="3524"/>
      <c r="Q22" s="3525"/>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781" customWidth="1"/>
    <col min="2" max="2" width="13.25" style="2787" customWidth="1"/>
    <col min="3" max="3" width="15.625" style="2787" customWidth="1"/>
    <col min="4" max="4" width="9.375" style="2787" bestFit="1" customWidth="1"/>
    <col min="5" max="5" width="13.5" style="2787" customWidth="1"/>
    <col min="6" max="6" width="9" style="2787"/>
    <col min="7" max="7" width="9.375" style="2787" bestFit="1" customWidth="1"/>
    <col min="8" max="9" width="9" style="2787"/>
    <col min="10" max="10" width="9.375" style="2787" bestFit="1" customWidth="1"/>
    <col min="11" max="11" width="4" style="2781" customWidth="1"/>
    <col min="12" max="12" width="5.125" style="2787" customWidth="1"/>
    <col min="13" max="13" width="13.75" style="2787" customWidth="1"/>
    <col min="14" max="256" width="9" style="2787"/>
    <col min="257" max="257" width="4.875" style="2779" customWidth="1"/>
    <col min="258" max="258" width="13.25" style="2779" customWidth="1"/>
    <col min="259" max="259" width="15.625" style="2779" customWidth="1"/>
    <col min="260" max="260" width="9.375" style="2779" bestFit="1" customWidth="1"/>
    <col min="261" max="261" width="13.5" style="2779" customWidth="1"/>
    <col min="262" max="262" width="9" style="2779"/>
    <col min="263" max="263" width="9.375" style="2779" bestFit="1" customWidth="1"/>
    <col min="264" max="265" width="9" style="2779"/>
    <col min="266" max="266" width="9.375" style="2779" bestFit="1" customWidth="1"/>
    <col min="267" max="267" width="4" style="2779" customWidth="1"/>
    <col min="268" max="268" width="5.125" style="2779" customWidth="1"/>
    <col min="269" max="269" width="13.75" style="2779" customWidth="1"/>
    <col min="270" max="512" width="9" style="2779"/>
    <col min="513" max="513" width="4.875" style="2779" customWidth="1"/>
    <col min="514" max="514" width="13.25" style="2779" customWidth="1"/>
    <col min="515" max="515" width="15.625" style="2779" customWidth="1"/>
    <col min="516" max="516" width="9.375" style="2779" bestFit="1" customWidth="1"/>
    <col min="517" max="517" width="13.5" style="2779" customWidth="1"/>
    <col min="518" max="518" width="9" style="2779"/>
    <col min="519" max="519" width="9.375" style="2779" bestFit="1" customWidth="1"/>
    <col min="520" max="521" width="9" style="2779"/>
    <col min="522" max="522" width="9.375" style="2779" bestFit="1" customWidth="1"/>
    <col min="523" max="523" width="4" style="2779" customWidth="1"/>
    <col min="524" max="524" width="5.125" style="2779" customWidth="1"/>
    <col min="525" max="525" width="13.75" style="2779" customWidth="1"/>
    <col min="526" max="768" width="9" style="2779"/>
    <col min="769" max="769" width="4.875" style="2779" customWidth="1"/>
    <col min="770" max="770" width="13.25" style="2779" customWidth="1"/>
    <col min="771" max="771" width="15.625" style="2779" customWidth="1"/>
    <col min="772" max="772" width="9.375" style="2779" bestFit="1" customWidth="1"/>
    <col min="773" max="773" width="13.5" style="2779" customWidth="1"/>
    <col min="774" max="774" width="9" style="2779"/>
    <col min="775" max="775" width="9.375" style="2779" bestFit="1" customWidth="1"/>
    <col min="776" max="777" width="9" style="2779"/>
    <col min="778" max="778" width="9.375" style="2779" bestFit="1" customWidth="1"/>
    <col min="779" max="779" width="4" style="2779" customWidth="1"/>
    <col min="780" max="780" width="5.125" style="2779" customWidth="1"/>
    <col min="781" max="781" width="13.75" style="2779" customWidth="1"/>
    <col min="782" max="1024" width="9" style="2779"/>
    <col min="1025" max="1025" width="4.875" style="2779" customWidth="1"/>
    <col min="1026" max="1026" width="13.25" style="2779" customWidth="1"/>
    <col min="1027" max="1027" width="15.625" style="2779" customWidth="1"/>
    <col min="1028" max="1028" width="9.375" style="2779" bestFit="1" customWidth="1"/>
    <col min="1029" max="1029" width="13.5" style="2779" customWidth="1"/>
    <col min="1030" max="1030" width="9" style="2779"/>
    <col min="1031" max="1031" width="9.375" style="2779" bestFit="1" customWidth="1"/>
    <col min="1032" max="1033" width="9" style="2779"/>
    <col min="1034" max="1034" width="9.375" style="2779" bestFit="1" customWidth="1"/>
    <col min="1035" max="1035" width="4" style="2779" customWidth="1"/>
    <col min="1036" max="1036" width="5.125" style="2779" customWidth="1"/>
    <col min="1037" max="1037" width="13.75" style="2779" customWidth="1"/>
    <col min="1038" max="1280" width="9" style="2779"/>
    <col min="1281" max="1281" width="4.875" style="2779" customWidth="1"/>
    <col min="1282" max="1282" width="13.25" style="2779" customWidth="1"/>
    <col min="1283" max="1283" width="15.625" style="2779" customWidth="1"/>
    <col min="1284" max="1284" width="9.375" style="2779" bestFit="1" customWidth="1"/>
    <col min="1285" max="1285" width="13.5" style="2779" customWidth="1"/>
    <col min="1286" max="1286" width="9" style="2779"/>
    <col min="1287" max="1287" width="9.375" style="2779" bestFit="1" customWidth="1"/>
    <col min="1288" max="1289" width="9" style="2779"/>
    <col min="1290" max="1290" width="9.375" style="2779" bestFit="1" customWidth="1"/>
    <col min="1291" max="1291" width="4" style="2779" customWidth="1"/>
    <col min="1292" max="1292" width="5.125" style="2779" customWidth="1"/>
    <col min="1293" max="1293" width="13.75" style="2779" customWidth="1"/>
    <col min="1294" max="1536" width="9" style="2779"/>
    <col min="1537" max="1537" width="4.875" style="2779" customWidth="1"/>
    <col min="1538" max="1538" width="13.25" style="2779" customWidth="1"/>
    <col min="1539" max="1539" width="15.625" style="2779" customWidth="1"/>
    <col min="1540" max="1540" width="9.375" style="2779" bestFit="1" customWidth="1"/>
    <col min="1541" max="1541" width="13.5" style="2779" customWidth="1"/>
    <col min="1542" max="1542" width="9" style="2779"/>
    <col min="1543" max="1543" width="9.375" style="2779" bestFit="1" customWidth="1"/>
    <col min="1544" max="1545" width="9" style="2779"/>
    <col min="1546" max="1546" width="9.375" style="2779" bestFit="1" customWidth="1"/>
    <col min="1547" max="1547" width="4" style="2779" customWidth="1"/>
    <col min="1548" max="1548" width="5.125" style="2779" customWidth="1"/>
    <col min="1549" max="1549" width="13.75" style="2779" customWidth="1"/>
    <col min="1550" max="1792" width="9" style="2779"/>
    <col min="1793" max="1793" width="4.875" style="2779" customWidth="1"/>
    <col min="1794" max="1794" width="13.25" style="2779" customWidth="1"/>
    <col min="1795" max="1795" width="15.625" style="2779" customWidth="1"/>
    <col min="1796" max="1796" width="9.375" style="2779" bestFit="1" customWidth="1"/>
    <col min="1797" max="1797" width="13.5" style="2779" customWidth="1"/>
    <col min="1798" max="1798" width="9" style="2779"/>
    <col min="1799" max="1799" width="9.375" style="2779" bestFit="1" customWidth="1"/>
    <col min="1800" max="1801" width="9" style="2779"/>
    <col min="1802" max="1802" width="9.375" style="2779" bestFit="1" customWidth="1"/>
    <col min="1803" max="1803" width="4" style="2779" customWidth="1"/>
    <col min="1804" max="1804" width="5.125" style="2779" customWidth="1"/>
    <col min="1805" max="1805" width="13.75" style="2779" customWidth="1"/>
    <col min="1806" max="2048" width="9" style="2779"/>
    <col min="2049" max="2049" width="4.875" style="2779" customWidth="1"/>
    <col min="2050" max="2050" width="13.25" style="2779" customWidth="1"/>
    <col min="2051" max="2051" width="15.625" style="2779" customWidth="1"/>
    <col min="2052" max="2052" width="9.375" style="2779" bestFit="1" customWidth="1"/>
    <col min="2053" max="2053" width="13.5" style="2779" customWidth="1"/>
    <col min="2054" max="2054" width="9" style="2779"/>
    <col min="2055" max="2055" width="9.375" style="2779" bestFit="1" customWidth="1"/>
    <col min="2056" max="2057" width="9" style="2779"/>
    <col min="2058" max="2058" width="9.375" style="2779" bestFit="1" customWidth="1"/>
    <col min="2059" max="2059" width="4" style="2779" customWidth="1"/>
    <col min="2060" max="2060" width="5.125" style="2779" customWidth="1"/>
    <col min="2061" max="2061" width="13.75" style="2779" customWidth="1"/>
    <col min="2062" max="2304" width="9" style="2779"/>
    <col min="2305" max="2305" width="4.875" style="2779" customWidth="1"/>
    <col min="2306" max="2306" width="13.25" style="2779" customWidth="1"/>
    <col min="2307" max="2307" width="15.625" style="2779" customWidth="1"/>
    <col min="2308" max="2308" width="9.375" style="2779" bestFit="1" customWidth="1"/>
    <col min="2309" max="2309" width="13.5" style="2779" customWidth="1"/>
    <col min="2310" max="2310" width="9" style="2779"/>
    <col min="2311" max="2311" width="9.375" style="2779" bestFit="1" customWidth="1"/>
    <col min="2312" max="2313" width="9" style="2779"/>
    <col min="2314" max="2314" width="9.375" style="2779" bestFit="1" customWidth="1"/>
    <col min="2315" max="2315" width="4" style="2779" customWidth="1"/>
    <col min="2316" max="2316" width="5.125" style="2779" customWidth="1"/>
    <col min="2317" max="2317" width="13.75" style="2779" customWidth="1"/>
    <col min="2318" max="2560" width="9" style="2779"/>
    <col min="2561" max="2561" width="4.875" style="2779" customWidth="1"/>
    <col min="2562" max="2562" width="13.25" style="2779" customWidth="1"/>
    <col min="2563" max="2563" width="15.625" style="2779" customWidth="1"/>
    <col min="2564" max="2564" width="9.375" style="2779" bestFit="1" customWidth="1"/>
    <col min="2565" max="2565" width="13.5" style="2779" customWidth="1"/>
    <col min="2566" max="2566" width="9" style="2779"/>
    <col min="2567" max="2567" width="9.375" style="2779" bestFit="1" customWidth="1"/>
    <col min="2568" max="2569" width="9" style="2779"/>
    <col min="2570" max="2570" width="9.375" style="2779" bestFit="1" customWidth="1"/>
    <col min="2571" max="2571" width="4" style="2779" customWidth="1"/>
    <col min="2572" max="2572" width="5.125" style="2779" customWidth="1"/>
    <col min="2573" max="2573" width="13.75" style="2779" customWidth="1"/>
    <col min="2574" max="2816" width="9" style="2779"/>
    <col min="2817" max="2817" width="4.875" style="2779" customWidth="1"/>
    <col min="2818" max="2818" width="13.25" style="2779" customWidth="1"/>
    <col min="2819" max="2819" width="15.625" style="2779" customWidth="1"/>
    <col min="2820" max="2820" width="9.375" style="2779" bestFit="1" customWidth="1"/>
    <col min="2821" max="2821" width="13.5" style="2779" customWidth="1"/>
    <col min="2822" max="2822" width="9" style="2779"/>
    <col min="2823" max="2823" width="9.375" style="2779" bestFit="1" customWidth="1"/>
    <col min="2824" max="2825" width="9" style="2779"/>
    <col min="2826" max="2826" width="9.375" style="2779" bestFit="1" customWidth="1"/>
    <col min="2827" max="2827" width="4" style="2779" customWidth="1"/>
    <col min="2828" max="2828" width="5.125" style="2779" customWidth="1"/>
    <col min="2829" max="2829" width="13.75" style="2779" customWidth="1"/>
    <col min="2830" max="3072" width="9" style="2779"/>
    <col min="3073" max="3073" width="4.875" style="2779" customWidth="1"/>
    <col min="3074" max="3074" width="13.25" style="2779" customWidth="1"/>
    <col min="3075" max="3075" width="15.625" style="2779" customWidth="1"/>
    <col min="3076" max="3076" width="9.375" style="2779" bestFit="1" customWidth="1"/>
    <col min="3077" max="3077" width="13.5" style="2779" customWidth="1"/>
    <col min="3078" max="3078" width="9" style="2779"/>
    <col min="3079" max="3079" width="9.375" style="2779" bestFit="1" customWidth="1"/>
    <col min="3080" max="3081" width="9" style="2779"/>
    <col min="3082" max="3082" width="9.375" style="2779" bestFit="1" customWidth="1"/>
    <col min="3083" max="3083" width="4" style="2779" customWidth="1"/>
    <col min="3084" max="3084" width="5.125" style="2779" customWidth="1"/>
    <col min="3085" max="3085" width="13.75" style="2779" customWidth="1"/>
    <col min="3086" max="3328" width="9" style="2779"/>
    <col min="3329" max="3329" width="4.875" style="2779" customWidth="1"/>
    <col min="3330" max="3330" width="13.25" style="2779" customWidth="1"/>
    <col min="3331" max="3331" width="15.625" style="2779" customWidth="1"/>
    <col min="3332" max="3332" width="9.375" style="2779" bestFit="1" customWidth="1"/>
    <col min="3333" max="3333" width="13.5" style="2779" customWidth="1"/>
    <col min="3334" max="3334" width="9" style="2779"/>
    <col min="3335" max="3335" width="9.375" style="2779" bestFit="1" customWidth="1"/>
    <col min="3336" max="3337" width="9" style="2779"/>
    <col min="3338" max="3338" width="9.375" style="2779" bestFit="1" customWidth="1"/>
    <col min="3339" max="3339" width="4" style="2779" customWidth="1"/>
    <col min="3340" max="3340" width="5.125" style="2779" customWidth="1"/>
    <col min="3341" max="3341" width="13.75" style="2779" customWidth="1"/>
    <col min="3342" max="3584" width="9" style="2779"/>
    <col min="3585" max="3585" width="4.875" style="2779" customWidth="1"/>
    <col min="3586" max="3586" width="13.25" style="2779" customWidth="1"/>
    <col min="3587" max="3587" width="15.625" style="2779" customWidth="1"/>
    <col min="3588" max="3588" width="9.375" style="2779" bestFit="1" customWidth="1"/>
    <col min="3589" max="3589" width="13.5" style="2779" customWidth="1"/>
    <col min="3590" max="3590" width="9" style="2779"/>
    <col min="3591" max="3591" width="9.375" style="2779" bestFit="1" customWidth="1"/>
    <col min="3592" max="3593" width="9" style="2779"/>
    <col min="3594" max="3594" width="9.375" style="2779" bestFit="1" customWidth="1"/>
    <col min="3595" max="3595" width="4" style="2779" customWidth="1"/>
    <col min="3596" max="3596" width="5.125" style="2779" customWidth="1"/>
    <col min="3597" max="3597" width="13.75" style="2779" customWidth="1"/>
    <col min="3598" max="3840" width="9" style="2779"/>
    <col min="3841" max="3841" width="4.875" style="2779" customWidth="1"/>
    <col min="3842" max="3842" width="13.25" style="2779" customWidth="1"/>
    <col min="3843" max="3843" width="15.625" style="2779" customWidth="1"/>
    <col min="3844" max="3844" width="9.375" style="2779" bestFit="1" customWidth="1"/>
    <col min="3845" max="3845" width="13.5" style="2779" customWidth="1"/>
    <col min="3846" max="3846" width="9" style="2779"/>
    <col min="3847" max="3847" width="9.375" style="2779" bestFit="1" customWidth="1"/>
    <col min="3848" max="3849" width="9" style="2779"/>
    <col min="3850" max="3850" width="9.375" style="2779" bestFit="1" customWidth="1"/>
    <col min="3851" max="3851" width="4" style="2779" customWidth="1"/>
    <col min="3852" max="3852" width="5.125" style="2779" customWidth="1"/>
    <col min="3853" max="3853" width="13.75" style="2779" customWidth="1"/>
    <col min="3854" max="4096" width="9" style="2779"/>
    <col min="4097" max="4097" width="4.875" style="2779" customWidth="1"/>
    <col min="4098" max="4098" width="13.25" style="2779" customWidth="1"/>
    <col min="4099" max="4099" width="15.625" style="2779" customWidth="1"/>
    <col min="4100" max="4100" width="9.375" style="2779" bestFit="1" customWidth="1"/>
    <col min="4101" max="4101" width="13.5" style="2779" customWidth="1"/>
    <col min="4102" max="4102" width="9" style="2779"/>
    <col min="4103" max="4103" width="9.375" style="2779" bestFit="1" customWidth="1"/>
    <col min="4104" max="4105" width="9" style="2779"/>
    <col min="4106" max="4106" width="9.375" style="2779" bestFit="1" customWidth="1"/>
    <col min="4107" max="4107" width="4" style="2779" customWidth="1"/>
    <col min="4108" max="4108" width="5.125" style="2779" customWidth="1"/>
    <col min="4109" max="4109" width="13.75" style="2779" customWidth="1"/>
    <col min="4110" max="4352" width="9" style="2779"/>
    <col min="4353" max="4353" width="4.875" style="2779" customWidth="1"/>
    <col min="4354" max="4354" width="13.25" style="2779" customWidth="1"/>
    <col min="4355" max="4355" width="15.625" style="2779" customWidth="1"/>
    <col min="4356" max="4356" width="9.375" style="2779" bestFit="1" customWidth="1"/>
    <col min="4357" max="4357" width="13.5" style="2779" customWidth="1"/>
    <col min="4358" max="4358" width="9" style="2779"/>
    <col min="4359" max="4359" width="9.375" style="2779" bestFit="1" customWidth="1"/>
    <col min="4360" max="4361" width="9" style="2779"/>
    <col min="4362" max="4362" width="9.375" style="2779" bestFit="1" customWidth="1"/>
    <col min="4363" max="4363" width="4" style="2779" customWidth="1"/>
    <col min="4364" max="4364" width="5.125" style="2779" customWidth="1"/>
    <col min="4365" max="4365" width="13.75" style="2779" customWidth="1"/>
    <col min="4366" max="4608" width="9" style="2779"/>
    <col min="4609" max="4609" width="4.875" style="2779" customWidth="1"/>
    <col min="4610" max="4610" width="13.25" style="2779" customWidth="1"/>
    <col min="4611" max="4611" width="15.625" style="2779" customWidth="1"/>
    <col min="4612" max="4612" width="9.375" style="2779" bestFit="1" customWidth="1"/>
    <col min="4613" max="4613" width="13.5" style="2779" customWidth="1"/>
    <col min="4614" max="4614" width="9" style="2779"/>
    <col min="4615" max="4615" width="9.375" style="2779" bestFit="1" customWidth="1"/>
    <col min="4616" max="4617" width="9" style="2779"/>
    <col min="4618" max="4618" width="9.375" style="2779" bestFit="1" customWidth="1"/>
    <col min="4619" max="4619" width="4" style="2779" customWidth="1"/>
    <col min="4620" max="4620" width="5.125" style="2779" customWidth="1"/>
    <col min="4621" max="4621" width="13.75" style="2779" customWidth="1"/>
    <col min="4622" max="4864" width="9" style="2779"/>
    <col min="4865" max="4865" width="4.875" style="2779" customWidth="1"/>
    <col min="4866" max="4866" width="13.25" style="2779" customWidth="1"/>
    <col min="4867" max="4867" width="15.625" style="2779" customWidth="1"/>
    <col min="4868" max="4868" width="9.375" style="2779" bestFit="1" customWidth="1"/>
    <col min="4869" max="4869" width="13.5" style="2779" customWidth="1"/>
    <col min="4870" max="4870" width="9" style="2779"/>
    <col min="4871" max="4871" width="9.375" style="2779" bestFit="1" customWidth="1"/>
    <col min="4872" max="4873" width="9" style="2779"/>
    <col min="4874" max="4874" width="9.375" style="2779" bestFit="1" customWidth="1"/>
    <col min="4875" max="4875" width="4" style="2779" customWidth="1"/>
    <col min="4876" max="4876" width="5.125" style="2779" customWidth="1"/>
    <col min="4877" max="4877" width="13.75" style="2779" customWidth="1"/>
    <col min="4878" max="5120" width="9" style="2779"/>
    <col min="5121" max="5121" width="4.875" style="2779" customWidth="1"/>
    <col min="5122" max="5122" width="13.25" style="2779" customWidth="1"/>
    <col min="5123" max="5123" width="15.625" style="2779" customWidth="1"/>
    <col min="5124" max="5124" width="9.375" style="2779" bestFit="1" customWidth="1"/>
    <col min="5125" max="5125" width="13.5" style="2779" customWidth="1"/>
    <col min="5126" max="5126" width="9" style="2779"/>
    <col min="5127" max="5127" width="9.375" style="2779" bestFit="1" customWidth="1"/>
    <col min="5128" max="5129" width="9" style="2779"/>
    <col min="5130" max="5130" width="9.375" style="2779" bestFit="1" customWidth="1"/>
    <col min="5131" max="5131" width="4" style="2779" customWidth="1"/>
    <col min="5132" max="5132" width="5.125" style="2779" customWidth="1"/>
    <col min="5133" max="5133" width="13.75" style="2779" customWidth="1"/>
    <col min="5134" max="5376" width="9" style="2779"/>
    <col min="5377" max="5377" width="4.875" style="2779" customWidth="1"/>
    <col min="5378" max="5378" width="13.25" style="2779" customWidth="1"/>
    <col min="5379" max="5379" width="15.625" style="2779" customWidth="1"/>
    <col min="5380" max="5380" width="9.375" style="2779" bestFit="1" customWidth="1"/>
    <col min="5381" max="5381" width="13.5" style="2779" customWidth="1"/>
    <col min="5382" max="5382" width="9" style="2779"/>
    <col min="5383" max="5383" width="9.375" style="2779" bestFit="1" customWidth="1"/>
    <col min="5384" max="5385" width="9" style="2779"/>
    <col min="5386" max="5386" width="9.375" style="2779" bestFit="1" customWidth="1"/>
    <col min="5387" max="5387" width="4" style="2779" customWidth="1"/>
    <col min="5388" max="5388" width="5.125" style="2779" customWidth="1"/>
    <col min="5389" max="5389" width="13.75" style="2779" customWidth="1"/>
    <col min="5390" max="5632" width="9" style="2779"/>
    <col min="5633" max="5633" width="4.875" style="2779" customWidth="1"/>
    <col min="5634" max="5634" width="13.25" style="2779" customWidth="1"/>
    <col min="5635" max="5635" width="15.625" style="2779" customWidth="1"/>
    <col min="5636" max="5636" width="9.375" style="2779" bestFit="1" customWidth="1"/>
    <col min="5637" max="5637" width="13.5" style="2779" customWidth="1"/>
    <col min="5638" max="5638" width="9" style="2779"/>
    <col min="5639" max="5639" width="9.375" style="2779" bestFit="1" customWidth="1"/>
    <col min="5640" max="5641" width="9" style="2779"/>
    <col min="5642" max="5642" width="9.375" style="2779" bestFit="1" customWidth="1"/>
    <col min="5643" max="5643" width="4" style="2779" customWidth="1"/>
    <col min="5644" max="5644" width="5.125" style="2779" customWidth="1"/>
    <col min="5645" max="5645" width="13.75" style="2779" customWidth="1"/>
    <col min="5646" max="5888" width="9" style="2779"/>
    <col min="5889" max="5889" width="4.875" style="2779" customWidth="1"/>
    <col min="5890" max="5890" width="13.25" style="2779" customWidth="1"/>
    <col min="5891" max="5891" width="15.625" style="2779" customWidth="1"/>
    <col min="5892" max="5892" width="9.375" style="2779" bestFit="1" customWidth="1"/>
    <col min="5893" max="5893" width="13.5" style="2779" customWidth="1"/>
    <col min="5894" max="5894" width="9" style="2779"/>
    <col min="5895" max="5895" width="9.375" style="2779" bestFit="1" customWidth="1"/>
    <col min="5896" max="5897" width="9" style="2779"/>
    <col min="5898" max="5898" width="9.375" style="2779" bestFit="1" customWidth="1"/>
    <col min="5899" max="5899" width="4" style="2779" customWidth="1"/>
    <col min="5900" max="5900" width="5.125" style="2779" customWidth="1"/>
    <col min="5901" max="5901" width="13.75" style="2779" customWidth="1"/>
    <col min="5902" max="6144" width="9" style="2779"/>
    <col min="6145" max="6145" width="4.875" style="2779" customWidth="1"/>
    <col min="6146" max="6146" width="13.25" style="2779" customWidth="1"/>
    <col min="6147" max="6147" width="15.625" style="2779" customWidth="1"/>
    <col min="6148" max="6148" width="9.375" style="2779" bestFit="1" customWidth="1"/>
    <col min="6149" max="6149" width="13.5" style="2779" customWidth="1"/>
    <col min="6150" max="6150" width="9" style="2779"/>
    <col min="6151" max="6151" width="9.375" style="2779" bestFit="1" customWidth="1"/>
    <col min="6152" max="6153" width="9" style="2779"/>
    <col min="6154" max="6154" width="9.375" style="2779" bestFit="1" customWidth="1"/>
    <col min="6155" max="6155" width="4" style="2779" customWidth="1"/>
    <col min="6156" max="6156" width="5.125" style="2779" customWidth="1"/>
    <col min="6157" max="6157" width="13.75" style="2779" customWidth="1"/>
    <col min="6158" max="6400" width="9" style="2779"/>
    <col min="6401" max="6401" width="4.875" style="2779" customWidth="1"/>
    <col min="6402" max="6402" width="13.25" style="2779" customWidth="1"/>
    <col min="6403" max="6403" width="15.625" style="2779" customWidth="1"/>
    <col min="6404" max="6404" width="9.375" style="2779" bestFit="1" customWidth="1"/>
    <col min="6405" max="6405" width="13.5" style="2779" customWidth="1"/>
    <col min="6406" max="6406" width="9" style="2779"/>
    <col min="6407" max="6407" width="9.375" style="2779" bestFit="1" customWidth="1"/>
    <col min="6408" max="6409" width="9" style="2779"/>
    <col min="6410" max="6410" width="9.375" style="2779" bestFit="1" customWidth="1"/>
    <col min="6411" max="6411" width="4" style="2779" customWidth="1"/>
    <col min="6412" max="6412" width="5.125" style="2779" customWidth="1"/>
    <col min="6413" max="6413" width="13.75" style="2779" customWidth="1"/>
    <col min="6414" max="6656" width="9" style="2779"/>
    <col min="6657" max="6657" width="4.875" style="2779" customWidth="1"/>
    <col min="6658" max="6658" width="13.25" style="2779" customWidth="1"/>
    <col min="6659" max="6659" width="15.625" style="2779" customWidth="1"/>
    <col min="6660" max="6660" width="9.375" style="2779" bestFit="1" customWidth="1"/>
    <col min="6661" max="6661" width="13.5" style="2779" customWidth="1"/>
    <col min="6662" max="6662" width="9" style="2779"/>
    <col min="6663" max="6663" width="9.375" style="2779" bestFit="1" customWidth="1"/>
    <col min="6664" max="6665" width="9" style="2779"/>
    <col min="6666" max="6666" width="9.375" style="2779" bestFit="1" customWidth="1"/>
    <col min="6667" max="6667" width="4" style="2779" customWidth="1"/>
    <col min="6668" max="6668" width="5.125" style="2779" customWidth="1"/>
    <col min="6669" max="6669" width="13.75" style="2779" customWidth="1"/>
    <col min="6670" max="6912" width="9" style="2779"/>
    <col min="6913" max="6913" width="4.875" style="2779" customWidth="1"/>
    <col min="6914" max="6914" width="13.25" style="2779" customWidth="1"/>
    <col min="6915" max="6915" width="15.625" style="2779" customWidth="1"/>
    <col min="6916" max="6916" width="9.375" style="2779" bestFit="1" customWidth="1"/>
    <col min="6917" max="6917" width="13.5" style="2779" customWidth="1"/>
    <col min="6918" max="6918" width="9" style="2779"/>
    <col min="6919" max="6919" width="9.375" style="2779" bestFit="1" customWidth="1"/>
    <col min="6920" max="6921" width="9" style="2779"/>
    <col min="6922" max="6922" width="9.375" style="2779" bestFit="1" customWidth="1"/>
    <col min="6923" max="6923" width="4" style="2779" customWidth="1"/>
    <col min="6924" max="6924" width="5.125" style="2779" customWidth="1"/>
    <col min="6925" max="6925" width="13.75" style="2779" customWidth="1"/>
    <col min="6926" max="7168" width="9" style="2779"/>
    <col min="7169" max="7169" width="4.875" style="2779" customWidth="1"/>
    <col min="7170" max="7170" width="13.25" style="2779" customWidth="1"/>
    <col min="7171" max="7171" width="15.625" style="2779" customWidth="1"/>
    <col min="7172" max="7172" width="9.375" style="2779" bestFit="1" customWidth="1"/>
    <col min="7173" max="7173" width="13.5" style="2779" customWidth="1"/>
    <col min="7174" max="7174" width="9" style="2779"/>
    <col min="7175" max="7175" width="9.375" style="2779" bestFit="1" customWidth="1"/>
    <col min="7176" max="7177" width="9" style="2779"/>
    <col min="7178" max="7178" width="9.375" style="2779" bestFit="1" customWidth="1"/>
    <col min="7179" max="7179" width="4" style="2779" customWidth="1"/>
    <col min="7180" max="7180" width="5.125" style="2779" customWidth="1"/>
    <col min="7181" max="7181" width="13.75" style="2779" customWidth="1"/>
    <col min="7182" max="7424" width="9" style="2779"/>
    <col min="7425" max="7425" width="4.875" style="2779" customWidth="1"/>
    <col min="7426" max="7426" width="13.25" style="2779" customWidth="1"/>
    <col min="7427" max="7427" width="15.625" style="2779" customWidth="1"/>
    <col min="7428" max="7428" width="9.375" style="2779" bestFit="1" customWidth="1"/>
    <col min="7429" max="7429" width="13.5" style="2779" customWidth="1"/>
    <col min="7430" max="7430" width="9" style="2779"/>
    <col min="7431" max="7431" width="9.375" style="2779" bestFit="1" customWidth="1"/>
    <col min="7432" max="7433" width="9" style="2779"/>
    <col min="7434" max="7434" width="9.375" style="2779" bestFit="1" customWidth="1"/>
    <col min="7435" max="7435" width="4" style="2779" customWidth="1"/>
    <col min="7436" max="7436" width="5.125" style="2779" customWidth="1"/>
    <col min="7437" max="7437" width="13.75" style="2779" customWidth="1"/>
    <col min="7438" max="7680" width="9" style="2779"/>
    <col min="7681" max="7681" width="4.875" style="2779" customWidth="1"/>
    <col min="7682" max="7682" width="13.25" style="2779" customWidth="1"/>
    <col min="7683" max="7683" width="15.625" style="2779" customWidth="1"/>
    <col min="7684" max="7684" width="9.375" style="2779" bestFit="1" customWidth="1"/>
    <col min="7685" max="7685" width="13.5" style="2779" customWidth="1"/>
    <col min="7686" max="7686" width="9" style="2779"/>
    <col min="7687" max="7687" width="9.375" style="2779" bestFit="1" customWidth="1"/>
    <col min="7688" max="7689" width="9" style="2779"/>
    <col min="7690" max="7690" width="9.375" style="2779" bestFit="1" customWidth="1"/>
    <col min="7691" max="7691" width="4" style="2779" customWidth="1"/>
    <col min="7692" max="7692" width="5.125" style="2779" customWidth="1"/>
    <col min="7693" max="7693" width="13.75" style="2779" customWidth="1"/>
    <col min="7694" max="7936" width="9" style="2779"/>
    <col min="7937" max="7937" width="4.875" style="2779" customWidth="1"/>
    <col min="7938" max="7938" width="13.25" style="2779" customWidth="1"/>
    <col min="7939" max="7939" width="15.625" style="2779" customWidth="1"/>
    <col min="7940" max="7940" width="9.375" style="2779" bestFit="1" customWidth="1"/>
    <col min="7941" max="7941" width="13.5" style="2779" customWidth="1"/>
    <col min="7942" max="7942" width="9" style="2779"/>
    <col min="7943" max="7943" width="9.375" style="2779" bestFit="1" customWidth="1"/>
    <col min="7944" max="7945" width="9" style="2779"/>
    <col min="7946" max="7946" width="9.375" style="2779" bestFit="1" customWidth="1"/>
    <col min="7947" max="7947" width="4" style="2779" customWidth="1"/>
    <col min="7948" max="7948" width="5.125" style="2779" customWidth="1"/>
    <col min="7949" max="7949" width="13.75" style="2779" customWidth="1"/>
    <col min="7950" max="8192" width="9" style="2779"/>
    <col min="8193" max="8193" width="4.875" style="2779" customWidth="1"/>
    <col min="8194" max="8194" width="13.25" style="2779" customWidth="1"/>
    <col min="8195" max="8195" width="15.625" style="2779" customWidth="1"/>
    <col min="8196" max="8196" width="9.375" style="2779" bestFit="1" customWidth="1"/>
    <col min="8197" max="8197" width="13.5" style="2779" customWidth="1"/>
    <col min="8198" max="8198" width="9" style="2779"/>
    <col min="8199" max="8199" width="9.375" style="2779" bestFit="1" customWidth="1"/>
    <col min="8200" max="8201" width="9" style="2779"/>
    <col min="8202" max="8202" width="9.375" style="2779" bestFit="1" customWidth="1"/>
    <col min="8203" max="8203" width="4" style="2779" customWidth="1"/>
    <col min="8204" max="8204" width="5.125" style="2779" customWidth="1"/>
    <col min="8205" max="8205" width="13.75" style="2779" customWidth="1"/>
    <col min="8206" max="8448" width="9" style="2779"/>
    <col min="8449" max="8449" width="4.875" style="2779" customWidth="1"/>
    <col min="8450" max="8450" width="13.25" style="2779" customWidth="1"/>
    <col min="8451" max="8451" width="15.625" style="2779" customWidth="1"/>
    <col min="8452" max="8452" width="9.375" style="2779" bestFit="1" customWidth="1"/>
    <col min="8453" max="8453" width="13.5" style="2779" customWidth="1"/>
    <col min="8454" max="8454" width="9" style="2779"/>
    <col min="8455" max="8455" width="9.375" style="2779" bestFit="1" customWidth="1"/>
    <col min="8456" max="8457" width="9" style="2779"/>
    <col min="8458" max="8458" width="9.375" style="2779" bestFit="1" customWidth="1"/>
    <col min="8459" max="8459" width="4" style="2779" customWidth="1"/>
    <col min="8460" max="8460" width="5.125" style="2779" customWidth="1"/>
    <col min="8461" max="8461" width="13.75" style="2779" customWidth="1"/>
    <col min="8462" max="8704" width="9" style="2779"/>
    <col min="8705" max="8705" width="4.875" style="2779" customWidth="1"/>
    <col min="8706" max="8706" width="13.25" style="2779" customWidth="1"/>
    <col min="8707" max="8707" width="15.625" style="2779" customWidth="1"/>
    <col min="8708" max="8708" width="9.375" style="2779" bestFit="1" customWidth="1"/>
    <col min="8709" max="8709" width="13.5" style="2779" customWidth="1"/>
    <col min="8710" max="8710" width="9" style="2779"/>
    <col min="8711" max="8711" width="9.375" style="2779" bestFit="1" customWidth="1"/>
    <col min="8712" max="8713" width="9" style="2779"/>
    <col min="8714" max="8714" width="9.375" style="2779" bestFit="1" customWidth="1"/>
    <col min="8715" max="8715" width="4" style="2779" customWidth="1"/>
    <col min="8716" max="8716" width="5.125" style="2779" customWidth="1"/>
    <col min="8717" max="8717" width="13.75" style="2779" customWidth="1"/>
    <col min="8718" max="8960" width="9" style="2779"/>
    <col min="8961" max="8961" width="4.875" style="2779" customWidth="1"/>
    <col min="8962" max="8962" width="13.25" style="2779" customWidth="1"/>
    <col min="8963" max="8963" width="15.625" style="2779" customWidth="1"/>
    <col min="8964" max="8964" width="9.375" style="2779" bestFit="1" customWidth="1"/>
    <col min="8965" max="8965" width="13.5" style="2779" customWidth="1"/>
    <col min="8966" max="8966" width="9" style="2779"/>
    <col min="8967" max="8967" width="9.375" style="2779" bestFit="1" customWidth="1"/>
    <col min="8968" max="8969" width="9" style="2779"/>
    <col min="8970" max="8970" width="9.375" style="2779" bestFit="1" customWidth="1"/>
    <col min="8971" max="8971" width="4" style="2779" customWidth="1"/>
    <col min="8972" max="8972" width="5.125" style="2779" customWidth="1"/>
    <col min="8973" max="8973" width="13.75" style="2779" customWidth="1"/>
    <col min="8974" max="9216" width="9" style="2779"/>
    <col min="9217" max="9217" width="4.875" style="2779" customWidth="1"/>
    <col min="9218" max="9218" width="13.25" style="2779" customWidth="1"/>
    <col min="9219" max="9219" width="15.625" style="2779" customWidth="1"/>
    <col min="9220" max="9220" width="9.375" style="2779" bestFit="1" customWidth="1"/>
    <col min="9221" max="9221" width="13.5" style="2779" customWidth="1"/>
    <col min="9222" max="9222" width="9" style="2779"/>
    <col min="9223" max="9223" width="9.375" style="2779" bestFit="1" customWidth="1"/>
    <col min="9224" max="9225" width="9" style="2779"/>
    <col min="9226" max="9226" width="9.375" style="2779" bestFit="1" customWidth="1"/>
    <col min="9227" max="9227" width="4" style="2779" customWidth="1"/>
    <col min="9228" max="9228" width="5.125" style="2779" customWidth="1"/>
    <col min="9229" max="9229" width="13.75" style="2779" customWidth="1"/>
    <col min="9230" max="9472" width="9" style="2779"/>
    <col min="9473" max="9473" width="4.875" style="2779" customWidth="1"/>
    <col min="9474" max="9474" width="13.25" style="2779" customWidth="1"/>
    <col min="9475" max="9475" width="15.625" style="2779" customWidth="1"/>
    <col min="9476" max="9476" width="9.375" style="2779" bestFit="1" customWidth="1"/>
    <col min="9477" max="9477" width="13.5" style="2779" customWidth="1"/>
    <col min="9478" max="9478" width="9" style="2779"/>
    <col min="9479" max="9479" width="9.375" style="2779" bestFit="1" customWidth="1"/>
    <col min="9480" max="9481" width="9" style="2779"/>
    <col min="9482" max="9482" width="9.375" style="2779" bestFit="1" customWidth="1"/>
    <col min="9483" max="9483" width="4" style="2779" customWidth="1"/>
    <col min="9484" max="9484" width="5.125" style="2779" customWidth="1"/>
    <col min="9485" max="9485" width="13.75" style="2779" customWidth="1"/>
    <col min="9486" max="9728" width="9" style="2779"/>
    <col min="9729" max="9729" width="4.875" style="2779" customWidth="1"/>
    <col min="9730" max="9730" width="13.25" style="2779" customWidth="1"/>
    <col min="9731" max="9731" width="15.625" style="2779" customWidth="1"/>
    <col min="9732" max="9732" width="9.375" style="2779" bestFit="1" customWidth="1"/>
    <col min="9733" max="9733" width="13.5" style="2779" customWidth="1"/>
    <col min="9734" max="9734" width="9" style="2779"/>
    <col min="9735" max="9735" width="9.375" style="2779" bestFit="1" customWidth="1"/>
    <col min="9736" max="9737" width="9" style="2779"/>
    <col min="9738" max="9738" width="9.375" style="2779" bestFit="1" customWidth="1"/>
    <col min="9739" max="9739" width="4" style="2779" customWidth="1"/>
    <col min="9740" max="9740" width="5.125" style="2779" customWidth="1"/>
    <col min="9741" max="9741" width="13.75" style="2779" customWidth="1"/>
    <col min="9742" max="9984" width="9" style="2779"/>
    <col min="9985" max="9985" width="4.875" style="2779" customWidth="1"/>
    <col min="9986" max="9986" width="13.25" style="2779" customWidth="1"/>
    <col min="9987" max="9987" width="15.625" style="2779" customWidth="1"/>
    <col min="9988" max="9988" width="9.375" style="2779" bestFit="1" customWidth="1"/>
    <col min="9989" max="9989" width="13.5" style="2779" customWidth="1"/>
    <col min="9990" max="9990" width="9" style="2779"/>
    <col min="9991" max="9991" width="9.375" style="2779" bestFit="1" customWidth="1"/>
    <col min="9992" max="9993" width="9" style="2779"/>
    <col min="9994" max="9994" width="9.375" style="2779" bestFit="1" customWidth="1"/>
    <col min="9995" max="9995" width="4" style="2779" customWidth="1"/>
    <col min="9996" max="9996" width="5.125" style="2779" customWidth="1"/>
    <col min="9997" max="9997" width="13.75" style="2779" customWidth="1"/>
    <col min="9998" max="10240" width="9" style="2779"/>
    <col min="10241" max="10241" width="4.875" style="2779" customWidth="1"/>
    <col min="10242" max="10242" width="13.25" style="2779" customWidth="1"/>
    <col min="10243" max="10243" width="15.625" style="2779" customWidth="1"/>
    <col min="10244" max="10244" width="9.375" style="2779" bestFit="1" customWidth="1"/>
    <col min="10245" max="10245" width="13.5" style="2779" customWidth="1"/>
    <col min="10246" max="10246" width="9" style="2779"/>
    <col min="10247" max="10247" width="9.375" style="2779" bestFit="1" customWidth="1"/>
    <col min="10248" max="10249" width="9" style="2779"/>
    <col min="10250" max="10250" width="9.375" style="2779" bestFit="1" customWidth="1"/>
    <col min="10251" max="10251" width="4" style="2779" customWidth="1"/>
    <col min="10252" max="10252" width="5.125" style="2779" customWidth="1"/>
    <col min="10253" max="10253" width="13.75" style="2779" customWidth="1"/>
    <col min="10254" max="10496" width="9" style="2779"/>
    <col min="10497" max="10497" width="4.875" style="2779" customWidth="1"/>
    <col min="10498" max="10498" width="13.25" style="2779" customWidth="1"/>
    <col min="10499" max="10499" width="15.625" style="2779" customWidth="1"/>
    <col min="10500" max="10500" width="9.375" style="2779" bestFit="1" customWidth="1"/>
    <col min="10501" max="10501" width="13.5" style="2779" customWidth="1"/>
    <col min="10502" max="10502" width="9" style="2779"/>
    <col min="10503" max="10503" width="9.375" style="2779" bestFit="1" customWidth="1"/>
    <col min="10504" max="10505" width="9" style="2779"/>
    <col min="10506" max="10506" width="9.375" style="2779" bestFit="1" customWidth="1"/>
    <col min="10507" max="10507" width="4" style="2779" customWidth="1"/>
    <col min="10508" max="10508" width="5.125" style="2779" customWidth="1"/>
    <col min="10509" max="10509" width="13.75" style="2779" customWidth="1"/>
    <col min="10510" max="10752" width="9" style="2779"/>
    <col min="10753" max="10753" width="4.875" style="2779" customWidth="1"/>
    <col min="10754" max="10754" width="13.25" style="2779" customWidth="1"/>
    <col min="10755" max="10755" width="15.625" style="2779" customWidth="1"/>
    <col min="10756" max="10756" width="9.375" style="2779" bestFit="1" customWidth="1"/>
    <col min="10757" max="10757" width="13.5" style="2779" customWidth="1"/>
    <col min="10758" max="10758" width="9" style="2779"/>
    <col min="10759" max="10759" width="9.375" style="2779" bestFit="1" customWidth="1"/>
    <col min="10760" max="10761" width="9" style="2779"/>
    <col min="10762" max="10762" width="9.375" style="2779" bestFit="1" customWidth="1"/>
    <col min="10763" max="10763" width="4" style="2779" customWidth="1"/>
    <col min="10764" max="10764" width="5.125" style="2779" customWidth="1"/>
    <col min="10765" max="10765" width="13.75" style="2779" customWidth="1"/>
    <col min="10766" max="11008" width="9" style="2779"/>
    <col min="11009" max="11009" width="4.875" style="2779" customWidth="1"/>
    <col min="11010" max="11010" width="13.25" style="2779" customWidth="1"/>
    <col min="11011" max="11011" width="15.625" style="2779" customWidth="1"/>
    <col min="11012" max="11012" width="9.375" style="2779" bestFit="1" customWidth="1"/>
    <col min="11013" max="11013" width="13.5" style="2779" customWidth="1"/>
    <col min="11014" max="11014" width="9" style="2779"/>
    <col min="11015" max="11015" width="9.375" style="2779" bestFit="1" customWidth="1"/>
    <col min="11016" max="11017" width="9" style="2779"/>
    <col min="11018" max="11018" width="9.375" style="2779" bestFit="1" customWidth="1"/>
    <col min="11019" max="11019" width="4" style="2779" customWidth="1"/>
    <col min="11020" max="11020" width="5.125" style="2779" customWidth="1"/>
    <col min="11021" max="11021" width="13.75" style="2779" customWidth="1"/>
    <col min="11022" max="11264" width="9" style="2779"/>
    <col min="11265" max="11265" width="4.875" style="2779" customWidth="1"/>
    <col min="11266" max="11266" width="13.25" style="2779" customWidth="1"/>
    <col min="11267" max="11267" width="15.625" style="2779" customWidth="1"/>
    <col min="11268" max="11268" width="9.375" style="2779" bestFit="1" customWidth="1"/>
    <col min="11269" max="11269" width="13.5" style="2779" customWidth="1"/>
    <col min="11270" max="11270" width="9" style="2779"/>
    <col min="11271" max="11271" width="9.375" style="2779" bestFit="1" customWidth="1"/>
    <col min="11272" max="11273" width="9" style="2779"/>
    <col min="11274" max="11274" width="9.375" style="2779" bestFit="1" customWidth="1"/>
    <col min="11275" max="11275" width="4" style="2779" customWidth="1"/>
    <col min="11276" max="11276" width="5.125" style="2779" customWidth="1"/>
    <col min="11277" max="11277" width="13.75" style="2779" customWidth="1"/>
    <col min="11278" max="11520" width="9" style="2779"/>
    <col min="11521" max="11521" width="4.875" style="2779" customWidth="1"/>
    <col min="11522" max="11522" width="13.25" style="2779" customWidth="1"/>
    <col min="11523" max="11523" width="15.625" style="2779" customWidth="1"/>
    <col min="11524" max="11524" width="9.375" style="2779" bestFit="1" customWidth="1"/>
    <col min="11525" max="11525" width="13.5" style="2779" customWidth="1"/>
    <col min="11526" max="11526" width="9" style="2779"/>
    <col min="11527" max="11527" width="9.375" style="2779" bestFit="1" customWidth="1"/>
    <col min="11528" max="11529" width="9" style="2779"/>
    <col min="11530" max="11530" width="9.375" style="2779" bestFit="1" customWidth="1"/>
    <col min="11531" max="11531" width="4" style="2779" customWidth="1"/>
    <col min="11532" max="11532" width="5.125" style="2779" customWidth="1"/>
    <col min="11533" max="11533" width="13.75" style="2779" customWidth="1"/>
    <col min="11534" max="11776" width="9" style="2779"/>
    <col min="11777" max="11777" width="4.875" style="2779" customWidth="1"/>
    <col min="11778" max="11778" width="13.25" style="2779" customWidth="1"/>
    <col min="11779" max="11779" width="15.625" style="2779" customWidth="1"/>
    <col min="11780" max="11780" width="9.375" style="2779" bestFit="1" customWidth="1"/>
    <col min="11781" max="11781" width="13.5" style="2779" customWidth="1"/>
    <col min="11782" max="11782" width="9" style="2779"/>
    <col min="11783" max="11783" width="9.375" style="2779" bestFit="1" customWidth="1"/>
    <col min="11784" max="11785" width="9" style="2779"/>
    <col min="11786" max="11786" width="9.375" style="2779" bestFit="1" customWidth="1"/>
    <col min="11787" max="11787" width="4" style="2779" customWidth="1"/>
    <col min="11788" max="11788" width="5.125" style="2779" customWidth="1"/>
    <col min="11789" max="11789" width="13.75" style="2779" customWidth="1"/>
    <col min="11790" max="12032" width="9" style="2779"/>
    <col min="12033" max="12033" width="4.875" style="2779" customWidth="1"/>
    <col min="12034" max="12034" width="13.25" style="2779" customWidth="1"/>
    <col min="12035" max="12035" width="15.625" style="2779" customWidth="1"/>
    <col min="12036" max="12036" width="9.375" style="2779" bestFit="1" customWidth="1"/>
    <col min="12037" max="12037" width="13.5" style="2779" customWidth="1"/>
    <col min="12038" max="12038" width="9" style="2779"/>
    <col min="12039" max="12039" width="9.375" style="2779" bestFit="1" customWidth="1"/>
    <col min="12040" max="12041" width="9" style="2779"/>
    <col min="12042" max="12042" width="9.375" style="2779" bestFit="1" customWidth="1"/>
    <col min="12043" max="12043" width="4" style="2779" customWidth="1"/>
    <col min="12044" max="12044" width="5.125" style="2779" customWidth="1"/>
    <col min="12045" max="12045" width="13.75" style="2779" customWidth="1"/>
    <col min="12046" max="12288" width="9" style="2779"/>
    <col min="12289" max="12289" width="4.875" style="2779" customWidth="1"/>
    <col min="12290" max="12290" width="13.25" style="2779" customWidth="1"/>
    <col min="12291" max="12291" width="15.625" style="2779" customWidth="1"/>
    <col min="12292" max="12292" width="9.375" style="2779" bestFit="1" customWidth="1"/>
    <col min="12293" max="12293" width="13.5" style="2779" customWidth="1"/>
    <col min="12294" max="12294" width="9" style="2779"/>
    <col min="12295" max="12295" width="9.375" style="2779" bestFit="1" customWidth="1"/>
    <col min="12296" max="12297" width="9" style="2779"/>
    <col min="12298" max="12298" width="9.375" style="2779" bestFit="1" customWidth="1"/>
    <col min="12299" max="12299" width="4" style="2779" customWidth="1"/>
    <col min="12300" max="12300" width="5.125" style="2779" customWidth="1"/>
    <col min="12301" max="12301" width="13.75" style="2779" customWidth="1"/>
    <col min="12302" max="12544" width="9" style="2779"/>
    <col min="12545" max="12545" width="4.875" style="2779" customWidth="1"/>
    <col min="12546" max="12546" width="13.25" style="2779" customWidth="1"/>
    <col min="12547" max="12547" width="15.625" style="2779" customWidth="1"/>
    <col min="12548" max="12548" width="9.375" style="2779" bestFit="1" customWidth="1"/>
    <col min="12549" max="12549" width="13.5" style="2779" customWidth="1"/>
    <col min="12550" max="12550" width="9" style="2779"/>
    <col min="12551" max="12551" width="9.375" style="2779" bestFit="1" customWidth="1"/>
    <col min="12552" max="12553" width="9" style="2779"/>
    <col min="12554" max="12554" width="9.375" style="2779" bestFit="1" customWidth="1"/>
    <col min="12555" max="12555" width="4" style="2779" customWidth="1"/>
    <col min="12556" max="12556" width="5.125" style="2779" customWidth="1"/>
    <col min="12557" max="12557" width="13.75" style="2779" customWidth="1"/>
    <col min="12558" max="12800" width="9" style="2779"/>
    <col min="12801" max="12801" width="4.875" style="2779" customWidth="1"/>
    <col min="12802" max="12802" width="13.25" style="2779" customWidth="1"/>
    <col min="12803" max="12803" width="15.625" style="2779" customWidth="1"/>
    <col min="12804" max="12804" width="9.375" style="2779" bestFit="1" customWidth="1"/>
    <col min="12805" max="12805" width="13.5" style="2779" customWidth="1"/>
    <col min="12806" max="12806" width="9" style="2779"/>
    <col min="12807" max="12807" width="9.375" style="2779" bestFit="1" customWidth="1"/>
    <col min="12808" max="12809" width="9" style="2779"/>
    <col min="12810" max="12810" width="9.375" style="2779" bestFit="1" customWidth="1"/>
    <col min="12811" max="12811" width="4" style="2779" customWidth="1"/>
    <col min="12812" max="12812" width="5.125" style="2779" customWidth="1"/>
    <col min="12813" max="12813" width="13.75" style="2779" customWidth="1"/>
    <col min="12814" max="13056" width="9" style="2779"/>
    <col min="13057" max="13057" width="4.875" style="2779" customWidth="1"/>
    <col min="13058" max="13058" width="13.25" style="2779" customWidth="1"/>
    <col min="13059" max="13059" width="15.625" style="2779" customWidth="1"/>
    <col min="13060" max="13060" width="9.375" style="2779" bestFit="1" customWidth="1"/>
    <col min="13061" max="13061" width="13.5" style="2779" customWidth="1"/>
    <col min="13062" max="13062" width="9" style="2779"/>
    <col min="13063" max="13063" width="9.375" style="2779" bestFit="1" customWidth="1"/>
    <col min="13064" max="13065" width="9" style="2779"/>
    <col min="13066" max="13066" width="9.375" style="2779" bestFit="1" customWidth="1"/>
    <col min="13067" max="13067" width="4" style="2779" customWidth="1"/>
    <col min="13068" max="13068" width="5.125" style="2779" customWidth="1"/>
    <col min="13069" max="13069" width="13.75" style="2779" customWidth="1"/>
    <col min="13070" max="13312" width="9" style="2779"/>
    <col min="13313" max="13313" width="4.875" style="2779" customWidth="1"/>
    <col min="13314" max="13314" width="13.25" style="2779" customWidth="1"/>
    <col min="13315" max="13315" width="15.625" style="2779" customWidth="1"/>
    <col min="13316" max="13316" width="9.375" style="2779" bestFit="1" customWidth="1"/>
    <col min="13317" max="13317" width="13.5" style="2779" customWidth="1"/>
    <col min="13318" max="13318" width="9" style="2779"/>
    <col min="13319" max="13319" width="9.375" style="2779" bestFit="1" customWidth="1"/>
    <col min="13320" max="13321" width="9" style="2779"/>
    <col min="13322" max="13322" width="9.375" style="2779" bestFit="1" customWidth="1"/>
    <col min="13323" max="13323" width="4" style="2779" customWidth="1"/>
    <col min="13324" max="13324" width="5.125" style="2779" customWidth="1"/>
    <col min="13325" max="13325" width="13.75" style="2779" customWidth="1"/>
    <col min="13326" max="13568" width="9" style="2779"/>
    <col min="13569" max="13569" width="4.875" style="2779" customWidth="1"/>
    <col min="13570" max="13570" width="13.25" style="2779" customWidth="1"/>
    <col min="13571" max="13571" width="15.625" style="2779" customWidth="1"/>
    <col min="13572" max="13572" width="9.375" style="2779" bestFit="1" customWidth="1"/>
    <col min="13573" max="13573" width="13.5" style="2779" customWidth="1"/>
    <col min="13574" max="13574" width="9" style="2779"/>
    <col min="13575" max="13575" width="9.375" style="2779" bestFit="1" customWidth="1"/>
    <col min="13576" max="13577" width="9" style="2779"/>
    <col min="13578" max="13578" width="9.375" style="2779" bestFit="1" customWidth="1"/>
    <col min="13579" max="13579" width="4" style="2779" customWidth="1"/>
    <col min="13580" max="13580" width="5.125" style="2779" customWidth="1"/>
    <col min="13581" max="13581" width="13.75" style="2779" customWidth="1"/>
    <col min="13582" max="13824" width="9" style="2779"/>
    <col min="13825" max="13825" width="4.875" style="2779" customWidth="1"/>
    <col min="13826" max="13826" width="13.25" style="2779" customWidth="1"/>
    <col min="13827" max="13827" width="15.625" style="2779" customWidth="1"/>
    <col min="13828" max="13828" width="9.375" style="2779" bestFit="1" customWidth="1"/>
    <col min="13829" max="13829" width="13.5" style="2779" customWidth="1"/>
    <col min="13830" max="13830" width="9" style="2779"/>
    <col min="13831" max="13831" width="9.375" style="2779" bestFit="1" customWidth="1"/>
    <col min="13832" max="13833" width="9" style="2779"/>
    <col min="13834" max="13834" width="9.375" style="2779" bestFit="1" customWidth="1"/>
    <col min="13835" max="13835" width="4" style="2779" customWidth="1"/>
    <col min="13836" max="13836" width="5.125" style="2779" customWidth="1"/>
    <col min="13837" max="13837" width="13.75" style="2779" customWidth="1"/>
    <col min="13838" max="14080" width="9" style="2779"/>
    <col min="14081" max="14081" width="4.875" style="2779" customWidth="1"/>
    <col min="14082" max="14082" width="13.25" style="2779" customWidth="1"/>
    <col min="14083" max="14083" width="15.625" style="2779" customWidth="1"/>
    <col min="14084" max="14084" width="9.375" style="2779" bestFit="1" customWidth="1"/>
    <col min="14085" max="14085" width="13.5" style="2779" customWidth="1"/>
    <col min="14086" max="14086" width="9" style="2779"/>
    <col min="14087" max="14087" width="9.375" style="2779" bestFit="1" customWidth="1"/>
    <col min="14088" max="14089" width="9" style="2779"/>
    <col min="14090" max="14090" width="9.375" style="2779" bestFit="1" customWidth="1"/>
    <col min="14091" max="14091" width="4" style="2779" customWidth="1"/>
    <col min="14092" max="14092" width="5.125" style="2779" customWidth="1"/>
    <col min="14093" max="14093" width="13.75" style="2779" customWidth="1"/>
    <col min="14094" max="14336" width="9" style="2779"/>
    <col min="14337" max="14337" width="4.875" style="2779" customWidth="1"/>
    <col min="14338" max="14338" width="13.25" style="2779" customWidth="1"/>
    <col min="14339" max="14339" width="15.625" style="2779" customWidth="1"/>
    <col min="14340" max="14340" width="9.375" style="2779" bestFit="1" customWidth="1"/>
    <col min="14341" max="14341" width="13.5" style="2779" customWidth="1"/>
    <col min="14342" max="14342" width="9" style="2779"/>
    <col min="14343" max="14343" width="9.375" style="2779" bestFit="1" customWidth="1"/>
    <col min="14344" max="14345" width="9" style="2779"/>
    <col min="14346" max="14346" width="9.375" style="2779" bestFit="1" customWidth="1"/>
    <col min="14347" max="14347" width="4" style="2779" customWidth="1"/>
    <col min="14348" max="14348" width="5.125" style="2779" customWidth="1"/>
    <col min="14349" max="14349" width="13.75" style="2779" customWidth="1"/>
    <col min="14350" max="14592" width="9" style="2779"/>
    <col min="14593" max="14593" width="4.875" style="2779" customWidth="1"/>
    <col min="14594" max="14594" width="13.25" style="2779" customWidth="1"/>
    <col min="14595" max="14595" width="15.625" style="2779" customWidth="1"/>
    <col min="14596" max="14596" width="9.375" style="2779" bestFit="1" customWidth="1"/>
    <col min="14597" max="14597" width="13.5" style="2779" customWidth="1"/>
    <col min="14598" max="14598" width="9" style="2779"/>
    <col min="14599" max="14599" width="9.375" style="2779" bestFit="1" customWidth="1"/>
    <col min="14600" max="14601" width="9" style="2779"/>
    <col min="14602" max="14602" width="9.375" style="2779" bestFit="1" customWidth="1"/>
    <col min="14603" max="14603" width="4" style="2779" customWidth="1"/>
    <col min="14604" max="14604" width="5.125" style="2779" customWidth="1"/>
    <col min="14605" max="14605" width="13.75" style="2779" customWidth="1"/>
    <col min="14606" max="14848" width="9" style="2779"/>
    <col min="14849" max="14849" width="4.875" style="2779" customWidth="1"/>
    <col min="14850" max="14850" width="13.25" style="2779" customWidth="1"/>
    <col min="14851" max="14851" width="15.625" style="2779" customWidth="1"/>
    <col min="14852" max="14852" width="9.375" style="2779" bestFit="1" customWidth="1"/>
    <col min="14853" max="14853" width="13.5" style="2779" customWidth="1"/>
    <col min="14854" max="14854" width="9" style="2779"/>
    <col min="14855" max="14855" width="9.375" style="2779" bestFit="1" customWidth="1"/>
    <col min="14856" max="14857" width="9" style="2779"/>
    <col min="14858" max="14858" width="9.375" style="2779" bestFit="1" customWidth="1"/>
    <col min="14859" max="14859" width="4" style="2779" customWidth="1"/>
    <col min="14860" max="14860" width="5.125" style="2779" customWidth="1"/>
    <col min="14861" max="14861" width="13.75" style="2779" customWidth="1"/>
    <col min="14862" max="15104" width="9" style="2779"/>
    <col min="15105" max="15105" width="4.875" style="2779" customWidth="1"/>
    <col min="15106" max="15106" width="13.25" style="2779" customWidth="1"/>
    <col min="15107" max="15107" width="15.625" style="2779" customWidth="1"/>
    <col min="15108" max="15108" width="9.375" style="2779" bestFit="1" customWidth="1"/>
    <col min="15109" max="15109" width="13.5" style="2779" customWidth="1"/>
    <col min="15110" max="15110" width="9" style="2779"/>
    <col min="15111" max="15111" width="9.375" style="2779" bestFit="1" customWidth="1"/>
    <col min="15112" max="15113" width="9" style="2779"/>
    <col min="15114" max="15114" width="9.375" style="2779" bestFit="1" customWidth="1"/>
    <col min="15115" max="15115" width="4" style="2779" customWidth="1"/>
    <col min="15116" max="15116" width="5.125" style="2779" customWidth="1"/>
    <col min="15117" max="15117" width="13.75" style="2779" customWidth="1"/>
    <col min="15118" max="15360" width="9" style="2779"/>
    <col min="15361" max="15361" width="4.875" style="2779" customWidth="1"/>
    <col min="15362" max="15362" width="13.25" style="2779" customWidth="1"/>
    <col min="15363" max="15363" width="15.625" style="2779" customWidth="1"/>
    <col min="15364" max="15364" width="9.375" style="2779" bestFit="1" customWidth="1"/>
    <col min="15365" max="15365" width="13.5" style="2779" customWidth="1"/>
    <col min="15366" max="15366" width="9" style="2779"/>
    <col min="15367" max="15367" width="9.375" style="2779" bestFit="1" customWidth="1"/>
    <col min="15368" max="15369" width="9" style="2779"/>
    <col min="15370" max="15370" width="9.375" style="2779" bestFit="1" customWidth="1"/>
    <col min="15371" max="15371" width="4" style="2779" customWidth="1"/>
    <col min="15372" max="15372" width="5.125" style="2779" customWidth="1"/>
    <col min="15373" max="15373" width="13.75" style="2779" customWidth="1"/>
    <col min="15374" max="15616" width="9" style="2779"/>
    <col min="15617" max="15617" width="4.875" style="2779" customWidth="1"/>
    <col min="15618" max="15618" width="13.25" style="2779" customWidth="1"/>
    <col min="15619" max="15619" width="15.625" style="2779" customWidth="1"/>
    <col min="15620" max="15620" width="9.375" style="2779" bestFit="1" customWidth="1"/>
    <col min="15621" max="15621" width="13.5" style="2779" customWidth="1"/>
    <col min="15622" max="15622" width="9" style="2779"/>
    <col min="15623" max="15623" width="9.375" style="2779" bestFit="1" customWidth="1"/>
    <col min="15624" max="15625" width="9" style="2779"/>
    <col min="15626" max="15626" width="9.375" style="2779" bestFit="1" customWidth="1"/>
    <col min="15627" max="15627" width="4" style="2779" customWidth="1"/>
    <col min="15628" max="15628" width="5.125" style="2779" customWidth="1"/>
    <col min="15629" max="15629" width="13.75" style="2779" customWidth="1"/>
    <col min="15630" max="15872" width="9" style="2779"/>
    <col min="15873" max="15873" width="4.875" style="2779" customWidth="1"/>
    <col min="15874" max="15874" width="13.25" style="2779" customWidth="1"/>
    <col min="15875" max="15875" width="15.625" style="2779" customWidth="1"/>
    <col min="15876" max="15876" width="9.375" style="2779" bestFit="1" customWidth="1"/>
    <col min="15877" max="15877" width="13.5" style="2779" customWidth="1"/>
    <col min="15878" max="15878" width="9" style="2779"/>
    <col min="15879" max="15879" width="9.375" style="2779" bestFit="1" customWidth="1"/>
    <col min="15880" max="15881" width="9" style="2779"/>
    <col min="15882" max="15882" width="9.375" style="2779" bestFit="1" customWidth="1"/>
    <col min="15883" max="15883" width="4" style="2779" customWidth="1"/>
    <col min="15884" max="15884" width="5.125" style="2779" customWidth="1"/>
    <col min="15885" max="15885" width="13.75" style="2779" customWidth="1"/>
    <col min="15886" max="16128" width="9" style="2779"/>
    <col min="16129" max="16129" width="4.875" style="2779" customWidth="1"/>
    <col min="16130" max="16130" width="13.25" style="2779" customWidth="1"/>
    <col min="16131" max="16131" width="15.625" style="2779" customWidth="1"/>
    <col min="16132" max="16132" width="9.375" style="2779" bestFit="1" customWidth="1"/>
    <col min="16133" max="16133" width="13.5" style="2779" customWidth="1"/>
    <col min="16134" max="16134" width="9" style="2779"/>
    <col min="16135" max="16135" width="9.375" style="2779" bestFit="1" customWidth="1"/>
    <col min="16136" max="16137" width="9" style="2779"/>
    <col min="16138" max="16138" width="9.375" style="2779" bestFit="1" customWidth="1"/>
    <col min="16139" max="16139" width="4" style="2779" customWidth="1"/>
    <col min="16140" max="16140" width="5.125" style="2779" customWidth="1"/>
    <col min="16141" max="16141" width="13.75" style="2779" customWidth="1"/>
    <col min="16142" max="16384" width="9" style="2779"/>
  </cols>
  <sheetData>
    <row r="1" spans="1:257" s="2839" customFormat="1" ht="14.25" thickBot="1">
      <c r="A1" s="2838"/>
      <c r="B1" s="2840" t="s">
        <v>2783</v>
      </c>
      <c r="C1" s="2844">
        <f>项目基本情况!D3</f>
        <v>44012</v>
      </c>
      <c r="H1" s="2778">
        <f>IF(C1&gt;C13,0,MATCH(C1,C$13:C$100,-1))+IF(SUMIF(C13:C100,C1,D13:D100)=0,13,12)</f>
        <v>13</v>
      </c>
      <c r="I1" s="2778">
        <f>MATCH(C2,H3:H7,1)+IF(SUMIF(H3:H7,C2,I3:I7)=0,2,1)</f>
        <v>5</v>
      </c>
      <c r="J1" s="2837">
        <f ca="1">MATCH(C3,H3:H7,1)+IF(SUMIF(H3:H7,C3,J3:J7)=0,2,1)</f>
        <v>2</v>
      </c>
      <c r="N1" s="2778">
        <f>IF(C1&gt;M13,0,MATCH(C1,M$13:M$100,-1))+IF(SUMIF(M13:M100,C1,N13:N100)=0,13,12)</f>
        <v>13</v>
      </c>
      <c r="P1" s="2838"/>
      <c r="Q1" s="2838"/>
      <c r="R1" s="2838"/>
      <c r="S1" s="2838"/>
      <c r="T1" s="2838"/>
      <c r="U1" s="2838"/>
      <c r="V1" s="2838"/>
      <c r="W1" s="2838"/>
      <c r="X1" s="2838"/>
      <c r="Y1" s="2838"/>
      <c r="Z1" s="2838"/>
      <c r="AA1" s="2838"/>
      <c r="AB1" s="2838"/>
      <c r="AC1" s="2838"/>
      <c r="AD1" s="2838"/>
      <c r="AE1" s="2838"/>
      <c r="AF1" s="2838"/>
      <c r="AG1" s="2838"/>
      <c r="AH1" s="2838"/>
      <c r="AI1" s="2838"/>
      <c r="AJ1" s="2838"/>
      <c r="AK1" s="2838"/>
      <c r="AL1" s="2838"/>
      <c r="AM1" s="2838"/>
      <c r="AN1" s="2838"/>
      <c r="AO1" s="2838"/>
      <c r="AP1" s="2838"/>
      <c r="AQ1" s="2838"/>
      <c r="AR1" s="2838"/>
      <c r="AS1" s="2838"/>
      <c r="AT1" s="2838"/>
      <c r="AU1" s="2838"/>
      <c r="AV1" s="2838"/>
      <c r="AW1" s="2838"/>
      <c r="AX1" s="2838"/>
      <c r="AY1" s="2838"/>
      <c r="AZ1" s="2838"/>
      <c r="BA1" s="2838"/>
      <c r="BB1" s="2838"/>
      <c r="BC1" s="2838"/>
      <c r="BD1" s="2838"/>
      <c r="BE1" s="2838"/>
      <c r="BF1" s="2838"/>
      <c r="BG1" s="2838"/>
      <c r="BH1" s="2838"/>
      <c r="BI1" s="2838"/>
      <c r="BJ1" s="2838"/>
      <c r="BK1" s="2838"/>
      <c r="BL1" s="2838"/>
      <c r="BM1" s="2838"/>
      <c r="BN1" s="2838"/>
      <c r="BO1" s="2838"/>
      <c r="BP1" s="2838"/>
      <c r="BQ1" s="2838"/>
      <c r="BR1" s="2838"/>
      <c r="BS1" s="2838"/>
      <c r="BT1" s="2838"/>
      <c r="BU1" s="2838"/>
      <c r="BV1" s="2838"/>
      <c r="BW1" s="2838"/>
      <c r="BX1" s="2838"/>
      <c r="BY1" s="2838"/>
      <c r="BZ1" s="2838"/>
      <c r="CA1" s="2838"/>
      <c r="CB1" s="2838"/>
      <c r="CC1" s="2838"/>
      <c r="CD1" s="2838"/>
      <c r="CE1" s="2838"/>
      <c r="CF1" s="2838"/>
      <c r="CG1" s="2838"/>
      <c r="CH1" s="2838"/>
      <c r="CI1" s="2838"/>
      <c r="CJ1" s="2838"/>
      <c r="CK1" s="2838"/>
      <c r="CL1" s="2838"/>
      <c r="CM1" s="2838"/>
      <c r="CN1" s="2838"/>
      <c r="CO1" s="2838"/>
      <c r="CP1" s="2838"/>
      <c r="CQ1" s="2838"/>
      <c r="CR1" s="2838"/>
      <c r="CS1" s="2838"/>
      <c r="CT1" s="2838"/>
      <c r="CU1" s="2838"/>
      <c r="CV1" s="2838"/>
      <c r="CW1" s="2838"/>
      <c r="CX1" s="2838"/>
      <c r="CY1" s="2838"/>
      <c r="CZ1" s="2838"/>
      <c r="DA1" s="2838"/>
      <c r="DB1" s="2838"/>
      <c r="DC1" s="2838"/>
      <c r="DD1" s="2838"/>
      <c r="DE1" s="2838"/>
      <c r="DF1" s="2838"/>
      <c r="DG1" s="2838"/>
      <c r="DH1" s="2838"/>
      <c r="DI1" s="2838"/>
      <c r="DJ1" s="2838"/>
      <c r="DK1" s="2838"/>
      <c r="DL1" s="2838"/>
      <c r="DM1" s="2838"/>
      <c r="DN1" s="2838"/>
      <c r="DO1" s="2838"/>
      <c r="DP1" s="2838"/>
      <c r="DQ1" s="2838"/>
      <c r="DR1" s="2838"/>
      <c r="DS1" s="2838"/>
      <c r="DT1" s="2838"/>
      <c r="DU1" s="2838"/>
      <c r="DV1" s="2838"/>
      <c r="DW1" s="2838"/>
      <c r="DX1" s="2838"/>
      <c r="DY1" s="2838"/>
      <c r="DZ1" s="2838"/>
      <c r="EA1" s="2838"/>
      <c r="EB1" s="2838"/>
      <c r="EC1" s="2838"/>
      <c r="ED1" s="2838"/>
      <c r="EE1" s="2838"/>
      <c r="EF1" s="2838"/>
      <c r="EG1" s="2838"/>
      <c r="EH1" s="2838"/>
      <c r="EI1" s="2838"/>
      <c r="EJ1" s="2838"/>
      <c r="EK1" s="2838"/>
      <c r="EL1" s="2838"/>
      <c r="EM1" s="2838"/>
      <c r="EN1" s="2838"/>
      <c r="EO1" s="2838"/>
      <c r="EP1" s="2838"/>
      <c r="EQ1" s="2838"/>
      <c r="ER1" s="2838"/>
      <c r="ES1" s="2838"/>
      <c r="ET1" s="2838"/>
      <c r="EU1" s="2838"/>
      <c r="EV1" s="2838"/>
      <c r="EW1" s="2838"/>
      <c r="EX1" s="2838"/>
      <c r="EY1" s="2838"/>
      <c r="EZ1" s="2838"/>
      <c r="FA1" s="2838"/>
      <c r="FB1" s="2838"/>
      <c r="FC1" s="2838"/>
      <c r="FD1" s="2838"/>
      <c r="FE1" s="2838"/>
      <c r="FF1" s="2838"/>
      <c r="FG1" s="2838"/>
      <c r="FH1" s="2838"/>
      <c r="FI1" s="2838"/>
      <c r="FJ1" s="2838"/>
      <c r="FK1" s="2838"/>
      <c r="FL1" s="2838"/>
      <c r="FM1" s="2838"/>
      <c r="FN1" s="2838"/>
      <c r="FO1" s="2838"/>
      <c r="FP1" s="2838"/>
      <c r="FQ1" s="2838"/>
      <c r="FR1" s="2838"/>
      <c r="FS1" s="2838"/>
      <c r="FT1" s="2838"/>
      <c r="FU1" s="2838"/>
      <c r="FV1" s="2838"/>
      <c r="FW1" s="2838"/>
      <c r="FX1" s="2838"/>
      <c r="FY1" s="2838"/>
      <c r="FZ1" s="2838"/>
      <c r="GA1" s="2838"/>
      <c r="GB1" s="2838"/>
      <c r="GC1" s="2838"/>
      <c r="GD1" s="2838"/>
      <c r="GE1" s="2838"/>
      <c r="GF1" s="2838"/>
      <c r="GG1" s="2838"/>
      <c r="GH1" s="2838"/>
      <c r="GI1" s="2838"/>
      <c r="GJ1" s="2838"/>
      <c r="GK1" s="2838"/>
      <c r="GL1" s="2838"/>
      <c r="GM1" s="2838"/>
      <c r="GN1" s="2838"/>
      <c r="GO1" s="2838"/>
      <c r="GP1" s="2838"/>
      <c r="GQ1" s="2838"/>
      <c r="GR1" s="2838"/>
      <c r="GS1" s="2838"/>
      <c r="GT1" s="2838"/>
      <c r="GU1" s="2838"/>
      <c r="GV1" s="2838"/>
      <c r="GW1" s="2838"/>
      <c r="GX1" s="2838"/>
      <c r="GY1" s="2838"/>
      <c r="GZ1" s="2838"/>
      <c r="HA1" s="2838"/>
      <c r="HB1" s="2838"/>
      <c r="HC1" s="2838"/>
      <c r="HD1" s="2838"/>
      <c r="HE1" s="2838"/>
      <c r="HF1" s="2838"/>
      <c r="HG1" s="2838"/>
      <c r="HH1" s="2838"/>
      <c r="HI1" s="2838"/>
      <c r="HJ1" s="2838"/>
      <c r="HK1" s="2838"/>
      <c r="HL1" s="2838"/>
      <c r="HM1" s="2838"/>
      <c r="HN1" s="2838"/>
      <c r="HO1" s="2838"/>
      <c r="HP1" s="2838"/>
      <c r="HQ1" s="2838"/>
      <c r="HR1" s="2838"/>
      <c r="HS1" s="2838"/>
      <c r="HT1" s="2838"/>
      <c r="HU1" s="2838"/>
      <c r="HV1" s="2838"/>
      <c r="HW1" s="2838"/>
      <c r="HX1" s="2838"/>
      <c r="HY1" s="2838"/>
      <c r="HZ1" s="2838"/>
      <c r="IA1" s="2838"/>
      <c r="IB1" s="2838"/>
      <c r="IC1" s="2838"/>
      <c r="ID1" s="2838"/>
      <c r="IE1" s="2838"/>
      <c r="IF1" s="2838"/>
      <c r="IG1" s="2838"/>
      <c r="IH1" s="2838"/>
      <c r="II1" s="2838"/>
      <c r="IJ1" s="2838"/>
      <c r="IK1" s="2838"/>
      <c r="IL1" s="2838"/>
      <c r="IM1" s="2838"/>
      <c r="IN1" s="2838"/>
      <c r="IO1" s="2838"/>
      <c r="IP1" s="2838"/>
      <c r="IQ1" s="2838"/>
      <c r="IR1" s="2838"/>
      <c r="IS1" s="2838"/>
      <c r="IT1" s="2838"/>
      <c r="IU1" s="2838"/>
      <c r="IV1" s="2838"/>
    </row>
    <row r="2" spans="1:257" s="2836" customFormat="1" ht="15" thickTop="1" thickBot="1">
      <c r="A2" s="2780"/>
      <c r="B2" s="2841" t="s">
        <v>2814</v>
      </c>
      <c r="C2" s="2845">
        <f>'数据-取费表'!B22</f>
        <v>1.5</v>
      </c>
      <c r="D2" s="2840" t="s">
        <v>2784</v>
      </c>
      <c r="E2" s="2843">
        <f ca="1">INDIRECT("I"&amp;$I$1)/100</f>
        <v>4.7500000000000001E-2</v>
      </c>
      <c r="G2" s="2780"/>
      <c r="H2" s="2780"/>
      <c r="I2" s="2780" t="s">
        <v>2785</v>
      </c>
      <c r="K2" s="2780"/>
      <c r="L2" s="2780"/>
      <c r="M2" s="2780"/>
      <c r="N2" s="2780" t="s">
        <v>2786</v>
      </c>
      <c r="O2" s="2780"/>
      <c r="P2" s="2780"/>
      <c r="Q2" s="2780"/>
      <c r="R2" s="2780"/>
      <c r="S2" s="2780"/>
      <c r="T2" s="2780"/>
      <c r="U2" s="2780"/>
      <c r="V2" s="2780"/>
      <c r="W2" s="2780"/>
      <c r="X2" s="2780"/>
      <c r="Y2" s="2780"/>
      <c r="Z2" s="2780"/>
      <c r="AA2" s="2780"/>
      <c r="AB2" s="2780"/>
      <c r="AC2" s="2780"/>
      <c r="AD2" s="2780"/>
      <c r="AE2" s="2780"/>
      <c r="AF2" s="2780"/>
      <c r="AG2" s="2780"/>
      <c r="AH2" s="2780"/>
      <c r="AI2" s="2780"/>
      <c r="AJ2" s="2780"/>
      <c r="AK2" s="2780"/>
      <c r="AL2" s="2780"/>
      <c r="AM2" s="2780"/>
      <c r="AN2" s="2780"/>
      <c r="AO2" s="2780"/>
      <c r="AP2" s="2780"/>
      <c r="AQ2" s="2780"/>
      <c r="AR2" s="2780"/>
      <c r="AS2" s="2780"/>
      <c r="AT2" s="2780"/>
      <c r="AU2" s="2780"/>
      <c r="AV2" s="2780"/>
      <c r="AW2" s="2780"/>
      <c r="AX2" s="2780"/>
      <c r="AY2" s="2780"/>
      <c r="AZ2" s="2780"/>
      <c r="BA2" s="2780"/>
      <c r="BB2" s="2780"/>
      <c r="BC2" s="2780"/>
      <c r="BD2" s="2780"/>
      <c r="BE2" s="2780"/>
      <c r="BF2" s="2780"/>
      <c r="BG2" s="2780"/>
      <c r="BH2" s="2780"/>
      <c r="BI2" s="2780"/>
      <c r="BJ2" s="2780"/>
      <c r="BK2" s="2780"/>
      <c r="BL2" s="2780"/>
      <c r="BM2" s="2780"/>
      <c r="BN2" s="2780"/>
      <c r="BO2" s="2780"/>
      <c r="BP2" s="2780"/>
      <c r="BQ2" s="2780"/>
      <c r="BR2" s="2780"/>
      <c r="BS2" s="2780"/>
      <c r="BT2" s="2780"/>
      <c r="BU2" s="2780"/>
      <c r="BV2" s="2780"/>
      <c r="BW2" s="2780"/>
      <c r="BX2" s="2780"/>
      <c r="BY2" s="2780"/>
      <c r="BZ2" s="2780"/>
      <c r="CA2" s="2780"/>
      <c r="CB2" s="2780"/>
      <c r="CC2" s="2780"/>
      <c r="CD2" s="2780"/>
      <c r="CE2" s="2780"/>
      <c r="CF2" s="2780"/>
      <c r="CG2" s="2780"/>
      <c r="CH2" s="2780"/>
      <c r="CI2" s="2780"/>
      <c r="CJ2" s="2780"/>
      <c r="CK2" s="2780"/>
      <c r="CL2" s="2780"/>
      <c r="CM2" s="2780"/>
      <c r="CN2" s="2780"/>
      <c r="CO2" s="2780"/>
      <c r="CP2" s="2780"/>
      <c r="CQ2" s="2780"/>
      <c r="CR2" s="2780"/>
      <c r="CS2" s="2780"/>
      <c r="CT2" s="2780"/>
      <c r="CU2" s="2780"/>
      <c r="CV2" s="2780"/>
      <c r="CW2" s="2780"/>
      <c r="CX2" s="2780"/>
      <c r="CY2" s="2780"/>
      <c r="CZ2" s="2780"/>
      <c r="DA2" s="2780"/>
      <c r="DB2" s="2780"/>
      <c r="DC2" s="2780"/>
      <c r="DD2" s="2780"/>
      <c r="DE2" s="2780"/>
      <c r="DF2" s="2780"/>
      <c r="DG2" s="2780"/>
      <c r="DH2" s="2780"/>
      <c r="DI2" s="2780"/>
      <c r="DJ2" s="2780"/>
      <c r="DK2" s="2780"/>
      <c r="DL2" s="2780"/>
      <c r="DM2" s="2780"/>
      <c r="DN2" s="2780"/>
      <c r="DO2" s="2780"/>
      <c r="DP2" s="2780"/>
      <c r="DQ2" s="2780"/>
      <c r="DR2" s="2780"/>
      <c r="DS2" s="2780"/>
      <c r="DT2" s="2780"/>
      <c r="DU2" s="2780"/>
      <c r="DV2" s="2780"/>
      <c r="DW2" s="2780"/>
      <c r="DX2" s="2780"/>
      <c r="DY2" s="2780"/>
      <c r="DZ2" s="2780"/>
      <c r="EA2" s="2780"/>
      <c r="EB2" s="2780"/>
      <c r="EC2" s="2780"/>
      <c r="ED2" s="2780"/>
      <c r="EE2" s="2780"/>
      <c r="EF2" s="2780"/>
      <c r="EG2" s="2780"/>
      <c r="EH2" s="2780"/>
      <c r="EI2" s="2780"/>
      <c r="EJ2" s="2780"/>
      <c r="EK2" s="2780"/>
      <c r="EL2" s="2780"/>
      <c r="EM2" s="2780"/>
      <c r="EN2" s="2780"/>
      <c r="EO2" s="2780"/>
      <c r="EP2" s="2780"/>
      <c r="EQ2" s="2780"/>
      <c r="ER2" s="2780"/>
      <c r="ES2" s="2780"/>
      <c r="ET2" s="2780"/>
      <c r="EU2" s="2780"/>
      <c r="EV2" s="2780"/>
      <c r="EW2" s="2780"/>
      <c r="EX2" s="2780"/>
      <c r="EY2" s="2780"/>
      <c r="EZ2" s="2780"/>
      <c r="FA2" s="2780"/>
      <c r="FB2" s="2780"/>
      <c r="FC2" s="2780"/>
      <c r="FD2" s="2780"/>
      <c r="FE2" s="2780"/>
      <c r="FF2" s="2780"/>
      <c r="FG2" s="2780"/>
      <c r="FH2" s="2780"/>
      <c r="FI2" s="2780"/>
      <c r="FJ2" s="2780"/>
      <c r="FK2" s="2780"/>
      <c r="FL2" s="2780"/>
      <c r="FM2" s="2780"/>
      <c r="FN2" s="2780"/>
      <c r="FO2" s="2780"/>
      <c r="FP2" s="2780"/>
      <c r="FQ2" s="2780"/>
      <c r="FR2" s="2780"/>
      <c r="FS2" s="2780"/>
      <c r="FT2" s="2780"/>
      <c r="FU2" s="2780"/>
      <c r="FV2" s="2780"/>
      <c r="FW2" s="2780"/>
      <c r="FX2" s="2780"/>
      <c r="FY2" s="2780"/>
      <c r="FZ2" s="2780"/>
      <c r="GA2" s="2780"/>
      <c r="GB2" s="2780"/>
      <c r="GC2" s="2780"/>
      <c r="GD2" s="2780"/>
      <c r="GE2" s="2780"/>
      <c r="GF2" s="2780"/>
      <c r="GG2" s="2780"/>
      <c r="GH2" s="2780"/>
      <c r="GI2" s="2780"/>
      <c r="GJ2" s="2780"/>
      <c r="GK2" s="2780"/>
      <c r="GL2" s="2780"/>
      <c r="GM2" s="2780"/>
      <c r="GN2" s="2780"/>
      <c r="GO2" s="2780"/>
      <c r="GP2" s="2780"/>
      <c r="GQ2" s="2780"/>
      <c r="GR2" s="2780"/>
      <c r="GS2" s="2780"/>
      <c r="GT2" s="2780"/>
      <c r="GU2" s="2780"/>
      <c r="GV2" s="2780"/>
      <c r="GW2" s="2780"/>
      <c r="GX2" s="2780"/>
      <c r="GY2" s="2780"/>
      <c r="GZ2" s="2780"/>
      <c r="HA2" s="2780"/>
      <c r="HB2" s="2780"/>
      <c r="HC2" s="2780"/>
      <c r="HD2" s="2780"/>
      <c r="HE2" s="2780"/>
      <c r="HF2" s="2780"/>
      <c r="HG2" s="2780"/>
      <c r="HH2" s="2780"/>
      <c r="HI2" s="2780"/>
      <c r="HJ2" s="2780"/>
      <c r="HK2" s="2780"/>
      <c r="HL2" s="2780"/>
      <c r="HM2" s="2780"/>
      <c r="HN2" s="2780"/>
      <c r="HO2" s="2780"/>
      <c r="HP2" s="2780"/>
      <c r="HQ2" s="2780"/>
      <c r="HR2" s="2780"/>
      <c r="HS2" s="2780"/>
      <c r="HT2" s="2780"/>
      <c r="HU2" s="2780"/>
      <c r="HV2" s="2780"/>
      <c r="HW2" s="2780"/>
      <c r="HX2" s="2780"/>
      <c r="HY2" s="2780"/>
      <c r="HZ2" s="2780"/>
      <c r="IA2" s="2780"/>
      <c r="IB2" s="2780"/>
      <c r="IC2" s="2780"/>
      <c r="ID2" s="2780"/>
      <c r="IE2" s="2780"/>
      <c r="IF2" s="2780"/>
      <c r="IG2" s="2780"/>
      <c r="IH2" s="2780"/>
      <c r="II2" s="2780"/>
      <c r="IJ2" s="2780"/>
      <c r="IK2" s="2780"/>
      <c r="IL2" s="2780"/>
      <c r="IM2" s="2780"/>
      <c r="IN2" s="2780"/>
      <c r="IO2" s="2780"/>
      <c r="IP2" s="2780"/>
      <c r="IQ2" s="2780"/>
      <c r="IR2" s="2780"/>
      <c r="IS2" s="2780"/>
      <c r="IT2" s="2780"/>
      <c r="IU2" s="2780"/>
      <c r="IV2" s="2780"/>
      <c r="IW2" s="2780"/>
    </row>
    <row r="3" spans="1:257" s="2836" customFormat="1">
      <c r="A3" s="2781"/>
      <c r="B3" s="2840" t="s">
        <v>2816</v>
      </c>
      <c r="C3" s="2842">
        <f>'数据-取费表'!B19</f>
        <v>0</v>
      </c>
      <c r="D3" s="2840" t="s">
        <v>2784</v>
      </c>
      <c r="E3" s="2843">
        <f ca="1">INDIRECT("J"&amp;$J$1)/100</f>
        <v>0</v>
      </c>
      <c r="G3" s="2782" t="s">
        <v>2787</v>
      </c>
      <c r="H3" s="2783">
        <v>0</v>
      </c>
      <c r="I3" s="2784">
        <f ca="1">INDIRECT("d"&amp;$H$1)</f>
        <v>4.3499999999999996</v>
      </c>
      <c r="J3" s="2784">
        <f ca="1">INDIRECT("d"&amp;$H$1)</f>
        <v>4.3499999999999996</v>
      </c>
      <c r="K3" s="2781"/>
      <c r="L3" s="2781"/>
      <c r="M3" s="2785">
        <v>0.5</v>
      </c>
      <c r="N3" s="2786">
        <f ca="1">INDIRECT("p"&amp;$N$1)</f>
        <v>1.3</v>
      </c>
      <c r="O3" s="2781"/>
      <c r="P3" s="2781"/>
      <c r="Q3" s="2781"/>
      <c r="R3" s="2781"/>
      <c r="S3" s="2781"/>
      <c r="T3" s="2781"/>
      <c r="U3" s="2781"/>
      <c r="V3" s="2781"/>
      <c r="W3" s="2781"/>
      <c r="X3" s="2781"/>
      <c r="Y3" s="2781"/>
      <c r="Z3" s="2781"/>
      <c r="AA3" s="2781"/>
      <c r="AB3" s="2781"/>
      <c r="AC3" s="2781"/>
      <c r="AD3" s="2781"/>
      <c r="AE3" s="2781"/>
      <c r="AF3" s="2781"/>
      <c r="AG3" s="2781"/>
      <c r="AH3" s="2781"/>
      <c r="AI3" s="2781"/>
      <c r="AJ3" s="2781"/>
      <c r="AK3" s="2781"/>
      <c r="AL3" s="2781"/>
      <c r="AM3" s="2781"/>
      <c r="AN3" s="2781"/>
      <c r="AO3" s="2781"/>
      <c r="AP3" s="2781"/>
      <c r="AQ3" s="2781"/>
      <c r="AR3" s="2781"/>
      <c r="AS3" s="2781"/>
      <c r="AT3" s="2781"/>
      <c r="AU3" s="2781"/>
      <c r="AV3" s="2781"/>
      <c r="AW3" s="2781"/>
      <c r="AX3" s="2781"/>
      <c r="AY3" s="2781"/>
      <c r="AZ3" s="2781"/>
      <c r="BA3" s="2781"/>
      <c r="BB3" s="2781"/>
      <c r="BC3" s="2781"/>
      <c r="BD3" s="2781"/>
      <c r="BE3" s="2781"/>
      <c r="BF3" s="2781"/>
      <c r="BG3" s="2781"/>
      <c r="BH3" s="2781"/>
      <c r="BI3" s="2781"/>
      <c r="BJ3" s="2781"/>
      <c r="BK3" s="2781"/>
      <c r="BL3" s="2781"/>
      <c r="BM3" s="2781"/>
      <c r="BN3" s="2781"/>
      <c r="BO3" s="2781"/>
      <c r="BP3" s="2781"/>
      <c r="BQ3" s="2781"/>
      <c r="BR3" s="2781"/>
      <c r="BS3" s="2781"/>
      <c r="BT3" s="2781"/>
      <c r="BU3" s="2781"/>
      <c r="BV3" s="2781"/>
      <c r="BW3" s="2781"/>
      <c r="BX3" s="2781"/>
      <c r="BY3" s="2781"/>
      <c r="BZ3" s="2781"/>
      <c r="CA3" s="2781"/>
      <c r="CB3" s="2781"/>
      <c r="CC3" s="2781"/>
      <c r="CD3" s="2781"/>
      <c r="CE3" s="2781"/>
      <c r="CF3" s="2781"/>
      <c r="CG3" s="2781"/>
      <c r="CH3" s="2781"/>
      <c r="CI3" s="2781"/>
      <c r="CJ3" s="2781"/>
      <c r="CK3" s="2781"/>
      <c r="CL3" s="2781"/>
      <c r="CM3" s="2781"/>
      <c r="CN3" s="2781"/>
      <c r="CO3" s="2781"/>
      <c r="CP3" s="2781"/>
      <c r="CQ3" s="2781"/>
      <c r="CR3" s="2781"/>
      <c r="CS3" s="2781"/>
      <c r="CT3" s="2781"/>
      <c r="CU3" s="2781"/>
      <c r="CV3" s="2781"/>
      <c r="CW3" s="2781"/>
      <c r="CX3" s="2781"/>
      <c r="CY3" s="2781"/>
      <c r="CZ3" s="2781"/>
      <c r="DA3" s="2781"/>
      <c r="DB3" s="2781"/>
      <c r="DC3" s="2781"/>
      <c r="DD3" s="2781"/>
      <c r="DE3" s="2781"/>
      <c r="DF3" s="2781"/>
      <c r="DG3" s="2781"/>
      <c r="DH3" s="2781"/>
      <c r="DI3" s="2781"/>
      <c r="DJ3" s="2781"/>
      <c r="DK3" s="2781"/>
      <c r="DL3" s="2781"/>
      <c r="DM3" s="2781"/>
      <c r="DN3" s="2781"/>
      <c r="DO3" s="2781"/>
      <c r="DP3" s="2781"/>
      <c r="DQ3" s="2781"/>
      <c r="DR3" s="2781"/>
      <c r="DS3" s="2781"/>
      <c r="DT3" s="2781"/>
      <c r="DU3" s="2781"/>
      <c r="DV3" s="2781"/>
      <c r="DW3" s="2781"/>
      <c r="DX3" s="2781"/>
      <c r="DY3" s="2781"/>
      <c r="DZ3" s="2781"/>
      <c r="EA3" s="2781"/>
      <c r="EB3" s="2781"/>
      <c r="EC3" s="2781"/>
      <c r="ED3" s="2781"/>
      <c r="EE3" s="2781"/>
      <c r="EF3" s="2781"/>
      <c r="EG3" s="2781"/>
      <c r="EH3" s="2781"/>
      <c r="EI3" s="2781"/>
      <c r="EJ3" s="2781"/>
      <c r="EK3" s="2781"/>
      <c r="EL3" s="2781"/>
      <c r="EM3" s="2781"/>
      <c r="EN3" s="2781"/>
      <c r="EO3" s="2781"/>
      <c r="EP3" s="2781"/>
      <c r="EQ3" s="2781"/>
      <c r="ER3" s="2781"/>
      <c r="ES3" s="2781"/>
      <c r="ET3" s="2781"/>
      <c r="EU3" s="2781"/>
      <c r="EV3" s="2781"/>
      <c r="EW3" s="2781"/>
      <c r="EX3" s="2781"/>
      <c r="EY3" s="2781"/>
      <c r="EZ3" s="2781"/>
      <c r="FA3" s="2781"/>
      <c r="FB3" s="2781"/>
      <c r="FC3" s="2781"/>
      <c r="FD3" s="2781"/>
      <c r="FE3" s="2781"/>
      <c r="FF3" s="2781"/>
      <c r="FG3" s="2781"/>
      <c r="FH3" s="2781"/>
      <c r="FI3" s="2781"/>
      <c r="FJ3" s="2781"/>
      <c r="FK3" s="2781"/>
      <c r="FL3" s="2781"/>
      <c r="FM3" s="2781"/>
      <c r="FN3" s="2781"/>
      <c r="FO3" s="2781"/>
      <c r="FP3" s="2781"/>
      <c r="FQ3" s="2781"/>
      <c r="FR3" s="2781"/>
      <c r="FS3" s="2781"/>
      <c r="FT3" s="2781"/>
      <c r="FU3" s="2781"/>
      <c r="FV3" s="2781"/>
      <c r="FW3" s="2781"/>
      <c r="FX3" s="2781"/>
      <c r="FY3" s="2781"/>
      <c r="FZ3" s="2781"/>
      <c r="GA3" s="2781"/>
      <c r="GB3" s="2781"/>
      <c r="GC3" s="2781"/>
      <c r="GD3" s="2781"/>
      <c r="GE3" s="2781"/>
      <c r="GF3" s="2781"/>
      <c r="GG3" s="2781"/>
      <c r="GH3" s="2781"/>
      <c r="GI3" s="2781"/>
      <c r="GJ3" s="2781"/>
      <c r="GK3" s="2781"/>
      <c r="GL3" s="2781"/>
      <c r="GM3" s="2781"/>
      <c r="GN3" s="2781"/>
      <c r="GO3" s="2781"/>
      <c r="GP3" s="2781"/>
      <c r="GQ3" s="2781"/>
      <c r="GR3" s="2781"/>
      <c r="GS3" s="2781"/>
      <c r="GT3" s="2781"/>
      <c r="GU3" s="2781"/>
      <c r="GV3" s="2781"/>
      <c r="GW3" s="2781"/>
      <c r="GX3" s="2781"/>
      <c r="GY3" s="2781"/>
      <c r="GZ3" s="2781"/>
      <c r="HA3" s="2781"/>
      <c r="HB3" s="2781"/>
      <c r="HC3" s="2781"/>
      <c r="HD3" s="2781"/>
      <c r="HE3" s="2781"/>
      <c r="HF3" s="2781"/>
      <c r="HG3" s="2781"/>
      <c r="HH3" s="2781"/>
      <c r="HI3" s="2781"/>
      <c r="HJ3" s="2781"/>
      <c r="HK3" s="2781"/>
      <c r="HL3" s="2781"/>
      <c r="HM3" s="2781"/>
      <c r="HN3" s="2781"/>
      <c r="HO3" s="2781"/>
      <c r="HP3" s="2781"/>
      <c r="HQ3" s="2781"/>
      <c r="HR3" s="2781"/>
      <c r="HS3" s="2781"/>
      <c r="HT3" s="2781"/>
      <c r="HU3" s="2781"/>
      <c r="HV3" s="2781"/>
      <c r="HW3" s="2781"/>
      <c r="HX3" s="2781"/>
      <c r="HY3" s="2781"/>
      <c r="HZ3" s="2781"/>
      <c r="IA3" s="2781"/>
      <c r="IB3" s="2781"/>
      <c r="IC3" s="2781"/>
      <c r="ID3" s="2781"/>
      <c r="IE3" s="2781"/>
      <c r="IF3" s="2781"/>
      <c r="IG3" s="2781"/>
      <c r="IH3" s="2781"/>
      <c r="II3" s="2781"/>
      <c r="IJ3" s="2781"/>
      <c r="IK3" s="2781"/>
      <c r="IL3" s="2781"/>
      <c r="IM3" s="2781"/>
      <c r="IN3" s="2781"/>
      <c r="IO3" s="2781"/>
      <c r="IP3" s="2781"/>
      <c r="IQ3" s="2781"/>
      <c r="IR3" s="2781"/>
      <c r="IS3" s="2781"/>
      <c r="IT3" s="2781"/>
      <c r="IU3" s="2781"/>
      <c r="IV3" s="2781"/>
    </row>
    <row r="4" spans="1:257" s="2836" customFormat="1">
      <c r="A4" s="2781"/>
      <c r="B4" s="2840" t="s">
        <v>2815</v>
      </c>
      <c r="C4" s="2843">
        <f ca="1">N4/100</f>
        <v>1.4999999999999999E-2</v>
      </c>
      <c r="G4" s="2788" t="s">
        <v>2788</v>
      </c>
      <c r="H4" s="2789">
        <v>0.5</v>
      </c>
      <c r="I4" s="2790">
        <f ca="1">INDIRECT("e"&amp;$H$1)</f>
        <v>4.3499999999999996</v>
      </c>
      <c r="J4" s="2790">
        <f ca="1">INDIRECT("e"&amp;$H$1)</f>
        <v>4.3499999999999996</v>
      </c>
      <c r="K4" s="2781"/>
      <c r="L4" s="2781"/>
      <c r="M4" s="2791">
        <v>1</v>
      </c>
      <c r="N4" s="2792">
        <f ca="1">INDIRECT("q"&amp;$N$1)</f>
        <v>1.5</v>
      </c>
      <c r="O4" s="2781"/>
      <c r="P4" s="2781"/>
      <c r="Q4" s="2781"/>
      <c r="R4" s="2781"/>
      <c r="S4" s="2781"/>
      <c r="T4" s="2781"/>
      <c r="U4" s="2781"/>
      <c r="V4" s="2781"/>
      <c r="W4" s="2781"/>
      <c r="X4" s="2781"/>
      <c r="Y4" s="2781"/>
      <c r="Z4" s="2781"/>
      <c r="AA4" s="2781"/>
      <c r="AB4" s="2781"/>
      <c r="AC4" s="2781"/>
      <c r="AD4" s="2781"/>
      <c r="AE4" s="2781"/>
      <c r="AF4" s="2781"/>
      <c r="AG4" s="2781"/>
      <c r="AH4" s="2781"/>
      <c r="AI4" s="2781"/>
      <c r="AJ4" s="2781"/>
      <c r="AK4" s="2781"/>
      <c r="AL4" s="2781"/>
      <c r="AM4" s="2781"/>
      <c r="AN4" s="2781"/>
      <c r="AO4" s="2781"/>
      <c r="AP4" s="2781"/>
      <c r="AQ4" s="2781"/>
      <c r="AR4" s="2781"/>
      <c r="AS4" s="2781"/>
      <c r="AT4" s="2781"/>
      <c r="AU4" s="2781"/>
      <c r="AV4" s="2781"/>
      <c r="AW4" s="2781"/>
      <c r="AX4" s="2781"/>
      <c r="AY4" s="2781"/>
      <c r="AZ4" s="2781"/>
      <c r="BA4" s="2781"/>
      <c r="BB4" s="2781"/>
      <c r="BC4" s="2781"/>
      <c r="BD4" s="2781"/>
      <c r="BE4" s="2781"/>
      <c r="BF4" s="2781"/>
      <c r="BG4" s="2781"/>
      <c r="BH4" s="2781"/>
      <c r="BI4" s="2781"/>
      <c r="BJ4" s="2781"/>
      <c r="BK4" s="2781"/>
      <c r="BL4" s="2781"/>
      <c r="BM4" s="2781"/>
      <c r="BN4" s="2781"/>
      <c r="BO4" s="2781"/>
      <c r="BP4" s="2781"/>
      <c r="BQ4" s="2781"/>
      <c r="BR4" s="2781"/>
      <c r="BS4" s="2781"/>
      <c r="BT4" s="2781"/>
      <c r="BU4" s="2781"/>
      <c r="BV4" s="2781"/>
      <c r="BW4" s="2781"/>
      <c r="BX4" s="2781"/>
      <c r="BY4" s="2781"/>
      <c r="BZ4" s="2781"/>
      <c r="CA4" s="2781"/>
      <c r="CB4" s="2781"/>
      <c r="CC4" s="2781"/>
      <c r="CD4" s="2781"/>
      <c r="CE4" s="2781"/>
      <c r="CF4" s="2781"/>
      <c r="CG4" s="2781"/>
      <c r="CH4" s="2781"/>
      <c r="CI4" s="2781"/>
      <c r="CJ4" s="2781"/>
      <c r="CK4" s="2781"/>
      <c r="CL4" s="2781"/>
      <c r="CM4" s="2781"/>
      <c r="CN4" s="2781"/>
      <c r="CO4" s="2781"/>
      <c r="CP4" s="2781"/>
      <c r="CQ4" s="2781"/>
      <c r="CR4" s="2781"/>
      <c r="CS4" s="2781"/>
      <c r="CT4" s="2781"/>
      <c r="CU4" s="2781"/>
      <c r="CV4" s="2781"/>
      <c r="CW4" s="2781"/>
      <c r="CX4" s="2781"/>
      <c r="CY4" s="2781"/>
      <c r="CZ4" s="2781"/>
      <c r="DA4" s="2781"/>
      <c r="DB4" s="2781"/>
      <c r="DC4" s="2781"/>
      <c r="DD4" s="2781"/>
      <c r="DE4" s="2781"/>
      <c r="DF4" s="2781"/>
      <c r="DG4" s="2781"/>
      <c r="DH4" s="2781"/>
      <c r="DI4" s="2781"/>
      <c r="DJ4" s="2781"/>
      <c r="DK4" s="2781"/>
      <c r="DL4" s="2781"/>
      <c r="DM4" s="2781"/>
      <c r="DN4" s="2781"/>
      <c r="DO4" s="2781"/>
      <c r="DP4" s="2781"/>
      <c r="DQ4" s="2781"/>
      <c r="DR4" s="2781"/>
      <c r="DS4" s="2781"/>
      <c r="DT4" s="2781"/>
      <c r="DU4" s="2781"/>
      <c r="DV4" s="2781"/>
      <c r="DW4" s="2781"/>
      <c r="DX4" s="2781"/>
      <c r="DY4" s="2781"/>
      <c r="DZ4" s="2781"/>
      <c r="EA4" s="2781"/>
      <c r="EB4" s="2781"/>
      <c r="EC4" s="2781"/>
      <c r="ED4" s="2781"/>
      <c r="EE4" s="2781"/>
      <c r="EF4" s="2781"/>
      <c r="EG4" s="2781"/>
      <c r="EH4" s="2781"/>
      <c r="EI4" s="2781"/>
      <c r="EJ4" s="2781"/>
      <c r="EK4" s="2781"/>
      <c r="EL4" s="2781"/>
      <c r="EM4" s="2781"/>
      <c r="EN4" s="2781"/>
      <c r="EO4" s="2781"/>
      <c r="EP4" s="2781"/>
      <c r="EQ4" s="2781"/>
      <c r="ER4" s="2781"/>
      <c r="ES4" s="2781"/>
      <c r="ET4" s="2781"/>
      <c r="EU4" s="2781"/>
      <c r="EV4" s="2781"/>
      <c r="EW4" s="2781"/>
      <c r="EX4" s="2781"/>
      <c r="EY4" s="2781"/>
      <c r="EZ4" s="2781"/>
      <c r="FA4" s="2781"/>
      <c r="FB4" s="2781"/>
      <c r="FC4" s="2781"/>
      <c r="FD4" s="2781"/>
      <c r="FE4" s="2781"/>
      <c r="FF4" s="2781"/>
      <c r="FG4" s="2781"/>
      <c r="FH4" s="2781"/>
      <c r="FI4" s="2781"/>
      <c r="FJ4" s="2781"/>
      <c r="FK4" s="2781"/>
      <c r="FL4" s="2781"/>
      <c r="FM4" s="2781"/>
      <c r="FN4" s="2781"/>
      <c r="FO4" s="2781"/>
      <c r="FP4" s="2781"/>
      <c r="FQ4" s="2781"/>
      <c r="FR4" s="2781"/>
      <c r="FS4" s="2781"/>
      <c r="FT4" s="2781"/>
      <c r="FU4" s="2781"/>
      <c r="FV4" s="2781"/>
      <c r="FW4" s="2781"/>
      <c r="FX4" s="2781"/>
      <c r="FY4" s="2781"/>
      <c r="FZ4" s="2781"/>
      <c r="GA4" s="2781"/>
      <c r="GB4" s="2781"/>
      <c r="GC4" s="2781"/>
      <c r="GD4" s="2781"/>
      <c r="GE4" s="2781"/>
      <c r="GF4" s="2781"/>
      <c r="GG4" s="2781"/>
      <c r="GH4" s="2781"/>
      <c r="GI4" s="2781"/>
      <c r="GJ4" s="2781"/>
      <c r="GK4" s="2781"/>
      <c r="GL4" s="2781"/>
      <c r="GM4" s="2781"/>
      <c r="GN4" s="2781"/>
      <c r="GO4" s="2781"/>
      <c r="GP4" s="2781"/>
      <c r="GQ4" s="2781"/>
      <c r="GR4" s="2781"/>
      <c r="GS4" s="2781"/>
      <c r="GT4" s="2781"/>
      <c r="GU4" s="2781"/>
      <c r="GV4" s="2781"/>
      <c r="GW4" s="2781"/>
      <c r="GX4" s="2781"/>
      <c r="GY4" s="2781"/>
      <c r="GZ4" s="2781"/>
      <c r="HA4" s="2781"/>
      <c r="HB4" s="2781"/>
      <c r="HC4" s="2781"/>
      <c r="HD4" s="2781"/>
      <c r="HE4" s="2781"/>
      <c r="HF4" s="2781"/>
      <c r="HG4" s="2781"/>
      <c r="HH4" s="2781"/>
      <c r="HI4" s="2781"/>
      <c r="HJ4" s="2781"/>
      <c r="HK4" s="2781"/>
      <c r="HL4" s="2781"/>
      <c r="HM4" s="2781"/>
      <c r="HN4" s="2781"/>
      <c r="HO4" s="2781"/>
      <c r="HP4" s="2781"/>
      <c r="HQ4" s="2781"/>
      <c r="HR4" s="2781"/>
      <c r="HS4" s="2781"/>
      <c r="HT4" s="2781"/>
      <c r="HU4" s="2781"/>
      <c r="HV4" s="2781"/>
      <c r="HW4" s="2781"/>
      <c r="HX4" s="2781"/>
      <c r="HY4" s="2781"/>
      <c r="HZ4" s="2781"/>
      <c r="IA4" s="2781"/>
      <c r="IB4" s="2781"/>
      <c r="IC4" s="2781"/>
      <c r="ID4" s="2781"/>
      <c r="IE4" s="2781"/>
      <c r="IF4" s="2781"/>
      <c r="IG4" s="2781"/>
      <c r="IH4" s="2781"/>
      <c r="II4" s="2781"/>
      <c r="IJ4" s="2781"/>
      <c r="IK4" s="2781"/>
      <c r="IL4" s="2781"/>
      <c r="IM4" s="2781"/>
      <c r="IN4" s="2781"/>
      <c r="IO4" s="2781"/>
      <c r="IP4" s="2781"/>
      <c r="IQ4" s="2781"/>
      <c r="IR4" s="2781"/>
      <c r="IS4" s="2781"/>
      <c r="IT4" s="2781"/>
      <c r="IU4" s="2781"/>
      <c r="IV4" s="2781"/>
    </row>
    <row r="5" spans="1:257" s="2836" customFormat="1">
      <c r="A5" s="2781"/>
      <c r="G5" s="2788" t="s">
        <v>2789</v>
      </c>
      <c r="H5" s="2789">
        <v>1</v>
      </c>
      <c r="I5" s="2790">
        <f ca="1">INDIRECT("f"&amp;$H$1)</f>
        <v>4.75</v>
      </c>
      <c r="J5" s="2790">
        <f ca="1">INDIRECT("f"&amp;$H$1)</f>
        <v>4.75</v>
      </c>
      <c r="K5" s="2781"/>
      <c r="L5" s="2781"/>
      <c r="M5" s="2791">
        <v>2</v>
      </c>
      <c r="N5" s="2792">
        <f ca="1">INDIRECT("r"&amp;$N$1)</f>
        <v>2.1</v>
      </c>
      <c r="O5" s="2781"/>
      <c r="P5" s="2781"/>
      <c r="Q5" s="2781"/>
      <c r="R5" s="2781"/>
      <c r="S5" s="2781"/>
      <c r="T5" s="2781"/>
      <c r="U5" s="2781"/>
      <c r="V5" s="2781"/>
      <c r="W5" s="2781"/>
      <c r="X5" s="2781"/>
      <c r="Y5" s="2781"/>
      <c r="Z5" s="2781"/>
      <c r="AA5" s="2781"/>
      <c r="AB5" s="2781"/>
      <c r="AC5" s="2781"/>
      <c r="AD5" s="2781"/>
      <c r="AE5" s="2781"/>
      <c r="AF5" s="2781"/>
      <c r="AG5" s="2781"/>
      <c r="AH5" s="2781"/>
      <c r="AI5" s="2781"/>
      <c r="AJ5" s="2781"/>
      <c r="AK5" s="2781"/>
      <c r="AL5" s="2781"/>
      <c r="AM5" s="2781"/>
      <c r="AN5" s="2781"/>
      <c r="AO5" s="2781"/>
      <c r="AP5" s="2781"/>
      <c r="AQ5" s="2781"/>
      <c r="AR5" s="2781"/>
      <c r="AS5" s="2781"/>
      <c r="AT5" s="2781"/>
      <c r="AU5" s="2781"/>
      <c r="AV5" s="2781"/>
      <c r="AW5" s="2781"/>
      <c r="AX5" s="2781"/>
      <c r="AY5" s="2781"/>
      <c r="AZ5" s="2781"/>
      <c r="BA5" s="2781"/>
      <c r="BB5" s="2781"/>
      <c r="BC5" s="2781"/>
      <c r="BD5" s="2781"/>
      <c r="BE5" s="2781"/>
      <c r="BF5" s="2781"/>
      <c r="BG5" s="2781"/>
      <c r="BH5" s="2781"/>
      <c r="BI5" s="2781"/>
      <c r="BJ5" s="2781"/>
      <c r="BK5" s="2781"/>
      <c r="BL5" s="2781"/>
      <c r="BM5" s="2781"/>
      <c r="BN5" s="2781"/>
      <c r="BO5" s="2781"/>
      <c r="BP5" s="2781"/>
      <c r="BQ5" s="2781"/>
      <c r="BR5" s="2781"/>
      <c r="BS5" s="2781"/>
      <c r="BT5" s="2781"/>
      <c r="BU5" s="2781"/>
      <c r="BV5" s="2781"/>
      <c r="BW5" s="2781"/>
      <c r="BX5" s="2781"/>
      <c r="BY5" s="2781"/>
      <c r="BZ5" s="2781"/>
      <c r="CA5" s="2781"/>
      <c r="CB5" s="2781"/>
      <c r="CC5" s="2781"/>
      <c r="CD5" s="2781"/>
      <c r="CE5" s="2781"/>
      <c r="CF5" s="2781"/>
      <c r="CG5" s="2781"/>
      <c r="CH5" s="2781"/>
      <c r="CI5" s="2781"/>
      <c r="CJ5" s="2781"/>
      <c r="CK5" s="2781"/>
      <c r="CL5" s="2781"/>
      <c r="CM5" s="2781"/>
      <c r="CN5" s="2781"/>
      <c r="CO5" s="2781"/>
      <c r="CP5" s="2781"/>
      <c r="CQ5" s="2781"/>
      <c r="CR5" s="2781"/>
      <c r="CS5" s="2781"/>
      <c r="CT5" s="2781"/>
      <c r="CU5" s="2781"/>
      <c r="CV5" s="2781"/>
      <c r="CW5" s="2781"/>
      <c r="CX5" s="2781"/>
      <c r="CY5" s="2781"/>
      <c r="CZ5" s="2781"/>
      <c r="DA5" s="2781"/>
      <c r="DB5" s="2781"/>
      <c r="DC5" s="2781"/>
      <c r="DD5" s="2781"/>
      <c r="DE5" s="2781"/>
      <c r="DF5" s="2781"/>
      <c r="DG5" s="2781"/>
      <c r="DH5" s="2781"/>
      <c r="DI5" s="2781"/>
      <c r="DJ5" s="2781"/>
      <c r="DK5" s="2781"/>
      <c r="DL5" s="2781"/>
      <c r="DM5" s="2781"/>
      <c r="DN5" s="2781"/>
      <c r="DO5" s="2781"/>
      <c r="DP5" s="2781"/>
      <c r="DQ5" s="2781"/>
      <c r="DR5" s="2781"/>
      <c r="DS5" s="2781"/>
      <c r="DT5" s="2781"/>
      <c r="DU5" s="2781"/>
      <c r="DV5" s="2781"/>
      <c r="DW5" s="2781"/>
      <c r="DX5" s="2781"/>
      <c r="DY5" s="2781"/>
      <c r="DZ5" s="2781"/>
      <c r="EA5" s="2781"/>
      <c r="EB5" s="2781"/>
      <c r="EC5" s="2781"/>
      <c r="ED5" s="2781"/>
      <c r="EE5" s="2781"/>
      <c r="EF5" s="2781"/>
      <c r="EG5" s="2781"/>
      <c r="EH5" s="2781"/>
      <c r="EI5" s="2781"/>
      <c r="EJ5" s="2781"/>
      <c r="EK5" s="2781"/>
      <c r="EL5" s="2781"/>
      <c r="EM5" s="2781"/>
      <c r="EN5" s="2781"/>
      <c r="EO5" s="2781"/>
      <c r="EP5" s="2781"/>
      <c r="EQ5" s="2781"/>
      <c r="ER5" s="2781"/>
      <c r="ES5" s="2781"/>
      <c r="ET5" s="2781"/>
      <c r="EU5" s="2781"/>
      <c r="EV5" s="2781"/>
      <c r="EW5" s="2781"/>
      <c r="EX5" s="2781"/>
      <c r="EY5" s="2781"/>
      <c r="EZ5" s="2781"/>
      <c r="FA5" s="2781"/>
      <c r="FB5" s="2781"/>
      <c r="FC5" s="2781"/>
      <c r="FD5" s="2781"/>
      <c r="FE5" s="2781"/>
      <c r="FF5" s="2781"/>
      <c r="FG5" s="2781"/>
      <c r="FH5" s="2781"/>
      <c r="FI5" s="2781"/>
      <c r="FJ5" s="2781"/>
      <c r="FK5" s="2781"/>
      <c r="FL5" s="2781"/>
      <c r="FM5" s="2781"/>
      <c r="FN5" s="2781"/>
      <c r="FO5" s="2781"/>
      <c r="FP5" s="2781"/>
      <c r="FQ5" s="2781"/>
      <c r="FR5" s="2781"/>
      <c r="FS5" s="2781"/>
      <c r="FT5" s="2781"/>
      <c r="FU5" s="2781"/>
      <c r="FV5" s="2781"/>
      <c r="FW5" s="2781"/>
      <c r="FX5" s="2781"/>
      <c r="FY5" s="2781"/>
      <c r="FZ5" s="2781"/>
      <c r="GA5" s="2781"/>
      <c r="GB5" s="2781"/>
      <c r="GC5" s="2781"/>
      <c r="GD5" s="2781"/>
      <c r="GE5" s="2781"/>
      <c r="GF5" s="2781"/>
      <c r="GG5" s="2781"/>
      <c r="GH5" s="2781"/>
      <c r="GI5" s="2781"/>
      <c r="GJ5" s="2781"/>
      <c r="GK5" s="2781"/>
      <c r="GL5" s="2781"/>
      <c r="GM5" s="2781"/>
      <c r="GN5" s="2781"/>
      <c r="GO5" s="2781"/>
      <c r="GP5" s="2781"/>
      <c r="GQ5" s="2781"/>
      <c r="GR5" s="2781"/>
      <c r="GS5" s="2781"/>
      <c r="GT5" s="2781"/>
      <c r="GU5" s="2781"/>
      <c r="GV5" s="2781"/>
      <c r="GW5" s="2781"/>
      <c r="GX5" s="2781"/>
      <c r="GY5" s="2781"/>
      <c r="GZ5" s="2781"/>
      <c r="HA5" s="2781"/>
      <c r="HB5" s="2781"/>
      <c r="HC5" s="2781"/>
      <c r="HD5" s="2781"/>
      <c r="HE5" s="2781"/>
      <c r="HF5" s="2781"/>
      <c r="HG5" s="2781"/>
      <c r="HH5" s="2781"/>
      <c r="HI5" s="2781"/>
      <c r="HJ5" s="2781"/>
      <c r="HK5" s="2781"/>
      <c r="HL5" s="2781"/>
      <c r="HM5" s="2781"/>
      <c r="HN5" s="2781"/>
      <c r="HO5" s="2781"/>
      <c r="HP5" s="2781"/>
      <c r="HQ5" s="2781"/>
      <c r="HR5" s="2781"/>
      <c r="HS5" s="2781"/>
      <c r="HT5" s="2781"/>
      <c r="HU5" s="2781"/>
      <c r="HV5" s="2781"/>
      <c r="HW5" s="2781"/>
      <c r="HX5" s="2781"/>
      <c r="HY5" s="2781"/>
      <c r="HZ5" s="2781"/>
      <c r="IA5" s="2781"/>
      <c r="IB5" s="2781"/>
      <c r="IC5" s="2781"/>
      <c r="ID5" s="2781"/>
      <c r="IE5" s="2781"/>
      <c r="IF5" s="2781"/>
      <c r="IG5" s="2781"/>
      <c r="IH5" s="2781"/>
      <c r="II5" s="2781"/>
      <c r="IJ5" s="2781"/>
      <c r="IK5" s="2781"/>
      <c r="IL5" s="2781"/>
      <c r="IM5" s="2781"/>
      <c r="IN5" s="2781"/>
      <c r="IO5" s="2781"/>
      <c r="IP5" s="2781"/>
      <c r="IQ5" s="2781"/>
      <c r="IR5" s="2781"/>
      <c r="IS5" s="2781"/>
      <c r="IT5" s="2781"/>
      <c r="IU5" s="2781"/>
      <c r="IV5" s="2781"/>
    </row>
    <row r="6" spans="1:257" s="2836" customFormat="1">
      <c r="A6" s="2781"/>
      <c r="G6" s="2788" t="s">
        <v>2790</v>
      </c>
      <c r="H6" s="2789">
        <v>3</v>
      </c>
      <c r="I6" s="2790">
        <f ca="1">INDIRECT("g"&amp;$H$1)</f>
        <v>4.75</v>
      </c>
      <c r="J6" s="2790">
        <f ca="1">INDIRECT("g"&amp;$H$1)</f>
        <v>4.75</v>
      </c>
      <c r="K6" s="2781"/>
      <c r="L6" s="2781"/>
      <c r="M6" s="2791">
        <v>3</v>
      </c>
      <c r="N6" s="2792">
        <f ca="1">INDIRECT("s"&amp;$N$1)</f>
        <v>2.75</v>
      </c>
      <c r="O6" s="2781"/>
      <c r="P6" s="2781"/>
      <c r="Q6" s="2781"/>
      <c r="R6" s="2781"/>
      <c r="S6" s="2781"/>
      <c r="T6" s="2781"/>
      <c r="U6" s="2781"/>
      <c r="V6" s="2781"/>
      <c r="W6" s="2781"/>
      <c r="X6" s="2781"/>
      <c r="Y6" s="2781"/>
      <c r="Z6" s="2781"/>
      <c r="AA6" s="2781"/>
      <c r="AB6" s="2781"/>
      <c r="AC6" s="2781"/>
      <c r="AD6" s="2781"/>
      <c r="AE6" s="2781"/>
      <c r="AF6" s="2781"/>
      <c r="AG6" s="2781"/>
      <c r="AH6" s="2781"/>
      <c r="AI6" s="2781"/>
      <c r="AJ6" s="2781"/>
      <c r="AK6" s="2781"/>
      <c r="AL6" s="2781"/>
      <c r="AM6" s="2781"/>
      <c r="AN6" s="2781"/>
      <c r="AO6" s="2781"/>
      <c r="AP6" s="2781"/>
      <c r="AQ6" s="2781"/>
      <c r="AR6" s="2781"/>
      <c r="AS6" s="2781"/>
      <c r="AT6" s="2781"/>
      <c r="AU6" s="2781"/>
      <c r="AV6" s="2781"/>
      <c r="AW6" s="2781"/>
      <c r="AX6" s="2781"/>
      <c r="AY6" s="2781"/>
      <c r="AZ6" s="2781"/>
      <c r="BA6" s="2781"/>
      <c r="BB6" s="2781"/>
      <c r="BC6" s="2781"/>
      <c r="BD6" s="2781"/>
      <c r="BE6" s="2781"/>
      <c r="BF6" s="2781"/>
      <c r="BG6" s="2781"/>
      <c r="BH6" s="2781"/>
      <c r="BI6" s="2781"/>
      <c r="BJ6" s="2781"/>
      <c r="BK6" s="2781"/>
      <c r="BL6" s="2781"/>
      <c r="BM6" s="2781"/>
      <c r="BN6" s="2781"/>
      <c r="BO6" s="2781"/>
      <c r="BP6" s="2781"/>
      <c r="BQ6" s="2781"/>
      <c r="BR6" s="2781"/>
      <c r="BS6" s="2781"/>
      <c r="BT6" s="2781"/>
      <c r="BU6" s="2781"/>
      <c r="BV6" s="2781"/>
      <c r="BW6" s="2781"/>
      <c r="BX6" s="2781"/>
      <c r="BY6" s="2781"/>
      <c r="BZ6" s="2781"/>
      <c r="CA6" s="2781"/>
      <c r="CB6" s="2781"/>
      <c r="CC6" s="2781"/>
      <c r="CD6" s="2781"/>
      <c r="CE6" s="2781"/>
      <c r="CF6" s="2781"/>
      <c r="CG6" s="2781"/>
      <c r="CH6" s="2781"/>
      <c r="CI6" s="2781"/>
      <c r="CJ6" s="2781"/>
      <c r="CK6" s="2781"/>
      <c r="CL6" s="2781"/>
      <c r="CM6" s="2781"/>
      <c r="CN6" s="2781"/>
      <c r="CO6" s="2781"/>
      <c r="CP6" s="2781"/>
      <c r="CQ6" s="2781"/>
      <c r="CR6" s="2781"/>
      <c r="CS6" s="2781"/>
      <c r="CT6" s="2781"/>
      <c r="CU6" s="2781"/>
      <c r="CV6" s="2781"/>
      <c r="CW6" s="2781"/>
      <c r="CX6" s="2781"/>
      <c r="CY6" s="2781"/>
      <c r="CZ6" s="2781"/>
      <c r="DA6" s="2781"/>
      <c r="DB6" s="2781"/>
      <c r="DC6" s="2781"/>
      <c r="DD6" s="2781"/>
      <c r="DE6" s="2781"/>
      <c r="DF6" s="2781"/>
      <c r="DG6" s="2781"/>
      <c r="DH6" s="2781"/>
      <c r="DI6" s="2781"/>
      <c r="DJ6" s="2781"/>
      <c r="DK6" s="2781"/>
      <c r="DL6" s="2781"/>
      <c r="DM6" s="2781"/>
      <c r="DN6" s="2781"/>
      <c r="DO6" s="2781"/>
      <c r="DP6" s="2781"/>
      <c r="DQ6" s="2781"/>
      <c r="DR6" s="2781"/>
      <c r="DS6" s="2781"/>
      <c r="DT6" s="2781"/>
      <c r="DU6" s="2781"/>
      <c r="DV6" s="2781"/>
      <c r="DW6" s="2781"/>
      <c r="DX6" s="2781"/>
      <c r="DY6" s="2781"/>
      <c r="DZ6" s="2781"/>
      <c r="EA6" s="2781"/>
      <c r="EB6" s="2781"/>
      <c r="EC6" s="2781"/>
      <c r="ED6" s="2781"/>
      <c r="EE6" s="2781"/>
      <c r="EF6" s="2781"/>
      <c r="EG6" s="2781"/>
      <c r="EH6" s="2781"/>
      <c r="EI6" s="2781"/>
      <c r="EJ6" s="2781"/>
      <c r="EK6" s="2781"/>
      <c r="EL6" s="2781"/>
      <c r="EM6" s="2781"/>
      <c r="EN6" s="2781"/>
      <c r="EO6" s="2781"/>
      <c r="EP6" s="2781"/>
      <c r="EQ6" s="2781"/>
      <c r="ER6" s="2781"/>
      <c r="ES6" s="2781"/>
      <c r="ET6" s="2781"/>
      <c r="EU6" s="2781"/>
      <c r="EV6" s="2781"/>
      <c r="EW6" s="2781"/>
      <c r="EX6" s="2781"/>
      <c r="EY6" s="2781"/>
      <c r="EZ6" s="2781"/>
      <c r="FA6" s="2781"/>
      <c r="FB6" s="2781"/>
      <c r="FC6" s="2781"/>
      <c r="FD6" s="2781"/>
      <c r="FE6" s="2781"/>
      <c r="FF6" s="2781"/>
      <c r="FG6" s="2781"/>
      <c r="FH6" s="2781"/>
      <c r="FI6" s="2781"/>
      <c r="FJ6" s="2781"/>
      <c r="FK6" s="2781"/>
      <c r="FL6" s="2781"/>
      <c r="FM6" s="2781"/>
      <c r="FN6" s="2781"/>
      <c r="FO6" s="2781"/>
      <c r="FP6" s="2781"/>
      <c r="FQ6" s="2781"/>
      <c r="FR6" s="2781"/>
      <c r="FS6" s="2781"/>
      <c r="FT6" s="2781"/>
      <c r="FU6" s="2781"/>
      <c r="FV6" s="2781"/>
      <c r="FW6" s="2781"/>
      <c r="FX6" s="2781"/>
      <c r="FY6" s="2781"/>
      <c r="FZ6" s="2781"/>
      <c r="GA6" s="2781"/>
      <c r="GB6" s="2781"/>
      <c r="GC6" s="2781"/>
      <c r="GD6" s="2781"/>
      <c r="GE6" s="2781"/>
      <c r="GF6" s="2781"/>
      <c r="GG6" s="2781"/>
      <c r="GH6" s="2781"/>
      <c r="GI6" s="2781"/>
      <c r="GJ6" s="2781"/>
      <c r="GK6" s="2781"/>
      <c r="GL6" s="2781"/>
      <c r="GM6" s="2781"/>
      <c r="GN6" s="2781"/>
      <c r="GO6" s="2781"/>
      <c r="GP6" s="2781"/>
      <c r="GQ6" s="2781"/>
      <c r="GR6" s="2781"/>
      <c r="GS6" s="2781"/>
      <c r="GT6" s="2781"/>
      <c r="GU6" s="2781"/>
      <c r="GV6" s="2781"/>
      <c r="GW6" s="2781"/>
      <c r="GX6" s="2781"/>
      <c r="GY6" s="2781"/>
      <c r="GZ6" s="2781"/>
      <c r="HA6" s="2781"/>
      <c r="HB6" s="2781"/>
      <c r="HC6" s="2781"/>
      <c r="HD6" s="2781"/>
      <c r="HE6" s="2781"/>
      <c r="HF6" s="2781"/>
      <c r="HG6" s="2781"/>
      <c r="HH6" s="2781"/>
      <c r="HI6" s="2781"/>
      <c r="HJ6" s="2781"/>
      <c r="HK6" s="2781"/>
      <c r="HL6" s="2781"/>
      <c r="HM6" s="2781"/>
      <c r="HN6" s="2781"/>
      <c r="HO6" s="2781"/>
      <c r="HP6" s="2781"/>
      <c r="HQ6" s="2781"/>
      <c r="HR6" s="2781"/>
      <c r="HS6" s="2781"/>
      <c r="HT6" s="2781"/>
      <c r="HU6" s="2781"/>
      <c r="HV6" s="2781"/>
      <c r="HW6" s="2781"/>
      <c r="HX6" s="2781"/>
      <c r="HY6" s="2781"/>
      <c r="HZ6" s="2781"/>
      <c r="IA6" s="2781"/>
      <c r="IB6" s="2781"/>
      <c r="IC6" s="2781"/>
      <c r="ID6" s="2781"/>
      <c r="IE6" s="2781"/>
      <c r="IF6" s="2781"/>
      <c r="IG6" s="2781"/>
      <c r="IH6" s="2781"/>
      <c r="II6" s="2781"/>
      <c r="IJ6" s="2781"/>
      <c r="IK6" s="2781"/>
      <c r="IL6" s="2781"/>
      <c r="IM6" s="2781"/>
      <c r="IN6" s="2781"/>
      <c r="IO6" s="2781"/>
      <c r="IP6" s="2781"/>
      <c r="IQ6" s="2781"/>
      <c r="IR6" s="2781"/>
      <c r="IS6" s="2781"/>
      <c r="IT6" s="2781"/>
      <c r="IU6" s="2781"/>
      <c r="IV6" s="2781"/>
    </row>
    <row r="7" spans="1:257" s="2836" customFormat="1" ht="14.25" thickBot="1">
      <c r="A7" s="2781"/>
      <c r="G7" s="2793" t="s">
        <v>2791</v>
      </c>
      <c r="H7" s="2794">
        <v>5</v>
      </c>
      <c r="I7" s="2795">
        <f ca="1">INDIRECT("h"&amp;$H$1)</f>
        <v>4.9000000000000004</v>
      </c>
      <c r="J7" s="2795">
        <f ca="1">INDIRECT("h"&amp;$H$1)</f>
        <v>4.9000000000000004</v>
      </c>
      <c r="K7" s="2781"/>
      <c r="L7" s="2781"/>
      <c r="M7" s="2796">
        <v>5</v>
      </c>
      <c r="N7" s="2797">
        <f ca="1">INDIRECT("t"&amp;$N$1)</f>
        <v>0</v>
      </c>
      <c r="O7" s="2781"/>
      <c r="P7" s="2781"/>
      <c r="Q7" s="2781"/>
      <c r="R7" s="2781"/>
      <c r="S7" s="2781"/>
      <c r="T7" s="2781"/>
      <c r="U7" s="2781"/>
      <c r="V7" s="2781"/>
      <c r="W7" s="2781"/>
      <c r="X7" s="2781"/>
      <c r="Y7" s="2781"/>
      <c r="Z7" s="2781"/>
      <c r="AA7" s="2781"/>
      <c r="AB7" s="2781"/>
      <c r="AC7" s="2781"/>
      <c r="AD7" s="2781"/>
      <c r="AE7" s="2781"/>
      <c r="AF7" s="2781"/>
      <c r="AG7" s="2781"/>
      <c r="AH7" s="2781"/>
      <c r="AI7" s="2781"/>
      <c r="AJ7" s="2781"/>
      <c r="AK7" s="2781"/>
      <c r="AL7" s="2781"/>
      <c r="AM7" s="2781"/>
      <c r="AN7" s="2781"/>
      <c r="AO7" s="2781"/>
      <c r="AP7" s="2781"/>
      <c r="AQ7" s="2781"/>
      <c r="AR7" s="2781"/>
      <c r="AS7" s="2781"/>
      <c r="AT7" s="2781"/>
      <c r="AU7" s="2781"/>
      <c r="AV7" s="2781"/>
      <c r="AW7" s="2781"/>
      <c r="AX7" s="2781"/>
      <c r="AY7" s="2781"/>
      <c r="AZ7" s="2781"/>
      <c r="BA7" s="2781"/>
      <c r="BB7" s="2781"/>
      <c r="BC7" s="2781"/>
      <c r="BD7" s="2781"/>
      <c r="BE7" s="2781"/>
      <c r="BF7" s="2781"/>
      <c r="BG7" s="2781"/>
      <c r="BH7" s="2781"/>
      <c r="BI7" s="2781"/>
      <c r="BJ7" s="2781"/>
      <c r="BK7" s="2781"/>
      <c r="BL7" s="2781"/>
      <c r="BM7" s="2781"/>
      <c r="BN7" s="2781"/>
      <c r="BO7" s="2781"/>
      <c r="BP7" s="2781"/>
      <c r="BQ7" s="2781"/>
      <c r="BR7" s="2781"/>
      <c r="BS7" s="2781"/>
      <c r="BT7" s="2781"/>
      <c r="BU7" s="2781"/>
      <c r="BV7" s="2781"/>
      <c r="BW7" s="2781"/>
      <c r="BX7" s="2781"/>
      <c r="BY7" s="2781"/>
      <c r="BZ7" s="2781"/>
      <c r="CA7" s="2781"/>
      <c r="CB7" s="2781"/>
      <c r="CC7" s="2781"/>
      <c r="CD7" s="2781"/>
      <c r="CE7" s="2781"/>
      <c r="CF7" s="2781"/>
      <c r="CG7" s="2781"/>
      <c r="CH7" s="2781"/>
      <c r="CI7" s="2781"/>
      <c r="CJ7" s="2781"/>
      <c r="CK7" s="2781"/>
      <c r="CL7" s="2781"/>
      <c r="CM7" s="2781"/>
      <c r="CN7" s="2781"/>
      <c r="CO7" s="2781"/>
      <c r="CP7" s="2781"/>
      <c r="CQ7" s="2781"/>
      <c r="CR7" s="2781"/>
      <c r="CS7" s="2781"/>
      <c r="CT7" s="2781"/>
      <c r="CU7" s="2781"/>
      <c r="CV7" s="2781"/>
      <c r="CW7" s="2781"/>
      <c r="CX7" s="2781"/>
      <c r="CY7" s="2781"/>
      <c r="CZ7" s="2781"/>
      <c r="DA7" s="2781"/>
      <c r="DB7" s="2781"/>
      <c r="DC7" s="2781"/>
      <c r="DD7" s="2781"/>
      <c r="DE7" s="2781"/>
      <c r="DF7" s="2781"/>
      <c r="DG7" s="2781"/>
      <c r="DH7" s="2781"/>
      <c r="DI7" s="2781"/>
      <c r="DJ7" s="2781"/>
      <c r="DK7" s="2781"/>
      <c r="DL7" s="2781"/>
      <c r="DM7" s="2781"/>
      <c r="DN7" s="2781"/>
      <c r="DO7" s="2781"/>
      <c r="DP7" s="2781"/>
      <c r="DQ7" s="2781"/>
      <c r="DR7" s="2781"/>
      <c r="DS7" s="2781"/>
      <c r="DT7" s="2781"/>
      <c r="DU7" s="2781"/>
      <c r="DV7" s="2781"/>
      <c r="DW7" s="2781"/>
      <c r="DX7" s="2781"/>
      <c r="DY7" s="2781"/>
      <c r="DZ7" s="2781"/>
      <c r="EA7" s="2781"/>
      <c r="EB7" s="2781"/>
      <c r="EC7" s="2781"/>
      <c r="ED7" s="2781"/>
      <c r="EE7" s="2781"/>
      <c r="EF7" s="2781"/>
      <c r="EG7" s="2781"/>
      <c r="EH7" s="2781"/>
      <c r="EI7" s="2781"/>
      <c r="EJ7" s="2781"/>
      <c r="EK7" s="2781"/>
      <c r="EL7" s="2781"/>
      <c r="EM7" s="2781"/>
      <c r="EN7" s="2781"/>
      <c r="EO7" s="2781"/>
      <c r="EP7" s="2781"/>
      <c r="EQ7" s="2781"/>
      <c r="ER7" s="2781"/>
      <c r="ES7" s="2781"/>
      <c r="ET7" s="2781"/>
      <c r="EU7" s="2781"/>
      <c r="EV7" s="2781"/>
      <c r="EW7" s="2781"/>
      <c r="EX7" s="2781"/>
      <c r="EY7" s="2781"/>
      <c r="EZ7" s="2781"/>
      <c r="FA7" s="2781"/>
      <c r="FB7" s="2781"/>
      <c r="FC7" s="2781"/>
      <c r="FD7" s="2781"/>
      <c r="FE7" s="2781"/>
      <c r="FF7" s="2781"/>
      <c r="FG7" s="2781"/>
      <c r="FH7" s="2781"/>
      <c r="FI7" s="2781"/>
      <c r="FJ7" s="2781"/>
      <c r="FK7" s="2781"/>
      <c r="FL7" s="2781"/>
      <c r="FM7" s="2781"/>
      <c r="FN7" s="2781"/>
      <c r="FO7" s="2781"/>
      <c r="FP7" s="2781"/>
      <c r="FQ7" s="2781"/>
      <c r="FR7" s="2781"/>
      <c r="FS7" s="2781"/>
      <c r="FT7" s="2781"/>
      <c r="FU7" s="2781"/>
      <c r="FV7" s="2781"/>
      <c r="FW7" s="2781"/>
      <c r="FX7" s="2781"/>
      <c r="FY7" s="2781"/>
      <c r="FZ7" s="2781"/>
      <c r="GA7" s="2781"/>
      <c r="GB7" s="2781"/>
      <c r="GC7" s="2781"/>
      <c r="GD7" s="2781"/>
      <c r="GE7" s="2781"/>
      <c r="GF7" s="2781"/>
      <c r="GG7" s="2781"/>
      <c r="GH7" s="2781"/>
      <c r="GI7" s="2781"/>
      <c r="GJ7" s="2781"/>
      <c r="GK7" s="2781"/>
      <c r="GL7" s="2781"/>
      <c r="GM7" s="2781"/>
      <c r="GN7" s="2781"/>
      <c r="GO7" s="2781"/>
      <c r="GP7" s="2781"/>
      <c r="GQ7" s="2781"/>
      <c r="GR7" s="2781"/>
      <c r="GS7" s="2781"/>
      <c r="GT7" s="2781"/>
      <c r="GU7" s="2781"/>
      <c r="GV7" s="2781"/>
      <c r="GW7" s="2781"/>
      <c r="GX7" s="2781"/>
      <c r="GY7" s="2781"/>
      <c r="GZ7" s="2781"/>
      <c r="HA7" s="2781"/>
      <c r="HB7" s="2781"/>
      <c r="HC7" s="2781"/>
      <c r="HD7" s="2781"/>
      <c r="HE7" s="2781"/>
      <c r="HF7" s="2781"/>
      <c r="HG7" s="2781"/>
      <c r="HH7" s="2781"/>
      <c r="HI7" s="2781"/>
      <c r="HJ7" s="2781"/>
      <c r="HK7" s="2781"/>
      <c r="HL7" s="2781"/>
      <c r="HM7" s="2781"/>
      <c r="HN7" s="2781"/>
      <c r="HO7" s="2781"/>
      <c r="HP7" s="2781"/>
      <c r="HQ7" s="2781"/>
      <c r="HR7" s="2781"/>
      <c r="HS7" s="2781"/>
      <c r="HT7" s="2781"/>
      <c r="HU7" s="2781"/>
      <c r="HV7" s="2781"/>
      <c r="HW7" s="2781"/>
      <c r="HX7" s="2781"/>
      <c r="HY7" s="2781"/>
      <c r="HZ7" s="2781"/>
      <c r="IA7" s="2781"/>
      <c r="IB7" s="2781"/>
      <c r="IC7" s="2781"/>
      <c r="ID7" s="2781"/>
      <c r="IE7" s="2781"/>
      <c r="IF7" s="2781"/>
      <c r="IG7" s="2781"/>
      <c r="IH7" s="2781"/>
      <c r="II7" s="2781"/>
      <c r="IJ7" s="2781"/>
      <c r="IK7" s="2781"/>
      <c r="IL7" s="2781"/>
      <c r="IM7" s="2781"/>
      <c r="IN7" s="2781"/>
      <c r="IO7" s="2781"/>
      <c r="IP7" s="2781"/>
      <c r="IQ7" s="2781"/>
      <c r="IR7" s="2781"/>
      <c r="IS7" s="2781"/>
      <c r="IT7" s="2781"/>
      <c r="IU7" s="2781"/>
      <c r="IV7" s="2781"/>
    </row>
    <row r="8" spans="1:257">
      <c r="A8" s="2798"/>
      <c r="B8" s="2799"/>
      <c r="C8" s="2800"/>
      <c r="D8" s="2781"/>
      <c r="E8" s="2781"/>
      <c r="F8" s="2781"/>
      <c r="G8" s="2781"/>
      <c r="H8" s="2781"/>
      <c r="I8" s="2781"/>
      <c r="J8" s="2781"/>
      <c r="L8" s="2781"/>
      <c r="M8" s="2781"/>
      <c r="N8" s="2781"/>
      <c r="O8" s="2781"/>
      <c r="P8" s="2781"/>
      <c r="Q8" s="2781"/>
      <c r="R8" s="2781"/>
      <c r="S8" s="2781"/>
      <c r="T8" s="2781"/>
      <c r="U8" s="2781"/>
      <c r="V8" s="2781"/>
      <c r="W8" s="2781"/>
      <c r="X8" s="2781"/>
      <c r="Y8" s="2781"/>
      <c r="Z8" s="2781"/>
    </row>
    <row r="9" spans="1:257" ht="20.25">
      <c r="A9" s="2801"/>
      <c r="B9" s="2802" t="s">
        <v>2792</v>
      </c>
      <c r="C9" s="2803"/>
      <c r="D9" s="2804"/>
      <c r="E9" s="2804"/>
      <c r="F9" s="2804"/>
      <c r="G9" s="2804"/>
      <c r="H9" s="2804"/>
      <c r="I9" s="2804"/>
      <c r="J9" s="2804"/>
      <c r="K9" s="2804"/>
      <c r="L9" s="2804"/>
      <c r="M9" s="2804"/>
      <c r="N9" s="2804"/>
      <c r="O9" s="2804"/>
      <c r="P9" s="2804"/>
      <c r="Q9" s="2804"/>
      <c r="R9" s="2804"/>
      <c r="S9" s="2804"/>
      <c r="T9" s="2804"/>
      <c r="U9" s="2804"/>
      <c r="V9" s="2804"/>
      <c r="W9" s="2804"/>
      <c r="X9" s="2804"/>
      <c r="Y9" s="2804"/>
      <c r="Z9" s="2804"/>
      <c r="AA9" s="2805"/>
      <c r="AB9" s="2805"/>
      <c r="AC9" s="2805"/>
      <c r="AD9" s="2805"/>
      <c r="AE9" s="2805"/>
      <c r="AF9" s="2805"/>
      <c r="AG9" s="2805"/>
      <c r="AH9" s="2805"/>
      <c r="AI9" s="2805"/>
      <c r="AJ9" s="2805"/>
      <c r="AK9" s="2805"/>
      <c r="AL9" s="2805"/>
      <c r="AM9" s="2805"/>
      <c r="AN9" s="2805"/>
      <c r="AO9" s="2805"/>
      <c r="AP9" s="2805"/>
      <c r="AQ9" s="2805"/>
      <c r="AR9" s="2805"/>
      <c r="AS9" s="2805"/>
      <c r="AT9" s="2805"/>
      <c r="AU9" s="2805"/>
      <c r="AV9" s="2805"/>
      <c r="AW9" s="2805"/>
      <c r="AX9" s="2805"/>
      <c r="AY9" s="2805"/>
      <c r="AZ9" s="2805"/>
      <c r="BA9" s="2805"/>
      <c r="BB9" s="2805"/>
      <c r="BC9" s="2805"/>
      <c r="BD9" s="2805"/>
      <c r="BE9" s="2805"/>
      <c r="BF9" s="2805"/>
      <c r="BG9" s="2805"/>
      <c r="BH9" s="2805"/>
      <c r="BI9" s="2805"/>
      <c r="BJ9" s="2805"/>
      <c r="BK9" s="2805"/>
      <c r="BL9" s="2805"/>
      <c r="BM9" s="2805"/>
      <c r="BN9" s="2805"/>
      <c r="BO9" s="2805"/>
      <c r="BP9" s="2805"/>
      <c r="BQ9" s="2805"/>
      <c r="BR9" s="2805"/>
      <c r="BS9" s="2805"/>
      <c r="BT9" s="2805"/>
      <c r="BU9" s="2805"/>
      <c r="BV9" s="2805"/>
      <c r="BW9" s="2805"/>
      <c r="BX9" s="2805"/>
      <c r="BY9" s="2805"/>
      <c r="BZ9" s="2805"/>
      <c r="CA9" s="2805"/>
      <c r="CB9" s="2805"/>
      <c r="CC9" s="2805"/>
      <c r="CD9" s="2805"/>
      <c r="CE9" s="2805"/>
      <c r="CF9" s="2805"/>
      <c r="CG9" s="2805"/>
      <c r="CH9" s="2805"/>
      <c r="CI9" s="2805"/>
      <c r="CJ9" s="2805"/>
      <c r="CK9" s="2805"/>
      <c r="CL9" s="2805"/>
      <c r="CM9" s="2805"/>
      <c r="CN9" s="2805"/>
      <c r="CO9" s="2805"/>
      <c r="CP9" s="2805"/>
      <c r="CQ9" s="2805"/>
      <c r="CR9" s="2805"/>
      <c r="CS9" s="2805"/>
      <c r="CT9" s="2805"/>
      <c r="CU9" s="2805"/>
      <c r="CV9" s="2805"/>
      <c r="CW9" s="2805"/>
      <c r="CX9" s="2805"/>
      <c r="CY9" s="2805"/>
      <c r="CZ9" s="2805"/>
      <c r="DA9" s="2805"/>
      <c r="DB9" s="2805"/>
      <c r="DC9" s="2805"/>
      <c r="DD9" s="2805"/>
      <c r="DE9" s="2805"/>
      <c r="DF9" s="2805"/>
      <c r="DG9" s="2805"/>
      <c r="DH9" s="2805"/>
      <c r="DI9" s="2805"/>
      <c r="DJ9" s="2805"/>
      <c r="DK9" s="2805"/>
      <c r="DL9" s="2805"/>
      <c r="DM9" s="2805"/>
      <c r="DN9" s="2805"/>
      <c r="DO9" s="2805"/>
      <c r="DP9" s="2805"/>
      <c r="DQ9" s="2805"/>
      <c r="DR9" s="2805"/>
      <c r="DS9" s="2805"/>
      <c r="DT9" s="2805"/>
      <c r="DU9" s="2805"/>
      <c r="DV9" s="2805"/>
      <c r="DW9" s="2805"/>
      <c r="DX9" s="2805"/>
      <c r="DY9" s="2805"/>
      <c r="DZ9" s="2805"/>
      <c r="EA9" s="2805"/>
      <c r="EB9" s="2805"/>
      <c r="EC9" s="2805"/>
      <c r="ED9" s="2805"/>
      <c r="EE9" s="2805"/>
      <c r="EF9" s="2805"/>
      <c r="EG9" s="2805"/>
      <c r="EH9" s="2805"/>
      <c r="EI9" s="2805"/>
      <c r="EJ9" s="2805"/>
      <c r="EK9" s="2805"/>
      <c r="EL9" s="2805"/>
      <c r="EM9" s="2805"/>
      <c r="EN9" s="2805"/>
      <c r="EO9" s="2805"/>
      <c r="EP9" s="2805"/>
      <c r="EQ9" s="2805"/>
      <c r="ER9" s="2805"/>
      <c r="ES9" s="2805"/>
      <c r="ET9" s="2805"/>
      <c r="EU9" s="2805"/>
      <c r="EV9" s="2805"/>
      <c r="EW9" s="2805"/>
      <c r="EX9" s="2805"/>
      <c r="EY9" s="2805"/>
      <c r="EZ9" s="2805"/>
      <c r="FA9" s="2805"/>
      <c r="FB9" s="2805"/>
      <c r="FC9" s="2805"/>
      <c r="FD9" s="2805"/>
      <c r="FE9" s="2805"/>
      <c r="FF9" s="2805"/>
      <c r="FG9" s="2805"/>
      <c r="FH9" s="2805"/>
      <c r="FI9" s="2805"/>
      <c r="FJ9" s="2805"/>
      <c r="FK9" s="2805"/>
      <c r="FL9" s="2805"/>
      <c r="FM9" s="2805"/>
      <c r="FN9" s="2805"/>
      <c r="FO9" s="2805"/>
      <c r="FP9" s="2805"/>
      <c r="FQ9" s="2805"/>
      <c r="FR9" s="2805"/>
      <c r="FS9" s="2805"/>
      <c r="FT9" s="2805"/>
      <c r="FU9" s="2805"/>
      <c r="FV9" s="2805"/>
      <c r="FW9" s="2805"/>
      <c r="FX9" s="2805"/>
      <c r="FY9" s="2805"/>
      <c r="FZ9" s="2805"/>
      <c r="GA9" s="2805"/>
      <c r="GB9" s="2805"/>
      <c r="GC9" s="2805"/>
      <c r="GD9" s="2805"/>
      <c r="GE9" s="2805"/>
      <c r="GF9" s="2805"/>
      <c r="GG9" s="2805"/>
      <c r="GH9" s="2805"/>
      <c r="GI9" s="2805"/>
      <c r="GJ9" s="2805"/>
      <c r="GK9" s="2805"/>
      <c r="GL9" s="2805"/>
      <c r="GM9" s="2805"/>
      <c r="GN9" s="2805"/>
      <c r="GO9" s="2805"/>
      <c r="GP9" s="2805"/>
      <c r="GQ9" s="2805"/>
      <c r="GR9" s="2805"/>
      <c r="GS9" s="2805"/>
      <c r="GT9" s="2805"/>
      <c r="GU9" s="2805"/>
      <c r="GV9" s="2805"/>
      <c r="GW9" s="2805"/>
      <c r="GX9" s="2805"/>
      <c r="GY9" s="2805"/>
      <c r="GZ9" s="2805"/>
      <c r="HA9" s="2805"/>
      <c r="HB9" s="2805"/>
      <c r="HC9" s="2805"/>
      <c r="HD9" s="2805"/>
      <c r="HE9" s="2805"/>
      <c r="HF9" s="2805"/>
      <c r="HG9" s="2805"/>
      <c r="HH9" s="2805"/>
      <c r="HI9" s="2805"/>
      <c r="HJ9" s="2805"/>
      <c r="HK9" s="2805"/>
      <c r="HL9" s="2805"/>
      <c r="HM9" s="2805"/>
      <c r="HN9" s="2805"/>
      <c r="HO9" s="2805"/>
      <c r="HP9" s="2805"/>
      <c r="HQ9" s="2805"/>
      <c r="HR9" s="2805"/>
      <c r="HS9" s="2805"/>
      <c r="HT9" s="2805"/>
      <c r="HU9" s="2805"/>
      <c r="HV9" s="2805"/>
      <c r="HW9" s="2805"/>
      <c r="HX9" s="2805"/>
      <c r="HY9" s="2805"/>
      <c r="HZ9" s="2805"/>
      <c r="IA9" s="2805"/>
      <c r="IB9" s="2805"/>
      <c r="IC9" s="2805"/>
      <c r="ID9" s="2805"/>
      <c r="IE9" s="2805"/>
      <c r="IF9" s="2805"/>
      <c r="IG9" s="2805"/>
      <c r="IH9" s="2805"/>
      <c r="II9" s="2805"/>
      <c r="IJ9" s="2805"/>
      <c r="IK9" s="2805"/>
      <c r="IL9" s="2805"/>
      <c r="IM9" s="2805"/>
      <c r="IN9" s="2805"/>
      <c r="IO9" s="2805"/>
      <c r="IP9" s="2805"/>
      <c r="IQ9" s="2805"/>
      <c r="IR9" s="2805"/>
      <c r="IS9" s="2805"/>
      <c r="IT9" s="2805"/>
      <c r="IU9" s="2805"/>
      <c r="IV9" s="2805"/>
      <c r="IW9" s="2806"/>
    </row>
    <row r="10" spans="1:257" ht="22.5">
      <c r="A10" s="2807"/>
      <c r="B10" s="2808" t="s">
        <v>2793</v>
      </c>
      <c r="C10" s="2807"/>
      <c r="D10" s="2807"/>
      <c r="E10" s="2807"/>
      <c r="F10" s="2807"/>
      <c r="G10" s="2807"/>
      <c r="H10" s="2807"/>
      <c r="I10" s="2781"/>
      <c r="J10" s="2781"/>
      <c r="K10" s="2807"/>
      <c r="L10" s="2808" t="s">
        <v>2794</v>
      </c>
      <c r="M10" s="2807"/>
      <c r="N10" s="2807"/>
      <c r="O10" s="2807"/>
      <c r="P10" s="2807"/>
      <c r="Q10" s="2807"/>
      <c r="R10" s="2807"/>
      <c r="S10" s="2807"/>
      <c r="T10" s="2807"/>
      <c r="U10" s="2807"/>
      <c r="V10" s="2807"/>
      <c r="W10" s="2807"/>
      <c r="X10" s="2807"/>
      <c r="Y10" s="2807"/>
      <c r="Z10" s="2807"/>
      <c r="AA10" s="2809"/>
      <c r="AB10" s="2809"/>
      <c r="AC10" s="2809"/>
      <c r="AD10" s="2809"/>
      <c r="AE10" s="2809"/>
      <c r="AF10" s="2809"/>
      <c r="AG10" s="2809"/>
      <c r="AH10" s="2809"/>
      <c r="AI10" s="2809"/>
      <c r="AJ10" s="2809"/>
      <c r="AK10" s="2809"/>
      <c r="AL10" s="2809"/>
      <c r="AM10" s="2809"/>
      <c r="AN10" s="2809"/>
      <c r="AO10" s="2809"/>
      <c r="AP10" s="2809"/>
      <c r="AQ10" s="2809"/>
      <c r="AR10" s="2809"/>
      <c r="AS10" s="2809"/>
      <c r="AT10" s="2809"/>
      <c r="AU10" s="2809"/>
      <c r="AV10" s="2809"/>
      <c r="AW10" s="2809"/>
      <c r="AX10" s="2809"/>
      <c r="AY10" s="2809"/>
      <c r="AZ10" s="2809"/>
      <c r="BA10" s="2809"/>
      <c r="BB10" s="2809"/>
      <c r="BC10" s="2809"/>
      <c r="BD10" s="2809"/>
      <c r="BE10" s="2809"/>
      <c r="BF10" s="2809"/>
      <c r="BG10" s="2809"/>
      <c r="BH10" s="2809"/>
      <c r="BI10" s="2809"/>
      <c r="BJ10" s="2809"/>
      <c r="BK10" s="2809"/>
      <c r="BL10" s="2809"/>
      <c r="BM10" s="2809"/>
      <c r="BN10" s="2809"/>
      <c r="BO10" s="2809"/>
      <c r="BP10" s="2809"/>
      <c r="BQ10" s="2809"/>
      <c r="BR10" s="2809"/>
      <c r="BS10" s="2809"/>
      <c r="BT10" s="2809"/>
      <c r="BU10" s="2809"/>
      <c r="BV10" s="2809"/>
      <c r="BW10" s="2809"/>
      <c r="BX10" s="2809"/>
      <c r="BY10" s="2809"/>
      <c r="BZ10" s="2809"/>
      <c r="CA10" s="2809"/>
      <c r="CB10" s="2809"/>
      <c r="CC10" s="2809"/>
      <c r="CD10" s="2809"/>
      <c r="CE10" s="2809"/>
      <c r="CF10" s="2809"/>
      <c r="CG10" s="2809"/>
      <c r="CH10" s="2809"/>
      <c r="CI10" s="2809"/>
      <c r="CJ10" s="2809"/>
      <c r="CK10" s="2809"/>
      <c r="CL10" s="2809"/>
      <c r="CM10" s="2809"/>
      <c r="CN10" s="2809"/>
      <c r="CO10" s="2809"/>
      <c r="CP10" s="2809"/>
      <c r="CQ10" s="2809"/>
      <c r="CR10" s="2809"/>
      <c r="CS10" s="2809"/>
      <c r="CT10" s="2809"/>
      <c r="CU10" s="2809"/>
      <c r="CV10" s="2809"/>
      <c r="CW10" s="2809"/>
      <c r="CX10" s="2809"/>
      <c r="CY10" s="2809"/>
      <c r="CZ10" s="2809"/>
      <c r="DA10" s="2809"/>
      <c r="DB10" s="2809"/>
      <c r="DC10" s="2809"/>
      <c r="DD10" s="2809"/>
      <c r="DE10" s="2809"/>
      <c r="DF10" s="2809"/>
      <c r="DG10" s="2809"/>
      <c r="DH10" s="2809"/>
      <c r="DI10" s="2809"/>
      <c r="DJ10" s="2809"/>
      <c r="DK10" s="2809"/>
      <c r="DL10" s="2809"/>
      <c r="DM10" s="2809"/>
      <c r="DN10" s="2809"/>
      <c r="DO10" s="2809"/>
      <c r="DP10" s="2809"/>
      <c r="DQ10" s="2809"/>
      <c r="DR10" s="2809"/>
      <c r="DS10" s="2809"/>
      <c r="DT10" s="2809"/>
      <c r="DU10" s="2809"/>
      <c r="DV10" s="2809"/>
      <c r="DW10" s="2809"/>
      <c r="DX10" s="2809"/>
      <c r="DY10" s="2809"/>
      <c r="DZ10" s="2809"/>
      <c r="EA10" s="2809"/>
      <c r="EB10" s="2809"/>
      <c r="EC10" s="2809"/>
      <c r="ED10" s="2809"/>
      <c r="EE10" s="2809"/>
      <c r="EF10" s="2809"/>
      <c r="EG10" s="2809"/>
      <c r="EH10" s="2809"/>
      <c r="EI10" s="2809"/>
      <c r="EJ10" s="2809"/>
      <c r="EK10" s="2809"/>
      <c r="EL10" s="2809"/>
      <c r="EM10" s="2809"/>
      <c r="EN10" s="2809"/>
      <c r="EO10" s="2809"/>
      <c r="EP10" s="2809"/>
      <c r="EQ10" s="2809"/>
      <c r="ER10" s="2809"/>
      <c r="ES10" s="2809"/>
      <c r="ET10" s="2809"/>
      <c r="EU10" s="2809"/>
      <c r="EV10" s="2809"/>
      <c r="EW10" s="2809"/>
      <c r="EX10" s="2809"/>
      <c r="EY10" s="2809"/>
      <c r="EZ10" s="2809"/>
      <c r="FA10" s="2809"/>
      <c r="FB10" s="2809"/>
      <c r="FC10" s="2809"/>
      <c r="FD10" s="2809"/>
      <c r="FE10" s="2809"/>
      <c r="FF10" s="2809"/>
      <c r="FG10" s="2809"/>
      <c r="FH10" s="2809"/>
      <c r="FI10" s="2809"/>
      <c r="FJ10" s="2809"/>
      <c r="FK10" s="2809"/>
      <c r="FL10" s="2809"/>
      <c r="FM10" s="2809"/>
      <c r="FN10" s="2809"/>
      <c r="FO10" s="2809"/>
      <c r="FP10" s="2809"/>
      <c r="FQ10" s="2809"/>
      <c r="FR10" s="2809"/>
      <c r="FS10" s="2809"/>
      <c r="FT10" s="2809"/>
      <c r="FU10" s="2809"/>
      <c r="FV10" s="2809"/>
      <c r="FW10" s="2809"/>
      <c r="FX10" s="2809"/>
      <c r="FY10" s="2809"/>
      <c r="FZ10" s="2809"/>
      <c r="GA10" s="2809"/>
      <c r="GB10" s="2809"/>
      <c r="GC10" s="2809"/>
      <c r="GD10" s="2809"/>
      <c r="GE10" s="2809"/>
      <c r="GF10" s="2809"/>
      <c r="GG10" s="2809"/>
      <c r="GH10" s="2809"/>
      <c r="GI10" s="2809"/>
      <c r="GJ10" s="2809"/>
      <c r="GK10" s="2809"/>
      <c r="GL10" s="2809"/>
      <c r="GM10" s="2809"/>
      <c r="GN10" s="2809"/>
      <c r="GO10" s="2809"/>
      <c r="GP10" s="2809"/>
      <c r="GQ10" s="2809"/>
      <c r="GR10" s="2809"/>
      <c r="GS10" s="2809"/>
      <c r="GT10" s="2809"/>
      <c r="GU10" s="2809"/>
      <c r="GV10" s="2809"/>
      <c r="GW10" s="2809"/>
      <c r="GX10" s="2809"/>
      <c r="GY10" s="2809"/>
      <c r="GZ10" s="2809"/>
      <c r="HA10" s="2809"/>
      <c r="HB10" s="2809"/>
      <c r="HC10" s="2809"/>
      <c r="HD10" s="2809"/>
      <c r="HE10" s="2809"/>
      <c r="HF10" s="2809"/>
      <c r="HG10" s="2809"/>
      <c r="HH10" s="2809"/>
      <c r="HI10" s="2809"/>
      <c r="HJ10" s="2809"/>
      <c r="HK10" s="2809"/>
      <c r="HL10" s="2809"/>
      <c r="HM10" s="2809"/>
      <c r="HN10" s="2809"/>
      <c r="HO10" s="2809"/>
      <c r="HP10" s="2809"/>
      <c r="HQ10" s="2809"/>
      <c r="HR10" s="2809"/>
      <c r="HS10" s="2809"/>
      <c r="HT10" s="2809"/>
      <c r="HU10" s="2809"/>
      <c r="HV10" s="2809"/>
      <c r="HW10" s="2809"/>
      <c r="HX10" s="2809"/>
      <c r="HY10" s="2809"/>
      <c r="HZ10" s="2809"/>
      <c r="IA10" s="2809"/>
      <c r="IB10" s="2809"/>
      <c r="IC10" s="2809"/>
      <c r="ID10" s="2809"/>
      <c r="IE10" s="2809"/>
      <c r="IF10" s="2809"/>
      <c r="IG10" s="2809"/>
      <c r="IH10" s="2809"/>
      <c r="II10" s="2809"/>
      <c r="IJ10" s="2809"/>
      <c r="IK10" s="2809"/>
      <c r="IL10" s="2809"/>
      <c r="IM10" s="2809"/>
      <c r="IN10" s="2809"/>
      <c r="IO10" s="2809"/>
      <c r="IP10" s="2809"/>
      <c r="IQ10" s="2809"/>
      <c r="IR10" s="2809"/>
      <c r="IS10" s="2809"/>
      <c r="IT10" s="2809"/>
      <c r="IU10" s="2809"/>
      <c r="IV10" s="2809"/>
    </row>
    <row r="11" spans="1:257">
      <c r="A11" s="2810"/>
      <c r="B11" s="2811" t="s">
        <v>2795</v>
      </c>
      <c r="C11" s="2812" t="s">
        <v>2796</v>
      </c>
      <c r="D11" s="2813" t="s">
        <v>2797</v>
      </c>
      <c r="E11" s="2814"/>
      <c r="F11" s="2813" t="s">
        <v>2798</v>
      </c>
      <c r="G11" s="2815"/>
      <c r="H11" s="2814"/>
      <c r="I11" s="2813" t="s">
        <v>2799</v>
      </c>
      <c r="J11" s="2814"/>
      <c r="K11" s="2810"/>
      <c r="L11" s="2811" t="s">
        <v>2795</v>
      </c>
      <c r="M11" s="2812" t="s">
        <v>2796</v>
      </c>
      <c r="N11" s="2811" t="s">
        <v>2800</v>
      </c>
      <c r="O11" s="2813" t="s">
        <v>2801</v>
      </c>
      <c r="P11" s="2815"/>
      <c r="Q11" s="2815"/>
      <c r="R11" s="2815"/>
      <c r="S11" s="2815"/>
      <c r="T11" s="2814"/>
      <c r="U11" s="2813" t="s">
        <v>2802</v>
      </c>
      <c r="V11" s="2815"/>
      <c r="W11" s="2814"/>
      <c r="X11" s="2811" t="s">
        <v>2803</v>
      </c>
      <c r="Y11" s="2811" t="s">
        <v>2804</v>
      </c>
      <c r="Z11" s="2811" t="s">
        <v>2805</v>
      </c>
      <c r="AA11" s="2816"/>
      <c r="AB11" s="2816"/>
      <c r="AC11" s="2816"/>
      <c r="AD11" s="2816"/>
      <c r="AE11" s="2816"/>
      <c r="AF11" s="2816"/>
      <c r="AG11" s="2816"/>
      <c r="AH11" s="2816"/>
      <c r="AI11" s="2816"/>
      <c r="AJ11" s="2816"/>
      <c r="AK11" s="2816"/>
      <c r="AL11" s="2816"/>
      <c r="AM11" s="2816"/>
      <c r="AN11" s="2816"/>
      <c r="AO11" s="2816"/>
      <c r="AP11" s="2816"/>
      <c r="AQ11" s="2816"/>
      <c r="AR11" s="2816"/>
      <c r="AS11" s="2816"/>
      <c r="AT11" s="2816"/>
      <c r="AU11" s="2816"/>
      <c r="AV11" s="2816"/>
      <c r="AW11" s="2816"/>
      <c r="AX11" s="2816"/>
      <c r="AY11" s="2816"/>
      <c r="AZ11" s="2816"/>
      <c r="BA11" s="2816"/>
      <c r="BB11" s="2816"/>
      <c r="BC11" s="2816"/>
      <c r="BD11" s="2816"/>
      <c r="BE11" s="2816"/>
      <c r="BF11" s="2816"/>
      <c r="BG11" s="2816"/>
      <c r="BH11" s="2816"/>
      <c r="BI11" s="2816"/>
      <c r="BJ11" s="2816"/>
      <c r="BK11" s="2816"/>
      <c r="BL11" s="2816"/>
      <c r="BM11" s="2816"/>
      <c r="BN11" s="2816"/>
      <c r="BO11" s="2816"/>
      <c r="BP11" s="2816"/>
      <c r="BQ11" s="2816"/>
      <c r="BR11" s="2816"/>
      <c r="BS11" s="2816"/>
      <c r="BT11" s="2816"/>
      <c r="BU11" s="2816"/>
      <c r="BV11" s="2816"/>
      <c r="BW11" s="2816"/>
      <c r="BX11" s="2816"/>
      <c r="BY11" s="2816"/>
      <c r="BZ11" s="2816"/>
      <c r="CA11" s="2816"/>
      <c r="CB11" s="2816"/>
      <c r="CC11" s="2816"/>
      <c r="CD11" s="2816"/>
      <c r="CE11" s="2816"/>
      <c r="CF11" s="2816"/>
      <c r="CG11" s="2816"/>
      <c r="CH11" s="2816"/>
      <c r="CI11" s="2816"/>
      <c r="CJ11" s="2816"/>
      <c r="CK11" s="2816"/>
      <c r="CL11" s="2816"/>
      <c r="CM11" s="2816"/>
      <c r="CN11" s="2816"/>
      <c r="CO11" s="2816"/>
      <c r="CP11" s="2816"/>
      <c r="CQ11" s="2816"/>
      <c r="CR11" s="2816"/>
      <c r="CS11" s="2816"/>
      <c r="CT11" s="2816"/>
      <c r="CU11" s="2816"/>
      <c r="CV11" s="2816"/>
      <c r="CW11" s="2816"/>
      <c r="CX11" s="2816"/>
      <c r="CY11" s="2816"/>
      <c r="CZ11" s="2816"/>
      <c r="DA11" s="2816"/>
      <c r="DB11" s="2816"/>
      <c r="DC11" s="2816"/>
      <c r="DD11" s="2816"/>
      <c r="DE11" s="2816"/>
      <c r="DF11" s="2816"/>
      <c r="DG11" s="2816"/>
      <c r="DH11" s="2816"/>
      <c r="DI11" s="2816"/>
      <c r="DJ11" s="2816"/>
      <c r="DK11" s="2816"/>
      <c r="DL11" s="2816"/>
      <c r="DM11" s="2816"/>
      <c r="DN11" s="2816"/>
      <c r="DO11" s="2816"/>
      <c r="DP11" s="2816"/>
      <c r="DQ11" s="2816"/>
      <c r="DR11" s="2816"/>
      <c r="DS11" s="2816"/>
      <c r="DT11" s="2816"/>
      <c r="DU11" s="2816"/>
      <c r="DV11" s="2816"/>
      <c r="DW11" s="2816"/>
      <c r="DX11" s="2816"/>
      <c r="DY11" s="2816"/>
      <c r="DZ11" s="2816"/>
      <c r="EA11" s="2816"/>
      <c r="EB11" s="2816"/>
      <c r="EC11" s="2816"/>
      <c r="ED11" s="2816"/>
      <c r="EE11" s="2816"/>
      <c r="EF11" s="2816"/>
      <c r="EG11" s="2816"/>
      <c r="EH11" s="2816"/>
      <c r="EI11" s="2816"/>
      <c r="EJ11" s="2816"/>
      <c r="EK11" s="2816"/>
      <c r="EL11" s="2816"/>
      <c r="EM11" s="2816"/>
      <c r="EN11" s="2816"/>
      <c r="EO11" s="2816"/>
      <c r="EP11" s="2816"/>
      <c r="EQ11" s="2816"/>
      <c r="ER11" s="2816"/>
      <c r="ES11" s="2816"/>
      <c r="ET11" s="2816"/>
      <c r="EU11" s="2816"/>
      <c r="EV11" s="2816"/>
      <c r="EW11" s="2816"/>
      <c r="EX11" s="2816"/>
      <c r="EY11" s="2816"/>
      <c r="EZ11" s="2816"/>
      <c r="FA11" s="2816"/>
      <c r="FB11" s="2816"/>
      <c r="FC11" s="2816"/>
      <c r="FD11" s="2816"/>
      <c r="FE11" s="2816"/>
      <c r="FF11" s="2816"/>
      <c r="FG11" s="2816"/>
      <c r="FH11" s="2816"/>
      <c r="FI11" s="2816"/>
      <c r="FJ11" s="2816"/>
      <c r="FK11" s="2816"/>
      <c r="FL11" s="2816"/>
      <c r="FM11" s="2816"/>
      <c r="FN11" s="2816"/>
      <c r="FO11" s="2816"/>
      <c r="FP11" s="2816"/>
      <c r="FQ11" s="2816"/>
      <c r="FR11" s="2816"/>
      <c r="FS11" s="2816"/>
      <c r="FT11" s="2816"/>
      <c r="FU11" s="2816"/>
      <c r="FV11" s="2816"/>
      <c r="FW11" s="2816"/>
      <c r="FX11" s="2816"/>
      <c r="FY11" s="2816"/>
      <c r="FZ11" s="2816"/>
      <c r="GA11" s="2816"/>
      <c r="GB11" s="2816"/>
      <c r="GC11" s="2816"/>
      <c r="GD11" s="2816"/>
      <c r="GE11" s="2816"/>
      <c r="GF11" s="2816"/>
      <c r="GG11" s="2816"/>
      <c r="GH11" s="2816"/>
      <c r="GI11" s="2816"/>
      <c r="GJ11" s="2816"/>
      <c r="GK11" s="2816"/>
      <c r="GL11" s="2816"/>
      <c r="GM11" s="2816"/>
      <c r="GN11" s="2816"/>
      <c r="GO11" s="2816"/>
      <c r="GP11" s="2816"/>
      <c r="GQ11" s="2816"/>
      <c r="GR11" s="2816"/>
      <c r="GS11" s="2816"/>
      <c r="GT11" s="2816"/>
      <c r="GU11" s="2816"/>
      <c r="GV11" s="2816"/>
      <c r="GW11" s="2816"/>
      <c r="GX11" s="2816"/>
      <c r="GY11" s="2816"/>
      <c r="GZ11" s="2816"/>
      <c r="HA11" s="2816"/>
      <c r="HB11" s="2816"/>
      <c r="HC11" s="2816"/>
      <c r="HD11" s="2816"/>
      <c r="HE11" s="2816"/>
      <c r="HF11" s="2816"/>
      <c r="HG11" s="2816"/>
      <c r="HH11" s="2816"/>
      <c r="HI11" s="2816"/>
      <c r="HJ11" s="2816"/>
      <c r="HK11" s="2816"/>
      <c r="HL11" s="2816"/>
      <c r="HM11" s="2816"/>
      <c r="HN11" s="2816"/>
      <c r="HO11" s="2816"/>
      <c r="HP11" s="2816"/>
      <c r="HQ11" s="2816"/>
      <c r="HR11" s="2816"/>
      <c r="HS11" s="2816"/>
      <c r="HT11" s="2816"/>
      <c r="HU11" s="2816"/>
      <c r="HV11" s="2816"/>
      <c r="HW11" s="2816"/>
      <c r="HX11" s="2816"/>
      <c r="HY11" s="2816"/>
      <c r="HZ11" s="2816"/>
      <c r="IA11" s="2816"/>
      <c r="IB11" s="2816"/>
      <c r="IC11" s="2816"/>
      <c r="ID11" s="2816"/>
      <c r="IE11" s="2816"/>
      <c r="IF11" s="2816"/>
      <c r="IG11" s="2816"/>
      <c r="IH11" s="2816"/>
      <c r="II11" s="2816"/>
      <c r="IJ11" s="2816"/>
      <c r="IK11" s="2816"/>
      <c r="IL11" s="2816"/>
      <c r="IM11" s="2816"/>
      <c r="IN11" s="2816"/>
      <c r="IO11" s="2816"/>
      <c r="IP11" s="2816"/>
      <c r="IQ11" s="2816"/>
      <c r="IR11" s="2816"/>
      <c r="IS11" s="2816"/>
      <c r="IT11" s="2816"/>
      <c r="IU11" s="2816"/>
      <c r="IV11" s="2816"/>
    </row>
    <row r="12" spans="1:257">
      <c r="A12" s="2817"/>
      <c r="B12" s="2818"/>
      <c r="C12" s="2819"/>
      <c r="D12" s="2820" t="s">
        <v>2806</v>
      </c>
      <c r="E12" s="2820" t="s">
        <v>2807</v>
      </c>
      <c r="F12" s="2820" t="s">
        <v>2808</v>
      </c>
      <c r="G12" s="2820" t="s">
        <v>2809</v>
      </c>
      <c r="H12" s="2820" t="s">
        <v>2791</v>
      </c>
      <c r="I12" s="2821" t="s">
        <v>2810</v>
      </c>
      <c r="J12" s="2821" t="s">
        <v>2810</v>
      </c>
      <c r="K12" s="2817"/>
      <c r="L12" s="2818"/>
      <c r="M12" s="2819"/>
      <c r="N12" s="2818"/>
      <c r="O12" s="2821" t="s">
        <v>2811</v>
      </c>
      <c r="P12" s="2821">
        <v>0.5</v>
      </c>
      <c r="Q12" s="2821">
        <v>1</v>
      </c>
      <c r="R12" s="2821">
        <v>2</v>
      </c>
      <c r="S12" s="2821">
        <v>3</v>
      </c>
      <c r="T12" s="2821">
        <v>5</v>
      </c>
      <c r="U12" s="2821">
        <v>1</v>
      </c>
      <c r="V12" s="2821">
        <v>3</v>
      </c>
      <c r="W12" s="2821">
        <v>5</v>
      </c>
      <c r="X12" s="2818"/>
      <c r="Y12" s="2818"/>
      <c r="Z12" s="2818"/>
      <c r="AA12" s="2822"/>
      <c r="AB12" s="2822"/>
      <c r="AC12" s="2822"/>
      <c r="AD12" s="2822"/>
      <c r="AE12" s="2822"/>
      <c r="AF12" s="2822"/>
      <c r="AG12" s="2822"/>
      <c r="AH12" s="2822"/>
      <c r="AI12" s="2822"/>
      <c r="AJ12" s="2822"/>
      <c r="AK12" s="2822"/>
      <c r="AL12" s="2822"/>
      <c r="AM12" s="2822"/>
      <c r="AN12" s="2822"/>
      <c r="AO12" s="2822"/>
      <c r="AP12" s="2822"/>
      <c r="AQ12" s="2822"/>
      <c r="AR12" s="2822"/>
      <c r="AS12" s="2822"/>
      <c r="AT12" s="2822"/>
      <c r="AU12" s="2822"/>
      <c r="AV12" s="2822"/>
      <c r="AW12" s="2822"/>
      <c r="AX12" s="2822"/>
      <c r="AY12" s="2822"/>
      <c r="AZ12" s="2822"/>
      <c r="BA12" s="2822"/>
      <c r="BB12" s="2822"/>
      <c r="BC12" s="2822"/>
      <c r="BD12" s="2822"/>
      <c r="BE12" s="2822"/>
      <c r="BF12" s="2822"/>
      <c r="BG12" s="2822"/>
      <c r="BH12" s="2822"/>
      <c r="BI12" s="2822"/>
      <c r="BJ12" s="2822"/>
      <c r="BK12" s="2822"/>
      <c r="BL12" s="2822"/>
      <c r="BM12" s="2822"/>
      <c r="BN12" s="2822"/>
      <c r="BO12" s="2822"/>
      <c r="BP12" s="2822"/>
      <c r="BQ12" s="2822"/>
      <c r="BR12" s="2822"/>
      <c r="BS12" s="2822"/>
      <c r="BT12" s="2822"/>
      <c r="BU12" s="2822"/>
      <c r="BV12" s="2822"/>
      <c r="BW12" s="2822"/>
      <c r="BX12" s="2822"/>
      <c r="BY12" s="2822"/>
      <c r="BZ12" s="2822"/>
      <c r="CA12" s="2822"/>
      <c r="CB12" s="2822"/>
      <c r="CC12" s="2822"/>
      <c r="CD12" s="2822"/>
      <c r="CE12" s="2822"/>
      <c r="CF12" s="2822"/>
      <c r="CG12" s="2822"/>
      <c r="CH12" s="2822"/>
      <c r="CI12" s="2822"/>
      <c r="CJ12" s="2822"/>
      <c r="CK12" s="2822"/>
      <c r="CL12" s="2822"/>
      <c r="CM12" s="2822"/>
      <c r="CN12" s="2822"/>
      <c r="CO12" s="2822"/>
      <c r="CP12" s="2822"/>
      <c r="CQ12" s="2822"/>
      <c r="CR12" s="2822"/>
      <c r="CS12" s="2822"/>
      <c r="CT12" s="2822"/>
      <c r="CU12" s="2822"/>
      <c r="CV12" s="2822"/>
      <c r="CW12" s="2822"/>
      <c r="CX12" s="2822"/>
      <c r="CY12" s="2822"/>
      <c r="CZ12" s="2822"/>
      <c r="DA12" s="2822"/>
      <c r="DB12" s="2822"/>
      <c r="DC12" s="2822"/>
      <c r="DD12" s="2822"/>
      <c r="DE12" s="2822"/>
      <c r="DF12" s="2822"/>
      <c r="DG12" s="2822"/>
      <c r="DH12" s="2822"/>
      <c r="DI12" s="2822"/>
      <c r="DJ12" s="2822"/>
      <c r="DK12" s="2822"/>
      <c r="DL12" s="2822"/>
      <c r="DM12" s="2822"/>
      <c r="DN12" s="2822"/>
      <c r="DO12" s="2822"/>
      <c r="DP12" s="2822"/>
      <c r="DQ12" s="2822"/>
      <c r="DR12" s="2822"/>
      <c r="DS12" s="2822"/>
      <c r="DT12" s="2822"/>
      <c r="DU12" s="2822"/>
      <c r="DV12" s="2822"/>
      <c r="DW12" s="2822"/>
      <c r="DX12" s="2822"/>
      <c r="DY12" s="2822"/>
      <c r="DZ12" s="2822"/>
      <c r="EA12" s="2822"/>
      <c r="EB12" s="2822"/>
      <c r="EC12" s="2822"/>
      <c r="ED12" s="2822"/>
      <c r="EE12" s="2822"/>
      <c r="EF12" s="2822"/>
      <c r="EG12" s="2822"/>
      <c r="EH12" s="2822"/>
      <c r="EI12" s="2822"/>
      <c r="EJ12" s="2822"/>
      <c r="EK12" s="2822"/>
      <c r="EL12" s="2822"/>
      <c r="EM12" s="2822"/>
      <c r="EN12" s="2822"/>
      <c r="EO12" s="2822"/>
      <c r="EP12" s="2822"/>
      <c r="EQ12" s="2822"/>
      <c r="ER12" s="2822"/>
      <c r="ES12" s="2822"/>
      <c r="ET12" s="2822"/>
      <c r="EU12" s="2822"/>
      <c r="EV12" s="2822"/>
      <c r="EW12" s="2822"/>
      <c r="EX12" s="2822"/>
      <c r="EY12" s="2822"/>
      <c r="EZ12" s="2822"/>
      <c r="FA12" s="2822"/>
      <c r="FB12" s="2822"/>
      <c r="FC12" s="2822"/>
      <c r="FD12" s="2822"/>
      <c r="FE12" s="2822"/>
      <c r="FF12" s="2822"/>
      <c r="FG12" s="2822"/>
      <c r="FH12" s="2822"/>
      <c r="FI12" s="2822"/>
      <c r="FJ12" s="2822"/>
      <c r="FK12" s="2822"/>
      <c r="FL12" s="2822"/>
      <c r="FM12" s="2822"/>
      <c r="FN12" s="2822"/>
      <c r="FO12" s="2822"/>
      <c r="FP12" s="2822"/>
      <c r="FQ12" s="2822"/>
      <c r="FR12" s="2822"/>
      <c r="FS12" s="2822"/>
      <c r="FT12" s="2822"/>
      <c r="FU12" s="2822"/>
      <c r="FV12" s="2822"/>
      <c r="FW12" s="2822"/>
      <c r="FX12" s="2822"/>
      <c r="FY12" s="2822"/>
      <c r="FZ12" s="2822"/>
      <c r="GA12" s="2822"/>
      <c r="GB12" s="2822"/>
      <c r="GC12" s="2822"/>
      <c r="GD12" s="2822"/>
      <c r="GE12" s="2822"/>
      <c r="GF12" s="2822"/>
      <c r="GG12" s="2822"/>
      <c r="GH12" s="2822"/>
      <c r="GI12" s="2822"/>
      <c r="GJ12" s="2822"/>
      <c r="GK12" s="2822"/>
      <c r="GL12" s="2822"/>
      <c r="GM12" s="2822"/>
      <c r="GN12" s="2822"/>
      <c r="GO12" s="2822"/>
      <c r="GP12" s="2822"/>
      <c r="GQ12" s="2822"/>
      <c r="GR12" s="2822"/>
      <c r="GS12" s="2822"/>
      <c r="GT12" s="2822"/>
      <c r="GU12" s="2822"/>
      <c r="GV12" s="2822"/>
      <c r="GW12" s="2822"/>
      <c r="GX12" s="2822"/>
      <c r="GY12" s="2822"/>
      <c r="GZ12" s="2822"/>
      <c r="HA12" s="2822"/>
      <c r="HB12" s="2822"/>
      <c r="HC12" s="2822"/>
      <c r="HD12" s="2822"/>
      <c r="HE12" s="2822"/>
      <c r="HF12" s="2822"/>
      <c r="HG12" s="2822"/>
      <c r="HH12" s="2822"/>
      <c r="HI12" s="2822"/>
      <c r="HJ12" s="2822"/>
      <c r="HK12" s="2822"/>
      <c r="HL12" s="2822"/>
      <c r="HM12" s="2822"/>
      <c r="HN12" s="2822"/>
      <c r="HO12" s="2822"/>
      <c r="HP12" s="2822"/>
      <c r="HQ12" s="2822"/>
      <c r="HR12" s="2822"/>
      <c r="HS12" s="2822"/>
      <c r="HT12" s="2822"/>
      <c r="HU12" s="2822"/>
      <c r="HV12" s="2822"/>
      <c r="HW12" s="2822"/>
      <c r="HX12" s="2822"/>
      <c r="HY12" s="2822"/>
      <c r="HZ12" s="2822"/>
      <c r="IA12" s="2822"/>
      <c r="IB12" s="2822"/>
      <c r="IC12" s="2822"/>
      <c r="ID12" s="2822"/>
      <c r="IE12" s="2822"/>
      <c r="IF12" s="2822"/>
      <c r="IG12" s="2822"/>
      <c r="IH12" s="2822"/>
      <c r="II12" s="2822"/>
      <c r="IJ12" s="2822"/>
      <c r="IK12" s="2822"/>
      <c r="IL12" s="2822"/>
      <c r="IM12" s="2822"/>
      <c r="IN12" s="2822"/>
      <c r="IO12" s="2822"/>
      <c r="IP12" s="2822"/>
      <c r="IQ12" s="2822"/>
      <c r="IR12" s="2822"/>
      <c r="IS12" s="2822"/>
      <c r="IT12" s="2822"/>
      <c r="IU12" s="2822"/>
      <c r="IV12" s="2822"/>
    </row>
    <row r="13" spans="1:257" ht="14.25">
      <c r="A13" s="2823"/>
      <c r="B13" s="2824" t="s">
        <v>2812</v>
      </c>
      <c r="C13" s="2825">
        <v>42301</v>
      </c>
      <c r="D13" s="2826">
        <v>4.3499999999999996</v>
      </c>
      <c r="E13" s="2826">
        <v>4.3499999999999996</v>
      </c>
      <c r="F13" s="2826">
        <v>4.75</v>
      </c>
      <c r="G13" s="2826">
        <v>4.75</v>
      </c>
      <c r="H13" s="2826">
        <v>4.9000000000000004</v>
      </c>
      <c r="I13" s="2826">
        <v>2.75</v>
      </c>
      <c r="J13" s="2826">
        <v>3.25</v>
      </c>
      <c r="K13" s="2823"/>
      <c r="L13" s="2824" t="s">
        <v>2812</v>
      </c>
      <c r="M13" s="2827">
        <v>42301</v>
      </c>
      <c r="N13" s="2826">
        <v>0.35</v>
      </c>
      <c r="O13" s="2826">
        <v>1.1000000000000001</v>
      </c>
      <c r="P13" s="2826">
        <v>1.3</v>
      </c>
      <c r="Q13" s="2826">
        <v>1.5</v>
      </c>
      <c r="R13" s="2826">
        <v>2.1</v>
      </c>
      <c r="S13" s="2826">
        <v>2.75</v>
      </c>
      <c r="T13" s="2826"/>
      <c r="U13" s="2826"/>
      <c r="V13" s="2826"/>
      <c r="W13" s="2826"/>
      <c r="X13" s="2826"/>
      <c r="Y13" s="2826"/>
      <c r="Z13" s="2826"/>
      <c r="AA13" s="2828"/>
      <c r="AB13" s="2828"/>
      <c r="AC13" s="2828"/>
      <c r="AD13" s="2828"/>
      <c r="AE13" s="2828"/>
      <c r="AF13" s="2828"/>
      <c r="AG13" s="2828"/>
      <c r="AH13" s="2828"/>
      <c r="AI13" s="2828"/>
      <c r="AJ13" s="2828"/>
      <c r="AK13" s="2828"/>
      <c r="AL13" s="2828"/>
      <c r="AM13" s="2828"/>
      <c r="AN13" s="2828"/>
      <c r="AO13" s="2828"/>
      <c r="AP13" s="2828"/>
      <c r="AQ13" s="2828"/>
      <c r="AR13" s="2828"/>
      <c r="AS13" s="2828"/>
      <c r="AT13" s="2828"/>
      <c r="AU13" s="2828"/>
      <c r="AV13" s="2828"/>
      <c r="AW13" s="2828"/>
      <c r="AX13" s="2828"/>
      <c r="AY13" s="2828"/>
      <c r="AZ13" s="2828"/>
      <c r="BA13" s="2828"/>
      <c r="BB13" s="2828"/>
      <c r="BC13" s="2828"/>
      <c r="BD13" s="2828"/>
      <c r="BE13" s="2828"/>
      <c r="BF13" s="2828"/>
      <c r="BG13" s="2828"/>
      <c r="BH13" s="2828"/>
      <c r="BI13" s="2828"/>
      <c r="BJ13" s="2828"/>
      <c r="BK13" s="2828"/>
      <c r="BL13" s="2828"/>
      <c r="BM13" s="2828"/>
      <c r="BN13" s="2828"/>
      <c r="BO13" s="2828"/>
      <c r="BP13" s="2828"/>
      <c r="BQ13" s="2828"/>
      <c r="BR13" s="2828"/>
      <c r="BS13" s="2828"/>
      <c r="BT13" s="2828"/>
      <c r="BU13" s="2828"/>
      <c r="BV13" s="2828"/>
      <c r="BW13" s="2828"/>
      <c r="BX13" s="2828"/>
      <c r="BY13" s="2828"/>
      <c r="BZ13" s="2828"/>
      <c r="CA13" s="2828"/>
      <c r="CB13" s="2828"/>
      <c r="CC13" s="2828"/>
      <c r="CD13" s="2828"/>
      <c r="CE13" s="2828"/>
      <c r="CF13" s="2828"/>
      <c r="CG13" s="2828"/>
      <c r="CH13" s="2828"/>
      <c r="CI13" s="2828"/>
      <c r="CJ13" s="2828"/>
      <c r="CK13" s="2828"/>
      <c r="CL13" s="2828"/>
      <c r="CM13" s="2828"/>
      <c r="CN13" s="2828"/>
      <c r="CO13" s="2828"/>
      <c r="CP13" s="2828"/>
      <c r="CQ13" s="2828"/>
      <c r="CR13" s="2828"/>
      <c r="CS13" s="2828"/>
      <c r="CT13" s="2828"/>
      <c r="CU13" s="2828"/>
      <c r="CV13" s="2828"/>
      <c r="CW13" s="2828"/>
      <c r="CX13" s="2828"/>
      <c r="CY13" s="2828"/>
      <c r="CZ13" s="2828"/>
      <c r="DA13" s="2828"/>
      <c r="DB13" s="2828"/>
      <c r="DC13" s="2828"/>
      <c r="DD13" s="2828"/>
      <c r="DE13" s="2828"/>
      <c r="DF13" s="2828"/>
      <c r="DG13" s="2828"/>
      <c r="DH13" s="2828"/>
      <c r="DI13" s="2828"/>
      <c r="DJ13" s="2828"/>
      <c r="DK13" s="2828"/>
      <c r="DL13" s="2828"/>
      <c r="DM13" s="2828"/>
      <c r="DN13" s="2828"/>
      <c r="DO13" s="2828"/>
      <c r="DP13" s="2828"/>
      <c r="DQ13" s="2828"/>
      <c r="DR13" s="2828"/>
      <c r="DS13" s="2828"/>
      <c r="DT13" s="2828"/>
      <c r="DU13" s="2828"/>
      <c r="DV13" s="2828"/>
      <c r="DW13" s="2828"/>
      <c r="DX13" s="2828"/>
      <c r="DY13" s="2828"/>
      <c r="DZ13" s="2828"/>
      <c r="EA13" s="2828"/>
      <c r="EB13" s="2828"/>
      <c r="EC13" s="2828"/>
      <c r="ED13" s="2828"/>
      <c r="EE13" s="2828"/>
      <c r="EF13" s="2828"/>
      <c r="EG13" s="2828"/>
      <c r="EH13" s="2828"/>
      <c r="EI13" s="2828"/>
      <c r="EJ13" s="2828"/>
      <c r="EK13" s="2828"/>
      <c r="EL13" s="2828"/>
      <c r="EM13" s="2828"/>
      <c r="EN13" s="2828"/>
      <c r="EO13" s="2828"/>
      <c r="EP13" s="2828"/>
      <c r="EQ13" s="2828"/>
      <c r="ER13" s="2828"/>
      <c r="ES13" s="2828"/>
      <c r="ET13" s="2828"/>
      <c r="EU13" s="2828"/>
      <c r="EV13" s="2828"/>
      <c r="EW13" s="2828"/>
      <c r="EX13" s="2828"/>
      <c r="EY13" s="2828"/>
      <c r="EZ13" s="2828"/>
      <c r="FA13" s="2828"/>
      <c r="FB13" s="2828"/>
      <c r="FC13" s="2828"/>
      <c r="FD13" s="2828"/>
      <c r="FE13" s="2828"/>
      <c r="FF13" s="2828"/>
      <c r="FG13" s="2828"/>
      <c r="FH13" s="2828"/>
      <c r="FI13" s="2828"/>
      <c r="FJ13" s="2828"/>
      <c r="FK13" s="2828"/>
      <c r="FL13" s="2828"/>
      <c r="FM13" s="2828"/>
      <c r="FN13" s="2828"/>
      <c r="FO13" s="2828"/>
      <c r="FP13" s="2828"/>
      <c r="FQ13" s="2828"/>
      <c r="FR13" s="2828"/>
      <c r="FS13" s="2828"/>
      <c r="FT13" s="2828"/>
      <c r="FU13" s="2828"/>
      <c r="FV13" s="2828"/>
      <c r="FW13" s="2828"/>
      <c r="FX13" s="2828"/>
      <c r="FY13" s="2828"/>
      <c r="FZ13" s="2828"/>
      <c r="GA13" s="2828"/>
      <c r="GB13" s="2828"/>
      <c r="GC13" s="2828"/>
      <c r="GD13" s="2828"/>
      <c r="GE13" s="2828"/>
      <c r="GF13" s="2828"/>
      <c r="GG13" s="2828"/>
      <c r="GH13" s="2828"/>
      <c r="GI13" s="2828"/>
      <c r="GJ13" s="2828"/>
      <c r="GK13" s="2828"/>
      <c r="GL13" s="2828"/>
      <c r="GM13" s="2828"/>
      <c r="GN13" s="2828"/>
      <c r="GO13" s="2828"/>
      <c r="GP13" s="2828"/>
      <c r="GQ13" s="2828"/>
      <c r="GR13" s="2828"/>
      <c r="GS13" s="2828"/>
      <c r="GT13" s="2828"/>
      <c r="GU13" s="2828"/>
      <c r="GV13" s="2828"/>
      <c r="GW13" s="2828"/>
      <c r="GX13" s="2828"/>
      <c r="GY13" s="2828"/>
      <c r="GZ13" s="2828"/>
      <c r="HA13" s="2828"/>
      <c r="HB13" s="2828"/>
      <c r="HC13" s="2828"/>
      <c r="HD13" s="2828"/>
      <c r="HE13" s="2828"/>
      <c r="HF13" s="2828"/>
      <c r="HG13" s="2828"/>
      <c r="HH13" s="2828"/>
      <c r="HI13" s="2828"/>
      <c r="HJ13" s="2828"/>
      <c r="HK13" s="2828"/>
      <c r="HL13" s="2828"/>
      <c r="HM13" s="2828"/>
      <c r="HN13" s="2828"/>
      <c r="HO13" s="2828"/>
      <c r="HP13" s="2828"/>
      <c r="HQ13" s="2828"/>
      <c r="HR13" s="2828"/>
      <c r="HS13" s="2828"/>
      <c r="HT13" s="2828"/>
      <c r="HU13" s="2828"/>
      <c r="HV13" s="2828"/>
      <c r="HW13" s="2828"/>
      <c r="HX13" s="2828"/>
      <c r="HY13" s="2828"/>
      <c r="HZ13" s="2828"/>
      <c r="IA13" s="2828"/>
      <c r="IB13" s="2828"/>
      <c r="IC13" s="2828"/>
      <c r="ID13" s="2828"/>
      <c r="IE13" s="2828"/>
      <c r="IF13" s="2828"/>
      <c r="IG13" s="2828"/>
      <c r="IH13" s="2828"/>
      <c r="II13" s="2828"/>
      <c r="IJ13" s="2828"/>
      <c r="IK13" s="2828"/>
      <c r="IL13" s="2828"/>
      <c r="IM13" s="2828"/>
      <c r="IN13" s="2828"/>
      <c r="IO13" s="2828"/>
      <c r="IP13" s="2828"/>
      <c r="IQ13" s="2828"/>
      <c r="IR13" s="2828"/>
      <c r="IS13" s="2828"/>
      <c r="IT13" s="2828"/>
      <c r="IU13" s="2828"/>
      <c r="IV13" s="2828"/>
      <c r="IW13" s="2829"/>
    </row>
    <row r="14" spans="1:257">
      <c r="B14" s="2830"/>
      <c r="C14" s="2831">
        <v>42242</v>
      </c>
      <c r="D14" s="2830">
        <v>4.5999999999999996</v>
      </c>
      <c r="E14" s="2830">
        <v>4.5999999999999996</v>
      </c>
      <c r="F14" s="2830">
        <v>5</v>
      </c>
      <c r="G14" s="2830">
        <v>5</v>
      </c>
      <c r="H14" s="2830">
        <v>5.15</v>
      </c>
      <c r="I14" s="2830">
        <v>2.75</v>
      </c>
      <c r="J14" s="2830">
        <v>3.25</v>
      </c>
      <c r="L14" s="2830"/>
      <c r="M14" s="2831">
        <v>42242</v>
      </c>
      <c r="N14" s="2830">
        <v>0.35</v>
      </c>
      <c r="O14" s="2830">
        <v>1.35</v>
      </c>
      <c r="P14" s="2830">
        <v>1.55</v>
      </c>
      <c r="Q14" s="2830">
        <v>1.75</v>
      </c>
      <c r="R14" s="2830">
        <v>2.35</v>
      </c>
      <c r="S14" s="2830">
        <v>3</v>
      </c>
      <c r="T14" s="2830"/>
      <c r="U14" s="2830"/>
      <c r="V14" s="2830"/>
      <c r="W14" s="2830"/>
      <c r="X14" s="2830"/>
      <c r="Y14" s="2830"/>
      <c r="Z14" s="2830"/>
    </row>
    <row r="15" spans="1:257">
      <c r="B15" s="2830"/>
      <c r="C15" s="2831">
        <v>42183</v>
      </c>
      <c r="D15" s="2830">
        <v>4.8499999999999996</v>
      </c>
      <c r="E15" s="2830">
        <v>4.8499999999999996</v>
      </c>
      <c r="F15" s="2830">
        <v>5.25</v>
      </c>
      <c r="G15" s="2830">
        <v>5.25</v>
      </c>
      <c r="H15" s="2830">
        <v>5.4</v>
      </c>
      <c r="I15" s="2830">
        <v>3</v>
      </c>
      <c r="J15" s="2830">
        <v>3.5</v>
      </c>
      <c r="L15" s="2830"/>
      <c r="M15" s="2831">
        <v>42183</v>
      </c>
      <c r="N15" s="2830">
        <v>0.35</v>
      </c>
      <c r="O15" s="2830">
        <v>1.6</v>
      </c>
      <c r="P15" s="2830">
        <v>1.8</v>
      </c>
      <c r="Q15" s="2830">
        <v>2</v>
      </c>
      <c r="R15" s="2830">
        <v>2.6</v>
      </c>
      <c r="S15" s="2830">
        <v>3.25</v>
      </c>
      <c r="T15" s="2830"/>
      <c r="U15" s="2830"/>
      <c r="V15" s="2830"/>
      <c r="W15" s="2830"/>
      <c r="X15" s="2830"/>
      <c r="Y15" s="2830"/>
      <c r="Z15" s="2830"/>
    </row>
    <row r="16" spans="1:257">
      <c r="B16" s="2830"/>
      <c r="C16" s="2831">
        <v>42135</v>
      </c>
      <c r="D16" s="2830">
        <v>5.0999999999999996</v>
      </c>
      <c r="E16" s="2830">
        <v>5.0999999999999996</v>
      </c>
      <c r="F16" s="2830">
        <v>5.5</v>
      </c>
      <c r="G16" s="2830">
        <v>5.5</v>
      </c>
      <c r="H16" s="2830">
        <v>5.65</v>
      </c>
      <c r="I16" s="2830">
        <v>3.25</v>
      </c>
      <c r="J16" s="2830">
        <v>3.75</v>
      </c>
      <c r="L16" s="2830"/>
      <c r="M16" s="2831">
        <v>42135</v>
      </c>
      <c r="N16" s="2830">
        <v>0.35</v>
      </c>
      <c r="O16" s="2830">
        <v>1.85</v>
      </c>
      <c r="P16" s="2830">
        <v>2.0499999999999998</v>
      </c>
      <c r="Q16" s="2830">
        <v>2.25</v>
      </c>
      <c r="R16" s="2830">
        <v>2.85</v>
      </c>
      <c r="S16" s="2830">
        <v>3.5</v>
      </c>
      <c r="T16" s="2830"/>
      <c r="U16" s="2830"/>
      <c r="V16" s="2830"/>
      <c r="W16" s="2830"/>
      <c r="X16" s="2830"/>
      <c r="Y16" s="2830"/>
      <c r="Z16" s="2830"/>
    </row>
    <row r="17" spans="2:26">
      <c r="B17" s="2830"/>
      <c r="C17" s="2831">
        <v>42064</v>
      </c>
      <c r="D17" s="2830">
        <v>5.35</v>
      </c>
      <c r="E17" s="2830">
        <v>5.35</v>
      </c>
      <c r="F17" s="2830">
        <v>5.75</v>
      </c>
      <c r="G17" s="2830">
        <v>5.75</v>
      </c>
      <c r="H17" s="2830">
        <v>5.9</v>
      </c>
      <c r="I17" s="2830"/>
      <c r="J17" s="2830"/>
      <c r="L17" s="2830"/>
      <c r="M17" s="2831">
        <v>42064</v>
      </c>
      <c r="N17" s="2830">
        <v>0.35</v>
      </c>
      <c r="O17" s="2830">
        <v>2.1</v>
      </c>
      <c r="P17" s="2830">
        <v>2.2999999999999998</v>
      </c>
      <c r="Q17" s="2830">
        <v>2.5</v>
      </c>
      <c r="R17" s="2830">
        <v>3.1</v>
      </c>
      <c r="S17" s="2830">
        <v>3.75</v>
      </c>
      <c r="T17" s="2830">
        <v>4.5</v>
      </c>
      <c r="U17" s="2830">
        <v>2.35</v>
      </c>
      <c r="V17" s="2830">
        <v>2.5499999999999998</v>
      </c>
      <c r="W17" s="2830">
        <v>2.75</v>
      </c>
      <c r="X17" s="2830"/>
      <c r="Y17" s="2830">
        <v>0.8</v>
      </c>
      <c r="Z17" s="2830">
        <v>1.35</v>
      </c>
    </row>
    <row r="18" spans="2:26" ht="15">
      <c r="B18" s="2830"/>
      <c r="C18" s="2831">
        <v>41965</v>
      </c>
      <c r="D18" s="2830">
        <v>5.6</v>
      </c>
      <c r="E18" s="2830">
        <v>5.6</v>
      </c>
      <c r="F18" s="2830">
        <v>6</v>
      </c>
      <c r="G18" s="2830">
        <v>6</v>
      </c>
      <c r="H18" s="2830">
        <v>6.15</v>
      </c>
      <c r="I18" s="2830"/>
      <c r="J18" s="2830"/>
      <c r="L18" s="2830"/>
      <c r="M18" s="2831">
        <v>41965</v>
      </c>
      <c r="N18" s="2830">
        <v>0.35</v>
      </c>
      <c r="O18" s="2830">
        <v>2.35</v>
      </c>
      <c r="P18" s="2830">
        <v>2.5499999999999998</v>
      </c>
      <c r="Q18" s="2830">
        <v>2.75</v>
      </c>
      <c r="R18" s="2830">
        <v>3.35</v>
      </c>
      <c r="S18" s="2830">
        <v>4</v>
      </c>
      <c r="T18" s="2830">
        <v>4.75</v>
      </c>
      <c r="U18" s="2832">
        <v>2.35</v>
      </c>
      <c r="V18" s="2832">
        <v>2.5499999999999998</v>
      </c>
      <c r="W18" s="2832">
        <v>2.75</v>
      </c>
      <c r="X18" s="2830"/>
      <c r="Y18" s="2832">
        <v>0.8</v>
      </c>
      <c r="Z18" s="2832">
        <v>1.35</v>
      </c>
    </row>
    <row r="19" spans="2:26">
      <c r="B19" s="2830"/>
      <c r="C19" s="2831">
        <v>41096</v>
      </c>
      <c r="D19" s="2830">
        <v>5.6</v>
      </c>
      <c r="E19" s="2830">
        <v>6</v>
      </c>
      <c r="F19" s="2830">
        <v>6.15</v>
      </c>
      <c r="G19" s="2830">
        <v>6.4</v>
      </c>
      <c r="H19" s="2830">
        <v>6.55</v>
      </c>
      <c r="I19" s="2830">
        <v>4</v>
      </c>
      <c r="J19" s="2830">
        <v>4.5</v>
      </c>
      <c r="L19" s="2830"/>
      <c r="M19" s="2831">
        <v>41096</v>
      </c>
      <c r="N19" s="2830">
        <v>0.35</v>
      </c>
      <c r="O19" s="2830">
        <v>2.6</v>
      </c>
      <c r="P19" s="2830">
        <v>2.8</v>
      </c>
      <c r="Q19" s="2830">
        <v>3</v>
      </c>
      <c r="R19" s="2830">
        <v>3.75</v>
      </c>
      <c r="S19" s="2830">
        <v>4.25</v>
      </c>
      <c r="T19" s="2830">
        <v>4.75</v>
      </c>
      <c r="U19" s="2830">
        <v>2.85</v>
      </c>
      <c r="V19" s="2830">
        <v>2.9</v>
      </c>
      <c r="W19" s="2830">
        <v>3</v>
      </c>
      <c r="X19" s="2830">
        <v>1.1499999999999999</v>
      </c>
      <c r="Y19" s="2830">
        <v>0.8</v>
      </c>
      <c r="Z19" s="2830">
        <v>1.35</v>
      </c>
    </row>
    <row r="20" spans="2:26">
      <c r="B20" s="2830"/>
      <c r="C20" s="2831">
        <v>41068</v>
      </c>
      <c r="D20" s="2830">
        <v>5.85</v>
      </c>
      <c r="E20" s="2830">
        <v>6.31</v>
      </c>
      <c r="F20" s="2830">
        <v>6.4</v>
      </c>
      <c r="G20" s="2830">
        <v>6.65</v>
      </c>
      <c r="H20" s="2830">
        <v>6.8</v>
      </c>
      <c r="I20" s="2830">
        <v>4.2</v>
      </c>
      <c r="J20" s="2830">
        <v>4.7</v>
      </c>
      <c r="L20" s="2830"/>
      <c r="M20" s="2831">
        <v>41068</v>
      </c>
      <c r="N20" s="2830">
        <v>0.4</v>
      </c>
      <c r="O20" s="2830">
        <v>2.85</v>
      </c>
      <c r="P20" s="2830">
        <v>3.05</v>
      </c>
      <c r="Q20" s="2830">
        <v>3.25</v>
      </c>
      <c r="R20" s="2830">
        <v>4.0999999999999996</v>
      </c>
      <c r="S20" s="2830">
        <v>4.6500000000000004</v>
      </c>
      <c r="T20" s="2830">
        <v>5.0999999999999996</v>
      </c>
      <c r="U20" s="2830">
        <v>3.1</v>
      </c>
      <c r="V20" s="2830">
        <v>3.15</v>
      </c>
      <c r="W20" s="2830">
        <v>3.25</v>
      </c>
      <c r="X20" s="2830">
        <v>1.31</v>
      </c>
      <c r="Y20" s="2830">
        <v>0.94</v>
      </c>
      <c r="Z20" s="2830">
        <v>1.49</v>
      </c>
    </row>
    <row r="21" spans="2:26">
      <c r="B21" s="2830"/>
      <c r="C21" s="2831">
        <v>40731</v>
      </c>
      <c r="D21" s="2830">
        <v>6.1</v>
      </c>
      <c r="E21" s="2830">
        <v>6.56</v>
      </c>
      <c r="F21" s="2830">
        <v>6.65</v>
      </c>
      <c r="G21" s="2830">
        <v>6.9</v>
      </c>
      <c r="H21" s="2830">
        <v>7.05</v>
      </c>
      <c r="I21" s="2830">
        <v>4.45</v>
      </c>
      <c r="J21" s="2830">
        <v>4.9000000000000004</v>
      </c>
      <c r="L21" s="2830"/>
      <c r="M21" s="2831">
        <v>40731</v>
      </c>
      <c r="N21" s="2830">
        <v>0.5</v>
      </c>
      <c r="O21" s="2830">
        <v>3.1</v>
      </c>
      <c r="P21" s="2830">
        <v>3.3</v>
      </c>
      <c r="Q21" s="2830">
        <v>3.5</v>
      </c>
      <c r="R21" s="2830">
        <v>4.4000000000000004</v>
      </c>
      <c r="S21" s="2830">
        <v>5</v>
      </c>
      <c r="T21" s="2830">
        <v>5.5</v>
      </c>
      <c r="U21" s="2830">
        <v>3.1</v>
      </c>
      <c r="V21" s="2830">
        <v>3.3</v>
      </c>
      <c r="W21" s="2830">
        <v>3.5</v>
      </c>
      <c r="X21" s="2830">
        <v>1.31</v>
      </c>
      <c r="Y21" s="2830">
        <v>0.95</v>
      </c>
      <c r="Z21" s="2830">
        <v>1.49</v>
      </c>
    </row>
    <row r="22" spans="2:26">
      <c r="B22" s="2830"/>
      <c r="C22" s="2831">
        <v>40639</v>
      </c>
      <c r="D22" s="2830">
        <v>5.85</v>
      </c>
      <c r="E22" s="2830">
        <v>6.31</v>
      </c>
      <c r="F22" s="2830">
        <v>6.4</v>
      </c>
      <c r="G22" s="2830">
        <v>6.65</v>
      </c>
      <c r="H22" s="2830">
        <v>6.8</v>
      </c>
      <c r="I22" s="2830">
        <v>4.2</v>
      </c>
      <c r="J22" s="2830">
        <v>4.7</v>
      </c>
      <c r="L22" s="2830"/>
      <c r="M22" s="2831">
        <v>40639</v>
      </c>
      <c r="N22" s="2830">
        <v>0.5</v>
      </c>
      <c r="O22" s="2830">
        <v>2.85</v>
      </c>
      <c r="P22" s="2830">
        <v>3.05</v>
      </c>
      <c r="Q22" s="2830">
        <v>3.25</v>
      </c>
      <c r="R22" s="2830">
        <v>4.1500000000000004</v>
      </c>
      <c r="S22" s="2830">
        <v>4.75</v>
      </c>
      <c r="T22" s="2830">
        <v>5.25</v>
      </c>
      <c r="U22" s="2830">
        <v>2.85</v>
      </c>
      <c r="V22" s="2830">
        <v>3.05</v>
      </c>
      <c r="W22" s="2830">
        <v>3.25</v>
      </c>
      <c r="X22" s="2830">
        <v>1.31</v>
      </c>
      <c r="Y22" s="2830">
        <v>0.95</v>
      </c>
      <c r="Z22" s="2830">
        <v>1.49</v>
      </c>
    </row>
    <row r="23" spans="2:26">
      <c r="B23" s="2830"/>
      <c r="C23" s="2831">
        <v>40583</v>
      </c>
      <c r="D23" s="2830">
        <v>5.6</v>
      </c>
      <c r="E23" s="2830">
        <v>6.06</v>
      </c>
      <c r="F23" s="2830">
        <v>6.1</v>
      </c>
      <c r="G23" s="2830">
        <v>6.45</v>
      </c>
      <c r="H23" s="2830">
        <v>6.6</v>
      </c>
      <c r="I23" s="2830">
        <v>4</v>
      </c>
      <c r="J23" s="2830">
        <v>4.5</v>
      </c>
      <c r="L23" s="2830"/>
      <c r="M23" s="2831">
        <v>40583</v>
      </c>
      <c r="N23" s="2830">
        <v>0.4</v>
      </c>
      <c r="O23" s="2830">
        <v>2.6</v>
      </c>
      <c r="P23" s="2830">
        <v>2.8</v>
      </c>
      <c r="Q23" s="2830">
        <v>3</v>
      </c>
      <c r="R23" s="2830">
        <v>3.9</v>
      </c>
      <c r="S23" s="2830">
        <v>4.5</v>
      </c>
      <c r="T23" s="2830">
        <v>5</v>
      </c>
      <c r="U23" s="2830">
        <v>2.6</v>
      </c>
      <c r="V23" s="2830">
        <v>2.8</v>
      </c>
      <c r="W23" s="2830">
        <v>3</v>
      </c>
      <c r="X23" s="2830">
        <v>1.21</v>
      </c>
      <c r="Y23" s="2830">
        <v>0.85</v>
      </c>
      <c r="Z23" s="2830">
        <v>1.39</v>
      </c>
    </row>
    <row r="24" spans="2:26">
      <c r="B24" s="2830"/>
      <c r="C24" s="2831">
        <v>40538</v>
      </c>
      <c r="D24" s="2830">
        <v>5.35</v>
      </c>
      <c r="E24" s="2830">
        <v>5.81</v>
      </c>
      <c r="F24" s="2830">
        <v>5.85</v>
      </c>
      <c r="G24" s="2830">
        <v>6.22</v>
      </c>
      <c r="H24" s="2830">
        <v>6.4</v>
      </c>
      <c r="I24" s="2830">
        <v>3.75</v>
      </c>
      <c r="J24" s="2830">
        <v>4.3</v>
      </c>
      <c r="L24" s="2830"/>
      <c r="M24" s="2831">
        <v>40538</v>
      </c>
      <c r="N24" s="2830">
        <v>0.36</v>
      </c>
      <c r="O24" s="2830">
        <v>2.25</v>
      </c>
      <c r="P24" s="2830">
        <v>2.5</v>
      </c>
      <c r="Q24" s="2830">
        <v>2.75</v>
      </c>
      <c r="R24" s="2830">
        <v>3.55</v>
      </c>
      <c r="S24" s="2830">
        <v>4.1500000000000004</v>
      </c>
      <c r="T24" s="2830">
        <v>4.55</v>
      </c>
      <c r="U24" s="2830">
        <v>2.16</v>
      </c>
      <c r="V24" s="2830">
        <v>2.5</v>
      </c>
      <c r="W24" s="2830">
        <v>2.85</v>
      </c>
      <c r="X24" s="2830">
        <v>1.17</v>
      </c>
      <c r="Y24" s="2830">
        <v>0.81</v>
      </c>
      <c r="Z24" s="2830">
        <v>1.35</v>
      </c>
    </row>
    <row r="25" spans="2:26">
      <c r="B25" s="2830"/>
      <c r="C25" s="2831">
        <v>40471</v>
      </c>
      <c r="D25" s="2830">
        <v>5.0999999999999996</v>
      </c>
      <c r="E25" s="2830">
        <v>5.56</v>
      </c>
      <c r="F25" s="2830">
        <v>5.6</v>
      </c>
      <c r="G25" s="2830">
        <v>5.96</v>
      </c>
      <c r="H25" s="2830">
        <v>6.14</v>
      </c>
      <c r="I25" s="2830">
        <v>3.5</v>
      </c>
      <c r="J25" s="2830">
        <v>4.05</v>
      </c>
      <c r="L25" s="2830"/>
      <c r="M25" s="2831">
        <v>40471</v>
      </c>
      <c r="N25" s="2830">
        <v>0.36</v>
      </c>
      <c r="O25" s="2830">
        <v>1.91</v>
      </c>
      <c r="P25" s="2830">
        <v>2.2000000000000002</v>
      </c>
      <c r="Q25" s="2830">
        <v>2.5</v>
      </c>
      <c r="R25" s="2830">
        <v>3.25</v>
      </c>
      <c r="S25" s="2830">
        <v>3.85</v>
      </c>
      <c r="T25" s="2830">
        <v>4.2</v>
      </c>
      <c r="U25" s="2830">
        <v>1.91</v>
      </c>
      <c r="V25" s="2830">
        <v>2.2000000000000002</v>
      </c>
      <c r="W25" s="2830">
        <v>2.5</v>
      </c>
      <c r="X25" s="2830">
        <v>1.17</v>
      </c>
      <c r="Y25" s="2830">
        <v>0.81</v>
      </c>
      <c r="Z25" s="2830">
        <v>1.35</v>
      </c>
    </row>
    <row r="26" spans="2:26">
      <c r="B26" s="2830"/>
      <c r="C26" s="2831">
        <v>39805</v>
      </c>
      <c r="D26" s="2830">
        <v>4.8600000000000003</v>
      </c>
      <c r="E26" s="2830">
        <v>5.31</v>
      </c>
      <c r="F26" s="2830">
        <v>5.4</v>
      </c>
      <c r="G26" s="2830">
        <v>5.76</v>
      </c>
      <c r="H26" s="2830">
        <v>5.94</v>
      </c>
      <c r="I26" s="2830">
        <v>3.33</v>
      </c>
      <c r="J26" s="2830">
        <v>3.87</v>
      </c>
      <c r="L26" s="2830"/>
      <c r="M26" s="2831">
        <v>39805</v>
      </c>
      <c r="N26" s="2830">
        <v>0.36</v>
      </c>
      <c r="O26" s="2830">
        <v>1.71</v>
      </c>
      <c r="P26" s="2830">
        <v>1.98</v>
      </c>
      <c r="Q26" s="2830">
        <v>2.25</v>
      </c>
      <c r="R26" s="2830">
        <v>2.79</v>
      </c>
      <c r="S26" s="2830">
        <v>3.33</v>
      </c>
      <c r="T26" s="2830">
        <v>3.6</v>
      </c>
      <c r="U26" s="2830">
        <v>1.71</v>
      </c>
      <c r="V26" s="2830">
        <v>1.98</v>
      </c>
      <c r="W26" s="2830">
        <v>2.25</v>
      </c>
      <c r="X26" s="2830">
        <v>1.17</v>
      </c>
      <c r="Y26" s="2830">
        <v>0.81</v>
      </c>
      <c r="Z26" s="2830">
        <v>1.35</v>
      </c>
    </row>
    <row r="27" spans="2:26">
      <c r="B27" s="2830"/>
      <c r="C27" s="2831">
        <v>39779</v>
      </c>
      <c r="D27" s="2830">
        <v>5.04</v>
      </c>
      <c r="E27" s="2830">
        <v>5.58</v>
      </c>
      <c r="F27" s="2830">
        <v>5.67</v>
      </c>
      <c r="G27" s="2830">
        <v>5.94</v>
      </c>
      <c r="H27" s="2830">
        <v>6.12</v>
      </c>
      <c r="I27" s="2830">
        <v>3.51</v>
      </c>
      <c r="J27" s="2830">
        <v>4.05</v>
      </c>
      <c r="L27" s="2830"/>
      <c r="M27" s="2831">
        <v>39779</v>
      </c>
      <c r="N27" s="2830">
        <v>0.36</v>
      </c>
      <c r="O27" s="2830">
        <v>1.98</v>
      </c>
      <c r="P27" s="2830">
        <v>2.25</v>
      </c>
      <c r="Q27" s="2830">
        <v>2.52</v>
      </c>
      <c r="R27" s="2830">
        <v>3.06</v>
      </c>
      <c r="S27" s="2830">
        <v>3.6</v>
      </c>
      <c r="T27" s="2830">
        <v>3.87</v>
      </c>
      <c r="U27" s="2830">
        <v>1.98</v>
      </c>
      <c r="V27" s="2830">
        <v>2.25</v>
      </c>
      <c r="W27" s="2830">
        <v>2.52</v>
      </c>
      <c r="X27" s="2830">
        <v>1.17</v>
      </c>
      <c r="Y27" s="2830">
        <v>0.81</v>
      </c>
      <c r="Z27" s="2830">
        <v>1.35</v>
      </c>
    </row>
    <row r="28" spans="2:26">
      <c r="B28" s="2830"/>
      <c r="C28" s="2831">
        <v>39751</v>
      </c>
      <c r="D28" s="2830">
        <v>6.03</v>
      </c>
      <c r="E28" s="2830">
        <v>6.66</v>
      </c>
      <c r="F28" s="2830">
        <v>6.75</v>
      </c>
      <c r="G28" s="2830">
        <v>7.02</v>
      </c>
      <c r="H28" s="2830">
        <v>7.2</v>
      </c>
      <c r="I28" s="2830">
        <v>4.05</v>
      </c>
      <c r="J28" s="2830">
        <v>4.59</v>
      </c>
      <c r="L28" s="2830"/>
      <c r="M28" s="2831">
        <v>39751</v>
      </c>
      <c r="N28" s="2830">
        <v>0.72</v>
      </c>
      <c r="O28" s="2830">
        <v>2.88</v>
      </c>
      <c r="P28" s="2830">
        <v>3.24</v>
      </c>
      <c r="Q28" s="2830">
        <v>3.6</v>
      </c>
      <c r="R28" s="2830">
        <v>4.1399999999999997</v>
      </c>
      <c r="S28" s="2830">
        <v>4.7699999999999996</v>
      </c>
      <c r="T28" s="2830">
        <v>5.13</v>
      </c>
      <c r="U28" s="2830">
        <v>2.88</v>
      </c>
      <c r="V28" s="2830">
        <v>3.24</v>
      </c>
      <c r="W28" s="2830">
        <v>3.6</v>
      </c>
      <c r="X28" s="2830">
        <v>1.53</v>
      </c>
      <c r="Y28" s="2830">
        <v>1.17</v>
      </c>
      <c r="Z28" s="2830">
        <v>1.71</v>
      </c>
    </row>
    <row r="29" spans="2:26">
      <c r="B29" s="2830"/>
      <c r="C29" s="2833">
        <v>39748</v>
      </c>
      <c r="D29" s="2830">
        <v>6.12</v>
      </c>
      <c r="E29" s="2830">
        <v>6.93</v>
      </c>
      <c r="F29" s="2830">
        <v>7.02</v>
      </c>
      <c r="G29" s="2830">
        <v>7.29</v>
      </c>
      <c r="H29" s="2830">
        <v>7.47</v>
      </c>
      <c r="I29" s="2830">
        <v>4.05</v>
      </c>
      <c r="J29" s="2830">
        <v>4.59</v>
      </c>
      <c r="L29" s="2830"/>
      <c r="M29" s="2833">
        <v>39736</v>
      </c>
      <c r="N29" s="2830">
        <v>0.72</v>
      </c>
      <c r="O29" s="2830">
        <v>3.15</v>
      </c>
      <c r="P29" s="2830">
        <v>3.51</v>
      </c>
      <c r="Q29" s="2830">
        <v>3.87</v>
      </c>
      <c r="R29" s="2830">
        <v>4.41</v>
      </c>
      <c r="S29" s="2830">
        <v>5.13</v>
      </c>
      <c r="T29" s="2830">
        <v>5.58</v>
      </c>
      <c r="U29" s="2830">
        <v>3.15</v>
      </c>
      <c r="V29" s="2830">
        <v>3.51</v>
      </c>
      <c r="W29" s="2830">
        <v>3.87</v>
      </c>
      <c r="X29" s="2830">
        <v>1.53</v>
      </c>
      <c r="Y29" s="2830">
        <v>1.17</v>
      </c>
      <c r="Z29" s="2830">
        <v>1.71</v>
      </c>
    </row>
    <row r="30" spans="2:26">
      <c r="B30" s="2830"/>
      <c r="C30" s="2831">
        <v>39730</v>
      </c>
      <c r="D30" s="2830">
        <v>6.12</v>
      </c>
      <c r="E30" s="2830">
        <v>6.93</v>
      </c>
      <c r="F30" s="2830">
        <v>7.02</v>
      </c>
      <c r="G30" s="2830">
        <v>7.29</v>
      </c>
      <c r="H30" s="2830">
        <v>7.47</v>
      </c>
      <c r="I30" s="2830">
        <v>4.32</v>
      </c>
      <c r="J30" s="2830">
        <v>4.8600000000000003</v>
      </c>
      <c r="L30" s="2830"/>
      <c r="M30" s="2831">
        <v>39730</v>
      </c>
      <c r="N30" s="2830">
        <v>0.72</v>
      </c>
      <c r="O30" s="2830">
        <v>3.15</v>
      </c>
      <c r="P30" s="2830">
        <v>3.51</v>
      </c>
      <c r="Q30" s="2830">
        <v>3.87</v>
      </c>
      <c r="R30" s="2830">
        <v>4.41</v>
      </c>
      <c r="S30" s="2830">
        <v>5.13</v>
      </c>
      <c r="T30" s="2830">
        <v>5.58</v>
      </c>
      <c r="U30" s="2830">
        <v>3.15</v>
      </c>
      <c r="V30" s="2830">
        <v>3.51</v>
      </c>
      <c r="W30" s="2830">
        <v>3.87</v>
      </c>
      <c r="X30" s="2830">
        <v>1.53</v>
      </c>
      <c r="Y30" s="2830">
        <v>1.17</v>
      </c>
      <c r="Z30" s="2830">
        <v>1.71</v>
      </c>
    </row>
    <row r="31" spans="2:26">
      <c r="B31" s="2830"/>
      <c r="C31" s="2831">
        <v>39707</v>
      </c>
      <c r="D31" s="2830">
        <v>6.21</v>
      </c>
      <c r="E31" s="2830">
        <v>7.2</v>
      </c>
      <c r="F31" s="2830">
        <v>7.29</v>
      </c>
      <c r="G31" s="2830">
        <v>7.56</v>
      </c>
      <c r="H31" s="2830">
        <v>7.74</v>
      </c>
      <c r="I31" s="2830">
        <v>4.59</v>
      </c>
      <c r="J31" s="2830">
        <v>5.13</v>
      </c>
      <c r="L31" s="2830"/>
      <c r="M31" s="2831">
        <v>39437</v>
      </c>
      <c r="N31" s="2830">
        <v>0.72</v>
      </c>
      <c r="O31" s="2830">
        <v>3.33</v>
      </c>
      <c r="P31" s="2830">
        <v>3.78</v>
      </c>
      <c r="Q31" s="2830">
        <v>4.1399999999999997</v>
      </c>
      <c r="R31" s="2830">
        <v>4.68</v>
      </c>
      <c r="S31" s="2830">
        <v>5.4</v>
      </c>
      <c r="T31" s="2830">
        <v>5.85</v>
      </c>
      <c r="U31" s="2830">
        <v>3.33</v>
      </c>
      <c r="V31" s="2830">
        <v>3.78</v>
      </c>
      <c r="W31" s="2830">
        <v>4.1399999999999997</v>
      </c>
      <c r="X31" s="2830">
        <v>1.53</v>
      </c>
      <c r="Y31" s="2830">
        <v>1.17</v>
      </c>
      <c r="Z31" s="2830">
        <v>1.71</v>
      </c>
    </row>
    <row r="32" spans="2:26">
      <c r="B32" s="2830"/>
      <c r="C32" s="2831">
        <v>39437</v>
      </c>
      <c r="D32" s="2830">
        <v>6.57</v>
      </c>
      <c r="E32" s="2830">
        <v>7.47</v>
      </c>
      <c r="F32" s="2830">
        <v>7.56</v>
      </c>
      <c r="G32" s="2830">
        <v>7.74</v>
      </c>
      <c r="H32" s="2830">
        <v>7.83</v>
      </c>
      <c r="I32" s="2830">
        <v>4.7699999999999996</v>
      </c>
      <c r="J32" s="2830">
        <v>5.22</v>
      </c>
      <c r="L32" s="2830"/>
      <c r="M32" s="2831">
        <v>39340</v>
      </c>
      <c r="N32" s="2830">
        <v>0.81</v>
      </c>
      <c r="O32" s="2830">
        <v>2.88</v>
      </c>
      <c r="P32" s="2830">
        <v>3.42</v>
      </c>
      <c r="Q32" s="2830">
        <v>3.87</v>
      </c>
      <c r="R32" s="2830">
        <v>4.5</v>
      </c>
      <c r="S32" s="2830">
        <v>5.22</v>
      </c>
      <c r="T32" s="2830">
        <v>5.76</v>
      </c>
      <c r="U32" s="2830">
        <v>2.88</v>
      </c>
      <c r="V32" s="2830">
        <v>3.42</v>
      </c>
      <c r="W32" s="2830">
        <v>3.87</v>
      </c>
      <c r="X32" s="2830">
        <v>1.53</v>
      </c>
      <c r="Y32" s="2830">
        <v>1.17</v>
      </c>
      <c r="Z32" s="2830">
        <v>1.71</v>
      </c>
    </row>
    <row r="33" spans="2:26">
      <c r="B33" s="2830"/>
      <c r="C33" s="2831">
        <v>39340</v>
      </c>
      <c r="D33" s="2830">
        <v>6.48</v>
      </c>
      <c r="E33" s="2830">
        <v>7.29</v>
      </c>
      <c r="F33" s="2830">
        <v>7.47</v>
      </c>
      <c r="G33" s="2830">
        <v>7.65</v>
      </c>
      <c r="H33" s="2830">
        <v>7.83</v>
      </c>
      <c r="I33" s="2830">
        <v>4.7699999999999996</v>
      </c>
      <c r="J33" s="2830">
        <v>5.22</v>
      </c>
      <c r="L33" s="2830"/>
      <c r="M33" s="2831">
        <v>39316</v>
      </c>
      <c r="N33" s="2830">
        <v>0.81</v>
      </c>
      <c r="O33" s="2830">
        <v>2.61</v>
      </c>
      <c r="P33" s="2830">
        <v>3.15</v>
      </c>
      <c r="Q33" s="2830">
        <v>3.6</v>
      </c>
      <c r="R33" s="2830">
        <v>4.2300000000000004</v>
      </c>
      <c r="S33" s="2830">
        <v>4.95</v>
      </c>
      <c r="T33" s="2830">
        <v>5.49</v>
      </c>
      <c r="U33" s="2830">
        <v>2.61</v>
      </c>
      <c r="V33" s="2830">
        <v>3.15</v>
      </c>
      <c r="W33" s="2830">
        <v>3.6</v>
      </c>
      <c r="X33" s="2830">
        <v>1.53</v>
      </c>
      <c r="Y33" s="2830">
        <v>1.17</v>
      </c>
      <c r="Z33" s="2830">
        <v>1.71</v>
      </c>
    </row>
    <row r="34" spans="2:26">
      <c r="B34" s="2830"/>
      <c r="C34" s="2831">
        <v>39316</v>
      </c>
      <c r="D34" s="2830">
        <v>6.21</v>
      </c>
      <c r="E34" s="2830">
        <v>7.02</v>
      </c>
      <c r="F34" s="2830">
        <v>7.2</v>
      </c>
      <c r="G34" s="2830">
        <v>7.38</v>
      </c>
      <c r="H34" s="2830">
        <v>7.56</v>
      </c>
      <c r="I34" s="2830">
        <v>4.59</v>
      </c>
      <c r="J34" s="2830">
        <v>5.04</v>
      </c>
      <c r="L34" s="2830"/>
      <c r="M34" s="2831">
        <v>39284</v>
      </c>
      <c r="N34" s="2830">
        <v>0.81</v>
      </c>
      <c r="O34" s="2830">
        <v>2.34</v>
      </c>
      <c r="P34" s="2830">
        <v>2.88</v>
      </c>
      <c r="Q34" s="2830">
        <v>3.33</v>
      </c>
      <c r="R34" s="2830">
        <v>3.96</v>
      </c>
      <c r="S34" s="2830">
        <v>4.68</v>
      </c>
      <c r="T34" s="2830">
        <v>5.22</v>
      </c>
      <c r="U34" s="2830">
        <v>2.34</v>
      </c>
      <c r="V34" s="2830">
        <v>2.88</v>
      </c>
      <c r="W34" s="2830">
        <v>3.33</v>
      </c>
      <c r="X34" s="2830">
        <v>1.53</v>
      </c>
      <c r="Y34" s="2830">
        <v>1.17</v>
      </c>
      <c r="Z34" s="2830">
        <v>1.71</v>
      </c>
    </row>
    <row r="35" spans="2:26">
      <c r="B35" s="2830"/>
      <c r="C35" s="2831">
        <v>39284</v>
      </c>
      <c r="D35" s="2830">
        <v>6.03</v>
      </c>
      <c r="E35" s="2830">
        <v>6.84</v>
      </c>
      <c r="F35" s="2830">
        <v>7.02</v>
      </c>
      <c r="G35" s="2830">
        <v>7.2</v>
      </c>
      <c r="H35" s="2830">
        <v>7.38</v>
      </c>
      <c r="I35" s="2830">
        <v>4.5</v>
      </c>
      <c r="J35" s="2830">
        <v>4.95</v>
      </c>
      <c r="L35" s="2830"/>
      <c r="M35" s="2831">
        <v>39221</v>
      </c>
      <c r="N35" s="2830">
        <v>0.72</v>
      </c>
      <c r="O35" s="2830">
        <v>2.0699999999999998</v>
      </c>
      <c r="P35" s="2830">
        <v>2.61</v>
      </c>
      <c r="Q35" s="2830">
        <v>3.06</v>
      </c>
      <c r="R35" s="2830">
        <v>3.69</v>
      </c>
      <c r="S35" s="2830">
        <v>4.41</v>
      </c>
      <c r="T35" s="2830">
        <v>4.95</v>
      </c>
      <c r="U35" s="2830">
        <v>2.0699999999999998</v>
      </c>
      <c r="V35" s="2830">
        <v>2.61</v>
      </c>
      <c r="W35" s="2830">
        <v>3.06</v>
      </c>
      <c r="X35" s="2830">
        <v>1.44</v>
      </c>
      <c r="Y35" s="2830">
        <v>1.08</v>
      </c>
      <c r="Z35" s="2830">
        <v>1.62</v>
      </c>
    </row>
    <row r="36" spans="2:26">
      <c r="B36" s="2830"/>
      <c r="C36" s="2831">
        <v>39221</v>
      </c>
      <c r="D36" s="2830">
        <v>5.85</v>
      </c>
      <c r="E36" s="2830">
        <v>6.57</v>
      </c>
      <c r="F36" s="2830">
        <v>6.75</v>
      </c>
      <c r="G36" s="2830">
        <v>6.93</v>
      </c>
      <c r="H36" s="2830">
        <v>7.2</v>
      </c>
      <c r="I36" s="2830">
        <v>4.41</v>
      </c>
      <c r="J36" s="2830">
        <v>4.8600000000000003</v>
      </c>
      <c r="L36" s="2830"/>
      <c r="M36" s="2831">
        <v>39159</v>
      </c>
      <c r="N36" s="2830">
        <v>0.72</v>
      </c>
      <c r="O36" s="2830">
        <v>1.98</v>
      </c>
      <c r="P36" s="2830">
        <v>2.4300000000000002</v>
      </c>
      <c r="Q36" s="2830">
        <v>2.79</v>
      </c>
      <c r="R36" s="2830">
        <v>3.33</v>
      </c>
      <c r="S36" s="2830">
        <v>3.96</v>
      </c>
      <c r="T36" s="2830">
        <v>4.41</v>
      </c>
      <c r="U36" s="2830">
        <v>1.98</v>
      </c>
      <c r="V36" s="2830">
        <v>2.4300000000000002</v>
      </c>
      <c r="W36" s="2830">
        <v>2.79</v>
      </c>
      <c r="X36" s="2830">
        <v>1.44</v>
      </c>
      <c r="Y36" s="2830">
        <v>1.08</v>
      </c>
      <c r="Z36" s="2830">
        <v>1.62</v>
      </c>
    </row>
    <row r="37" spans="2:26">
      <c r="B37" s="2830"/>
      <c r="C37" s="2831">
        <v>39159</v>
      </c>
      <c r="D37" s="2830">
        <v>5.67</v>
      </c>
      <c r="E37" s="2830">
        <v>6.39</v>
      </c>
      <c r="F37" s="2830">
        <v>6.57</v>
      </c>
      <c r="G37" s="2830">
        <v>6.75</v>
      </c>
      <c r="H37" s="2830">
        <v>7.11</v>
      </c>
      <c r="I37" s="2830">
        <v>4.32</v>
      </c>
      <c r="J37" s="2830">
        <v>4.7699999999999996</v>
      </c>
      <c r="L37" s="2830"/>
      <c r="M37" s="2831">
        <v>38948</v>
      </c>
      <c r="N37" s="2830">
        <v>0.72</v>
      </c>
      <c r="O37" s="2830">
        <v>1.8</v>
      </c>
      <c r="P37" s="2830">
        <v>2.25</v>
      </c>
      <c r="Q37" s="2830">
        <v>2.52</v>
      </c>
      <c r="R37" s="2830">
        <v>3.06</v>
      </c>
      <c r="S37" s="2830">
        <v>3.69</v>
      </c>
      <c r="T37" s="2830">
        <v>4.1399999999999997</v>
      </c>
      <c r="U37" s="2830">
        <v>1.8</v>
      </c>
      <c r="V37" s="2830">
        <v>2.25</v>
      </c>
      <c r="W37" s="2830">
        <v>2.52</v>
      </c>
      <c r="X37" s="2830">
        <v>1.44</v>
      </c>
      <c r="Y37" s="2830">
        <v>1.08</v>
      </c>
      <c r="Z37" s="2830">
        <v>1.62</v>
      </c>
    </row>
    <row r="38" spans="2:26">
      <c r="B38" s="2830"/>
      <c r="C38" s="2831">
        <v>38948</v>
      </c>
      <c r="D38" s="2830">
        <v>5.58</v>
      </c>
      <c r="E38" s="2830">
        <v>6.12</v>
      </c>
      <c r="F38" s="2830">
        <v>6.3</v>
      </c>
      <c r="G38" s="2830">
        <v>6.48</v>
      </c>
      <c r="H38" s="2830">
        <v>6.84</v>
      </c>
      <c r="I38" s="2830">
        <v>4.1399999999999997</v>
      </c>
      <c r="J38" s="2830">
        <v>4.59</v>
      </c>
      <c r="L38" s="2830"/>
      <c r="M38" s="2831">
        <v>38289</v>
      </c>
      <c r="N38" s="2830">
        <v>0.72</v>
      </c>
      <c r="O38" s="2830">
        <v>1.71</v>
      </c>
      <c r="P38" s="2830">
        <v>2.0699999999999998</v>
      </c>
      <c r="Q38" s="2830">
        <v>2.25</v>
      </c>
      <c r="R38" s="2830">
        <v>2.7</v>
      </c>
      <c r="S38" s="2830">
        <v>3.24</v>
      </c>
      <c r="T38" s="2830">
        <v>3.6</v>
      </c>
      <c r="U38" s="2830">
        <v>1.71</v>
      </c>
      <c r="V38" s="2830">
        <v>2.0699999999999998</v>
      </c>
      <c r="W38" s="2830">
        <v>2.25</v>
      </c>
      <c r="X38" s="2830">
        <v>1.44</v>
      </c>
      <c r="Y38" s="2830">
        <v>1.08</v>
      </c>
      <c r="Z38" s="2830">
        <v>1.62</v>
      </c>
    </row>
    <row r="39" spans="2:26">
      <c r="B39" s="2830"/>
      <c r="C39" s="2831">
        <v>38835</v>
      </c>
      <c r="D39" s="2830">
        <v>5.4</v>
      </c>
      <c r="E39" s="2830">
        <v>5.85</v>
      </c>
      <c r="F39" s="2830">
        <v>6.03</v>
      </c>
      <c r="G39" s="2830">
        <v>6.12</v>
      </c>
      <c r="H39" s="2830">
        <v>6.39</v>
      </c>
      <c r="I39" s="2830">
        <v>4.1399999999999997</v>
      </c>
      <c r="J39" s="2830">
        <v>4.59</v>
      </c>
      <c r="L39" s="2830"/>
      <c r="M39" s="2831">
        <v>37308</v>
      </c>
      <c r="N39" s="2830">
        <v>0.72</v>
      </c>
      <c r="O39" s="2830">
        <v>1.71</v>
      </c>
      <c r="P39" s="2830">
        <v>1.89</v>
      </c>
      <c r="Q39" s="2830">
        <v>1.98</v>
      </c>
      <c r="R39" s="2830">
        <v>2.25</v>
      </c>
      <c r="S39" s="2830">
        <v>2.52</v>
      </c>
      <c r="T39" s="2830">
        <v>2.79</v>
      </c>
      <c r="U39" s="2830">
        <v>1.71</v>
      </c>
      <c r="V39" s="2830">
        <v>1.89</v>
      </c>
      <c r="W39" s="2830">
        <v>1.98</v>
      </c>
      <c r="X39" s="2830">
        <v>1.44</v>
      </c>
      <c r="Y39" s="2830">
        <v>1.08</v>
      </c>
      <c r="Z39" s="2830">
        <v>1.62</v>
      </c>
    </row>
    <row r="40" spans="2:26">
      <c r="B40" s="2830"/>
      <c r="C40" s="2831">
        <v>38428</v>
      </c>
      <c r="D40" s="2830">
        <v>5.22</v>
      </c>
      <c r="E40" s="2830">
        <v>5.58</v>
      </c>
      <c r="F40" s="2830">
        <v>5.76</v>
      </c>
      <c r="G40" s="2830">
        <v>5.85</v>
      </c>
      <c r="H40" s="2830">
        <v>6.12</v>
      </c>
      <c r="I40" s="2830">
        <v>3.96</v>
      </c>
      <c r="J40" s="2830">
        <v>4.41</v>
      </c>
      <c r="L40" s="2830"/>
      <c r="M40" s="2831">
        <v>36321</v>
      </c>
      <c r="N40" s="2830">
        <v>0.99</v>
      </c>
      <c r="O40" s="2830">
        <v>1.98</v>
      </c>
      <c r="P40" s="2830">
        <v>2.16</v>
      </c>
      <c r="Q40" s="2830">
        <v>2.25</v>
      </c>
      <c r="R40" s="2830">
        <v>2.4300000000000002</v>
      </c>
      <c r="S40" s="2830">
        <v>2.7</v>
      </c>
      <c r="T40" s="2830">
        <v>2.88</v>
      </c>
      <c r="U40" s="2830">
        <v>1.98</v>
      </c>
      <c r="V40" s="2830">
        <v>2.16</v>
      </c>
      <c r="W40" s="2830">
        <v>2.25</v>
      </c>
      <c r="X40" s="2830">
        <v>1.71</v>
      </c>
      <c r="Y40" s="2830">
        <v>1.35</v>
      </c>
      <c r="Z40" s="2830">
        <v>1.89</v>
      </c>
    </row>
    <row r="41" spans="2:26">
      <c r="B41" s="2830"/>
      <c r="C41" s="2831">
        <v>38289</v>
      </c>
      <c r="D41" s="2830">
        <v>5.22</v>
      </c>
      <c r="E41" s="2830">
        <v>5.58</v>
      </c>
      <c r="F41" s="2830">
        <v>5.76</v>
      </c>
      <c r="G41" s="2830">
        <v>5.85</v>
      </c>
      <c r="H41" s="2830">
        <v>6.12</v>
      </c>
      <c r="I41" s="2830">
        <v>3.78</v>
      </c>
      <c r="J41" s="2830">
        <v>4.2300000000000004</v>
      </c>
      <c r="L41" s="2830"/>
      <c r="M41" s="2831">
        <v>36136</v>
      </c>
      <c r="N41" s="2830">
        <v>1.44</v>
      </c>
      <c r="O41" s="2830">
        <v>2.79</v>
      </c>
      <c r="P41" s="2830">
        <v>3.33</v>
      </c>
      <c r="Q41" s="2830">
        <v>3.78</v>
      </c>
      <c r="R41" s="2830">
        <v>3.96</v>
      </c>
      <c r="S41" s="2830">
        <v>4.1399999999999997</v>
      </c>
      <c r="T41" s="2830">
        <v>4.5</v>
      </c>
      <c r="U41" s="2830">
        <v>3.33</v>
      </c>
      <c r="V41" s="2830">
        <v>3.78</v>
      </c>
      <c r="W41" s="2830">
        <v>4.1399999999999997</v>
      </c>
      <c r="X41" s="2830">
        <v>2.16</v>
      </c>
      <c r="Y41" s="2830">
        <v>1.8</v>
      </c>
      <c r="Z41" s="2830">
        <v>2.34</v>
      </c>
    </row>
    <row r="42" spans="2:26">
      <c r="B42" s="2830"/>
      <c r="C42" s="2831">
        <v>37308</v>
      </c>
      <c r="D42" s="2830">
        <v>5.04</v>
      </c>
      <c r="E42" s="2830">
        <v>5.31</v>
      </c>
      <c r="F42" s="2830">
        <v>5.49</v>
      </c>
      <c r="G42" s="2830">
        <v>5.58</v>
      </c>
      <c r="H42" s="2830">
        <v>5.76</v>
      </c>
      <c r="I42" s="2830">
        <v>3.6</v>
      </c>
      <c r="J42" s="2830">
        <v>4.05</v>
      </c>
      <c r="L42" s="2830"/>
      <c r="M42" s="2831">
        <v>35977</v>
      </c>
      <c r="N42" s="2830">
        <v>1.44</v>
      </c>
      <c r="O42" s="2830">
        <v>2.79</v>
      </c>
      <c r="P42" s="2830">
        <v>3.96</v>
      </c>
      <c r="Q42" s="2830">
        <v>4.7699999999999996</v>
      </c>
      <c r="R42" s="2830">
        <v>4.8600000000000003</v>
      </c>
      <c r="S42" s="2830">
        <v>4.95</v>
      </c>
      <c r="T42" s="2830">
        <v>5.22</v>
      </c>
      <c r="U42" s="2830">
        <v>3.96</v>
      </c>
      <c r="V42" s="2830">
        <v>4.7699999999999996</v>
      </c>
      <c r="W42" s="2830">
        <v>4.95</v>
      </c>
      <c r="X42" s="2830" t="s">
        <v>2813</v>
      </c>
      <c r="Y42" s="2830" t="s">
        <v>2813</v>
      </c>
      <c r="Z42" s="2830" t="s">
        <v>2813</v>
      </c>
    </row>
    <row r="43" spans="2:26">
      <c r="B43" s="2830"/>
      <c r="C43" s="2831">
        <v>36321</v>
      </c>
      <c r="D43" s="2830">
        <v>5.58</v>
      </c>
      <c r="E43" s="2830">
        <v>5.85</v>
      </c>
      <c r="F43" s="2830">
        <v>5.94</v>
      </c>
      <c r="G43" s="2830">
        <v>6.03</v>
      </c>
      <c r="H43" s="2830">
        <v>6.21</v>
      </c>
      <c r="I43" s="2830">
        <v>4.1399999999999997</v>
      </c>
      <c r="J43" s="2830">
        <v>4.59</v>
      </c>
      <c r="L43" s="2830"/>
      <c r="M43" s="2831">
        <v>35879</v>
      </c>
      <c r="N43" s="2830">
        <v>1.71</v>
      </c>
      <c r="O43" s="2830">
        <v>2.88</v>
      </c>
      <c r="P43" s="2830">
        <v>4.1399999999999997</v>
      </c>
      <c r="Q43" s="2830">
        <v>5.22</v>
      </c>
      <c r="R43" s="2830">
        <v>5.58</v>
      </c>
      <c r="S43" s="2830">
        <v>6.21</v>
      </c>
      <c r="T43" s="2830">
        <v>6.66</v>
      </c>
      <c r="U43" s="2830">
        <v>4.1399999999999997</v>
      </c>
      <c r="V43" s="2830">
        <v>5.22</v>
      </c>
      <c r="W43" s="2830">
        <v>6.21</v>
      </c>
      <c r="X43" s="2830" t="s">
        <v>2813</v>
      </c>
      <c r="Y43" s="2830" t="s">
        <v>2813</v>
      </c>
      <c r="Z43" s="2830" t="s">
        <v>2813</v>
      </c>
    </row>
    <row r="44" spans="2:26">
      <c r="B44" s="2830"/>
      <c r="C44" s="2831">
        <v>36136</v>
      </c>
      <c r="D44" s="2830">
        <v>6.12</v>
      </c>
      <c r="E44" s="2830">
        <v>6.39</v>
      </c>
      <c r="F44" s="2830">
        <v>6.66</v>
      </c>
      <c r="G44" s="2830">
        <v>7.2</v>
      </c>
      <c r="H44" s="2830">
        <v>7.56</v>
      </c>
      <c r="I44" s="2830">
        <v>0</v>
      </c>
      <c r="J44" s="2830">
        <v>0</v>
      </c>
      <c r="L44" s="2830"/>
      <c r="M44" s="2831">
        <v>35726</v>
      </c>
      <c r="N44" s="2830">
        <v>1.71</v>
      </c>
      <c r="O44" s="2830">
        <v>2.88</v>
      </c>
      <c r="P44" s="2830">
        <v>4.1399999999999997</v>
      </c>
      <c r="Q44" s="2830">
        <v>5.67</v>
      </c>
      <c r="R44" s="2830">
        <v>5.94</v>
      </c>
      <c r="S44" s="2830">
        <v>6.21</v>
      </c>
      <c r="T44" s="2830">
        <v>6.66</v>
      </c>
      <c r="U44" s="2830">
        <v>4.1399999999999997</v>
      </c>
      <c r="V44" s="2830">
        <v>5.67</v>
      </c>
      <c r="W44" s="2830">
        <v>6.21</v>
      </c>
      <c r="X44" s="2830" t="s">
        <v>2813</v>
      </c>
      <c r="Y44" s="2830" t="s">
        <v>2813</v>
      </c>
      <c r="Z44" s="2830" t="s">
        <v>2813</v>
      </c>
    </row>
    <row r="45" spans="2:26">
      <c r="B45" s="2830"/>
      <c r="C45" s="2831">
        <v>35977</v>
      </c>
      <c r="D45" s="2830">
        <v>6.57</v>
      </c>
      <c r="E45" s="2830">
        <v>6.93</v>
      </c>
      <c r="F45" s="2830">
        <v>7.11</v>
      </c>
      <c r="G45" s="2830">
        <v>7.65</v>
      </c>
      <c r="H45" s="2830">
        <v>8.01</v>
      </c>
      <c r="I45" s="2830">
        <v>0</v>
      </c>
      <c r="J45" s="2830">
        <v>0</v>
      </c>
      <c r="L45" s="2830"/>
      <c r="M45" s="2831">
        <v>35300</v>
      </c>
      <c r="N45" s="2830">
        <v>1.98</v>
      </c>
      <c r="O45" s="2830">
        <v>3.33</v>
      </c>
      <c r="P45" s="2830">
        <v>5.4</v>
      </c>
      <c r="Q45" s="2830">
        <v>7.47</v>
      </c>
      <c r="R45" s="2830">
        <v>7.92</v>
      </c>
      <c r="S45" s="2830">
        <v>8.2799999999999994</v>
      </c>
      <c r="T45" s="2830">
        <v>9</v>
      </c>
      <c r="U45" s="2830">
        <v>5.4</v>
      </c>
      <c r="V45" s="2830">
        <v>7.47</v>
      </c>
      <c r="W45" s="2830">
        <v>8.2799999999999994</v>
      </c>
      <c r="X45" s="2830" t="s">
        <v>2813</v>
      </c>
      <c r="Y45" s="2830" t="s">
        <v>2813</v>
      </c>
      <c r="Z45" s="2830" t="s">
        <v>2813</v>
      </c>
    </row>
    <row r="46" spans="2:26">
      <c r="B46" s="2830"/>
      <c r="C46" s="2831">
        <v>35879</v>
      </c>
      <c r="D46" s="2830">
        <v>7.02</v>
      </c>
      <c r="E46" s="2830">
        <v>7.92</v>
      </c>
      <c r="F46" s="2830">
        <v>9</v>
      </c>
      <c r="G46" s="2830">
        <v>9.7200000000000006</v>
      </c>
      <c r="H46" s="2830">
        <v>10.35</v>
      </c>
      <c r="I46" s="2830">
        <v>0</v>
      </c>
      <c r="J46" s="2830">
        <v>0</v>
      </c>
      <c r="L46" s="2830"/>
      <c r="M46" s="2831">
        <v>35186</v>
      </c>
      <c r="N46" s="2830">
        <v>2.97</v>
      </c>
      <c r="O46" s="2830">
        <v>4.8600000000000003</v>
      </c>
      <c r="P46" s="2830">
        <v>7.2</v>
      </c>
      <c r="Q46" s="2830">
        <v>9.18</v>
      </c>
      <c r="R46" s="2830">
        <v>9.9</v>
      </c>
      <c r="S46" s="2830">
        <v>10.8</v>
      </c>
      <c r="T46" s="2830">
        <v>12.06</v>
      </c>
      <c r="U46" s="2830">
        <v>7.2</v>
      </c>
      <c r="V46" s="2830">
        <v>9.18</v>
      </c>
      <c r="W46" s="2830">
        <v>10.8</v>
      </c>
      <c r="X46" s="2830" t="s">
        <v>2813</v>
      </c>
      <c r="Y46" s="2830" t="s">
        <v>2813</v>
      </c>
      <c r="Z46" s="2830" t="s">
        <v>2813</v>
      </c>
    </row>
    <row r="47" spans="2:26">
      <c r="B47" s="2830"/>
      <c r="C47" s="2831">
        <v>35726</v>
      </c>
      <c r="D47" s="2830">
        <v>7.65</v>
      </c>
      <c r="E47" s="2830">
        <v>8.64</v>
      </c>
      <c r="F47" s="2830">
        <v>9.36</v>
      </c>
      <c r="G47" s="2830">
        <v>9.9</v>
      </c>
      <c r="H47" s="2830">
        <v>10.53</v>
      </c>
      <c r="I47" s="2830">
        <v>0</v>
      </c>
      <c r="J47" s="2830">
        <v>0</v>
      </c>
      <c r="L47" s="2830"/>
      <c r="M47" s="2831">
        <v>34161</v>
      </c>
      <c r="N47" s="2830">
        <v>3.15</v>
      </c>
      <c r="O47" s="2830">
        <v>6.66</v>
      </c>
      <c r="P47" s="2830">
        <v>9</v>
      </c>
      <c r="Q47" s="2830">
        <v>10.98</v>
      </c>
      <c r="R47" s="2830">
        <v>11.7</v>
      </c>
      <c r="S47" s="2830">
        <v>12.24</v>
      </c>
      <c r="T47" s="2830">
        <v>13.86</v>
      </c>
      <c r="U47" s="2830">
        <v>9</v>
      </c>
      <c r="V47" s="2830">
        <v>10.98</v>
      </c>
      <c r="W47" s="2830">
        <v>12.24</v>
      </c>
      <c r="X47" s="2830" t="s">
        <v>2813</v>
      </c>
      <c r="Y47" s="2830" t="s">
        <v>2813</v>
      </c>
      <c r="Z47" s="2830" t="s">
        <v>2813</v>
      </c>
    </row>
    <row r="48" spans="2:26">
      <c r="B48" s="2830"/>
      <c r="C48" s="2831">
        <v>35300</v>
      </c>
      <c r="D48" s="2830">
        <v>9.18</v>
      </c>
      <c r="E48" s="2830">
        <v>10.08</v>
      </c>
      <c r="F48" s="2830">
        <v>10.98</v>
      </c>
      <c r="G48" s="2830">
        <v>11.7</v>
      </c>
      <c r="H48" s="2830">
        <v>12.42</v>
      </c>
      <c r="I48" s="2830">
        <v>0</v>
      </c>
      <c r="J48" s="2830">
        <v>0</v>
      </c>
      <c r="L48" s="2830"/>
      <c r="M48" s="2831">
        <v>34104</v>
      </c>
      <c r="N48" s="2830">
        <v>2.16</v>
      </c>
      <c r="O48" s="2830">
        <v>4.8600000000000003</v>
      </c>
      <c r="P48" s="2830">
        <v>7.2</v>
      </c>
      <c r="Q48" s="2830">
        <v>9.18</v>
      </c>
      <c r="R48" s="2830">
        <v>9.9</v>
      </c>
      <c r="S48" s="2830">
        <v>10.8</v>
      </c>
      <c r="T48" s="2830">
        <v>12.06</v>
      </c>
      <c r="U48" s="2830">
        <v>7.2</v>
      </c>
      <c r="V48" s="2830">
        <v>9.18</v>
      </c>
      <c r="W48" s="2830">
        <v>10.8</v>
      </c>
      <c r="X48" s="2830" t="s">
        <v>2813</v>
      </c>
      <c r="Y48" s="2830" t="s">
        <v>2813</v>
      </c>
      <c r="Z48" s="2830" t="s">
        <v>2813</v>
      </c>
    </row>
    <row r="49" spans="2:26">
      <c r="B49" s="2830"/>
      <c r="C49" s="2831">
        <v>35186</v>
      </c>
      <c r="D49" s="2830">
        <v>9.7200000000000006</v>
      </c>
      <c r="E49" s="2830">
        <v>10.98</v>
      </c>
      <c r="F49" s="2830">
        <v>13.14</v>
      </c>
      <c r="G49" s="2830">
        <v>14.94</v>
      </c>
      <c r="H49" s="2830">
        <v>15.12</v>
      </c>
      <c r="I49" s="2830">
        <v>0</v>
      </c>
      <c r="J49" s="2830">
        <v>0</v>
      </c>
      <c r="L49" s="2830"/>
      <c r="M49" s="2831">
        <v>33349</v>
      </c>
      <c r="N49" s="2830">
        <v>1.8</v>
      </c>
      <c r="O49" s="2830">
        <v>3.24</v>
      </c>
      <c r="P49" s="2830">
        <v>5.4</v>
      </c>
      <c r="Q49" s="2830">
        <v>7.56</v>
      </c>
      <c r="R49" s="2830">
        <v>7.92</v>
      </c>
      <c r="S49" s="2830">
        <v>8.2799999999999994</v>
      </c>
      <c r="T49" s="2830">
        <v>9</v>
      </c>
      <c r="U49" s="2830">
        <v>6.12</v>
      </c>
      <c r="V49" s="2830">
        <v>6.84</v>
      </c>
      <c r="W49" s="2830">
        <v>7.56</v>
      </c>
      <c r="X49" s="2830" t="s">
        <v>2813</v>
      </c>
      <c r="Y49" s="2830" t="s">
        <v>2813</v>
      </c>
      <c r="Z49" s="2830" t="s">
        <v>2813</v>
      </c>
    </row>
    <row r="50" spans="2:26">
      <c r="B50" s="2830"/>
      <c r="C50" s="2831">
        <v>34881</v>
      </c>
      <c r="D50" s="2830">
        <v>10.08</v>
      </c>
      <c r="E50" s="2830">
        <v>12.06</v>
      </c>
      <c r="F50" s="2830">
        <v>13.5</v>
      </c>
      <c r="G50" s="2830">
        <v>15.12</v>
      </c>
      <c r="H50" s="2830">
        <v>15.3</v>
      </c>
      <c r="I50" s="2830">
        <v>0</v>
      </c>
      <c r="J50" s="2830">
        <v>0</v>
      </c>
      <c r="L50" s="2830"/>
      <c r="M50" s="2831">
        <v>33106</v>
      </c>
      <c r="N50" s="2830">
        <v>2.16</v>
      </c>
      <c r="O50" s="2830">
        <v>4.32</v>
      </c>
      <c r="P50" s="2830">
        <v>6.48</v>
      </c>
      <c r="Q50" s="2830">
        <v>8.64</v>
      </c>
      <c r="R50" s="2830">
        <v>9.36</v>
      </c>
      <c r="S50" s="2830">
        <v>10.08</v>
      </c>
      <c r="T50" s="2830">
        <v>11.52</v>
      </c>
      <c r="U50" s="2830">
        <v>7.2</v>
      </c>
      <c r="V50" s="2830">
        <v>8.64</v>
      </c>
      <c r="W50" s="2830">
        <v>10.08</v>
      </c>
      <c r="X50" s="2830" t="s">
        <v>2813</v>
      </c>
      <c r="Y50" s="2830" t="s">
        <v>2813</v>
      </c>
      <c r="Z50" s="2830" t="s">
        <v>2813</v>
      </c>
    </row>
    <row r="51" spans="2:26">
      <c r="B51" s="2830"/>
      <c r="C51" s="2831">
        <v>34700</v>
      </c>
      <c r="D51" s="2830">
        <v>9</v>
      </c>
      <c r="E51" s="2830">
        <v>10.98</v>
      </c>
      <c r="F51" s="2830">
        <v>12.96</v>
      </c>
      <c r="G51" s="2830">
        <v>14.58</v>
      </c>
      <c r="H51" s="2830">
        <v>14.76</v>
      </c>
      <c r="I51" s="2830">
        <v>0</v>
      </c>
      <c r="J51" s="2830">
        <v>0</v>
      </c>
      <c r="L51" s="2830"/>
      <c r="M51" s="2831">
        <v>32978</v>
      </c>
      <c r="N51" s="2830">
        <v>2.88</v>
      </c>
      <c r="O51" s="2830">
        <v>6.3</v>
      </c>
      <c r="P51" s="2830">
        <v>7.74</v>
      </c>
      <c r="Q51" s="2830">
        <v>10.08</v>
      </c>
      <c r="R51" s="2830">
        <v>10.98</v>
      </c>
      <c r="S51" s="2830">
        <v>11.88</v>
      </c>
      <c r="T51" s="2830">
        <v>13.68</v>
      </c>
      <c r="U51" s="2830" t="s">
        <v>2813</v>
      </c>
      <c r="V51" s="2830" t="s">
        <v>2813</v>
      </c>
      <c r="W51" s="2830" t="s">
        <v>2813</v>
      </c>
      <c r="X51" s="2830" t="s">
        <v>2813</v>
      </c>
      <c r="Y51" s="2830" t="s">
        <v>2813</v>
      </c>
      <c r="Z51" s="2830" t="s">
        <v>2813</v>
      </c>
    </row>
    <row r="52" spans="2:26">
      <c r="B52" s="2830"/>
      <c r="C52" s="2831">
        <v>34161</v>
      </c>
      <c r="D52" s="2830">
        <v>9</v>
      </c>
      <c r="E52" s="2830">
        <v>10.98</v>
      </c>
      <c r="F52" s="2830">
        <v>12.24</v>
      </c>
      <c r="G52" s="2830">
        <v>13.86</v>
      </c>
      <c r="H52" s="2830">
        <v>14.04</v>
      </c>
      <c r="I52" s="2830">
        <v>0</v>
      </c>
      <c r="J52" s="2830">
        <v>0</v>
      </c>
      <c r="L52" s="2830"/>
      <c r="M52" s="2831"/>
      <c r="N52" s="2830"/>
      <c r="O52" s="2830"/>
      <c r="P52" s="2830"/>
      <c r="Q52" s="2830"/>
      <c r="R52" s="2830"/>
      <c r="S52" s="2830"/>
      <c r="T52" s="2830"/>
      <c r="U52" s="2830"/>
      <c r="V52" s="2830"/>
      <c r="W52" s="2830"/>
      <c r="X52" s="2830"/>
      <c r="Y52" s="2830"/>
      <c r="Z52" s="2830"/>
    </row>
    <row r="53" spans="2:26">
      <c r="B53" s="2830"/>
      <c r="C53" s="2831">
        <v>34104</v>
      </c>
      <c r="D53" s="2830">
        <v>8.82</v>
      </c>
      <c r="E53" s="2830">
        <v>9.36</v>
      </c>
      <c r="F53" s="2830">
        <v>10.8</v>
      </c>
      <c r="G53" s="2830">
        <v>12.06</v>
      </c>
      <c r="H53" s="2830">
        <v>12.24</v>
      </c>
      <c r="I53" s="2830">
        <v>0</v>
      </c>
      <c r="J53" s="2830">
        <v>0</v>
      </c>
      <c r="L53" s="2830"/>
      <c r="M53" s="2831"/>
      <c r="N53" s="2830"/>
      <c r="O53" s="2830"/>
      <c r="P53" s="2830"/>
      <c r="Q53" s="2830"/>
      <c r="R53" s="2830"/>
      <c r="S53" s="2830"/>
      <c r="T53" s="2830"/>
      <c r="U53" s="2830"/>
      <c r="V53" s="2830"/>
      <c r="W53" s="2830"/>
      <c r="X53" s="2830"/>
      <c r="Y53" s="2830"/>
      <c r="Z53" s="2830"/>
    </row>
    <row r="54" spans="2:26">
      <c r="B54" s="2830"/>
      <c r="C54" s="2831">
        <v>33349</v>
      </c>
      <c r="D54" s="2830">
        <v>8.1</v>
      </c>
      <c r="E54" s="2830">
        <v>8.64</v>
      </c>
      <c r="F54" s="2830">
        <v>9</v>
      </c>
      <c r="G54" s="2830">
        <v>9.5399999999999991</v>
      </c>
      <c r="H54" s="2830">
        <v>9.7200000000000006</v>
      </c>
      <c r="I54" s="2830">
        <v>0</v>
      </c>
      <c r="J54" s="2830">
        <v>0</v>
      </c>
      <c r="L54" s="2830"/>
      <c r="M54" s="2831"/>
      <c r="N54" s="2830"/>
      <c r="O54" s="2830"/>
      <c r="P54" s="2830"/>
      <c r="Q54" s="2830"/>
      <c r="R54" s="2830"/>
      <c r="S54" s="2830"/>
      <c r="T54" s="2830"/>
      <c r="U54" s="2830"/>
      <c r="V54" s="2830"/>
      <c r="W54" s="2830"/>
      <c r="X54" s="2830"/>
      <c r="Y54" s="2830"/>
      <c r="Z54" s="2830"/>
    </row>
    <row r="55" spans="2:26">
      <c r="B55" s="2830"/>
      <c r="C55" s="2831">
        <v>33318</v>
      </c>
      <c r="D55" s="2830">
        <v>9</v>
      </c>
      <c r="E55" s="2830">
        <v>10.08</v>
      </c>
      <c r="F55" s="2830">
        <v>10.8</v>
      </c>
      <c r="G55" s="2830">
        <v>11.52</v>
      </c>
      <c r="H55" s="2830">
        <v>11.88</v>
      </c>
      <c r="I55" s="2830" t="s">
        <v>2813</v>
      </c>
      <c r="J55" s="2830" t="s">
        <v>2813</v>
      </c>
      <c r="L55" s="2830"/>
      <c r="M55" s="2831"/>
      <c r="N55" s="2830"/>
      <c r="O55" s="2830"/>
      <c r="P55" s="2830"/>
      <c r="Q55" s="2830"/>
      <c r="R55" s="2830"/>
      <c r="S55" s="2830"/>
      <c r="T55" s="2830"/>
      <c r="U55" s="2830"/>
      <c r="V55" s="2830"/>
      <c r="W55" s="2830"/>
      <c r="X55" s="2830"/>
      <c r="Y55" s="2830"/>
      <c r="Z55" s="2830"/>
    </row>
    <row r="56" spans="2:26">
      <c r="B56" s="2830"/>
      <c r="C56" s="2831">
        <v>33106</v>
      </c>
      <c r="D56" s="2830">
        <v>8.64</v>
      </c>
      <c r="E56" s="2830">
        <v>9.36</v>
      </c>
      <c r="F56" s="2830">
        <v>10.08</v>
      </c>
      <c r="G56" s="2830">
        <v>10.8</v>
      </c>
      <c r="H56" s="2830">
        <v>11.16</v>
      </c>
      <c r="I56" s="2830">
        <v>0</v>
      </c>
      <c r="J56" s="2830">
        <v>0</v>
      </c>
      <c r="L56" s="2830"/>
      <c r="M56" s="2831"/>
      <c r="N56" s="2830"/>
      <c r="O56" s="2830"/>
      <c r="P56" s="2830"/>
      <c r="Q56" s="2830"/>
      <c r="R56" s="2830"/>
      <c r="S56" s="2830"/>
      <c r="T56" s="2830"/>
      <c r="U56" s="2830"/>
      <c r="V56" s="2830"/>
      <c r="W56" s="2830"/>
      <c r="X56" s="2830"/>
      <c r="Y56" s="2830"/>
      <c r="Z56" s="2830"/>
    </row>
    <row r="57" spans="2:26">
      <c r="B57" s="2830"/>
      <c r="C57" s="2831">
        <v>32540</v>
      </c>
      <c r="D57" s="2830">
        <v>11.34</v>
      </c>
      <c r="E57" s="2830">
        <v>11.34</v>
      </c>
      <c r="F57" s="2830">
        <v>12.78</v>
      </c>
      <c r="G57" s="2830">
        <v>14.4</v>
      </c>
      <c r="H57" s="2830">
        <v>19.260000000000002</v>
      </c>
      <c r="I57" s="2830">
        <v>0</v>
      </c>
      <c r="J57" s="2830">
        <v>0</v>
      </c>
      <c r="L57" s="2830"/>
      <c r="M57" s="2831"/>
      <c r="N57" s="2830"/>
      <c r="O57" s="2830"/>
      <c r="P57" s="2830"/>
      <c r="Q57" s="2830"/>
      <c r="R57" s="2830"/>
      <c r="S57" s="2830"/>
      <c r="T57" s="2830"/>
      <c r="U57" s="2830"/>
      <c r="V57" s="2830"/>
      <c r="W57" s="2830"/>
      <c r="X57" s="2830"/>
      <c r="Y57" s="2830"/>
      <c r="Z57" s="2830"/>
    </row>
    <row r="58" spans="2:26">
      <c r="B58" s="2830"/>
      <c r="C58" s="2831"/>
      <c r="D58" s="2830"/>
      <c r="E58" s="2830"/>
      <c r="F58" s="2830"/>
      <c r="G58" s="2830"/>
      <c r="H58" s="2830"/>
      <c r="I58" s="2830"/>
      <c r="J58" s="2830"/>
    </row>
    <row r="59" spans="2:26">
      <c r="B59" s="2834"/>
      <c r="C59" s="2835"/>
      <c r="D59" s="2834"/>
      <c r="E59" s="2834"/>
      <c r="F59" s="2834"/>
      <c r="G59" s="2834"/>
      <c r="H59" s="2834"/>
      <c r="I59" s="2834"/>
      <c r="J59" s="2834"/>
    </row>
    <row r="60" spans="2:26">
      <c r="B60" s="2834"/>
      <c r="C60" s="2835"/>
      <c r="D60" s="2834"/>
      <c r="E60" s="2834"/>
      <c r="F60" s="2834"/>
      <c r="G60" s="2834"/>
      <c r="H60" s="2834"/>
      <c r="I60" s="2834"/>
      <c r="J60" s="2834"/>
    </row>
    <row r="61" spans="2:26">
      <c r="B61" s="2834"/>
      <c r="C61" s="2835"/>
      <c r="D61" s="2834"/>
      <c r="E61" s="2834"/>
      <c r="F61" s="2834"/>
      <c r="G61" s="2834"/>
      <c r="H61" s="2834"/>
      <c r="I61" s="2834"/>
      <c r="J61" s="2834"/>
    </row>
    <row r="62" spans="2:26">
      <c r="B62" s="2781"/>
      <c r="C62" s="2781"/>
      <c r="D62" s="2781"/>
      <c r="E62" s="2781"/>
      <c r="F62" s="2781"/>
      <c r="G62" s="2781"/>
      <c r="H62" s="2781"/>
      <c r="I62" s="2781"/>
      <c r="J62" s="2781"/>
    </row>
    <row r="63" spans="2:26">
      <c r="B63" s="2781"/>
      <c r="C63" s="2781"/>
      <c r="D63" s="2781"/>
      <c r="E63" s="2781"/>
      <c r="F63" s="2781"/>
      <c r="G63" s="2781"/>
      <c r="H63" s="2781"/>
      <c r="I63" s="2781"/>
      <c r="J63" s="2781"/>
    </row>
  </sheetData>
  <sheetProtection sheet="1" objects="1" scenarios="1"/>
  <phoneticPr fontId="228"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118" sqref="A118"/>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144</vt:i4>
      </vt:variant>
    </vt:vector>
  </HeadingPairs>
  <TitlesOfParts>
    <vt:vector size="189"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总表</vt:lpstr>
      <vt:lpstr>结果汇总表</vt:lpstr>
      <vt:lpstr>结果表</vt:lpstr>
      <vt:lpstr>基准地价</vt:lpstr>
      <vt:lpstr>剩余法-待开发</vt:lpstr>
      <vt:lpstr>剩余法-现房</vt:lpstr>
      <vt:lpstr>比较法-住宅、综合</vt:lpstr>
      <vt:lpstr>比较法-工业</vt:lpstr>
      <vt:lpstr>修正</vt:lpstr>
      <vt:lpstr>区片价</vt:lpstr>
      <vt:lpstr>容积率修正</vt:lpstr>
      <vt:lpstr>因素修正幅度</vt:lpstr>
      <vt:lpstr>基准地价（汇总）</vt:lpstr>
      <vt:lpstr>不动产收益法</vt:lpstr>
      <vt:lpstr>酒店收入计算</vt:lpstr>
      <vt:lpstr>成本逼近法</vt:lpstr>
      <vt:lpstr>不动产比较法-住宅</vt:lpstr>
      <vt:lpstr>不动产比较法-商业</vt:lpstr>
      <vt:lpstr>不动产比较法-办公售价</vt:lpstr>
      <vt:lpstr>办公销售案例</vt:lpstr>
      <vt:lpstr>收益还原法</vt:lpstr>
      <vt:lpstr>不动产比较法-办公租金</vt:lpstr>
      <vt:lpstr>地价</vt:lpstr>
      <vt:lpstr>不动产比较法-工业</vt:lpstr>
      <vt:lpstr>不动产比较法-车位</vt:lpstr>
      <vt:lpstr>不动产比较法-仓储</vt:lpstr>
      <vt:lpstr>典型户型修正</vt:lpstr>
      <vt:lpstr>存贷款利率</vt:lpstr>
      <vt:lpstr>办公租金案例</vt:lpstr>
      <vt:lpstr>八级</vt:lpstr>
      <vt:lpstr>'不动产比较法-办公租金'!办公层高</vt:lpstr>
      <vt:lpstr>办公层高</vt:lpstr>
      <vt:lpstr>'不动产比较法-办公租金'!办公朝向</vt:lpstr>
      <vt:lpstr>办公朝向</vt:lpstr>
      <vt:lpstr>'不动产比较法-办公租金'!办公道路级别</vt:lpstr>
      <vt:lpstr>办公道路级别</vt:lpstr>
      <vt:lpstr>'不动产比较法-办公租金'!办公公共部分装修</vt:lpstr>
      <vt:lpstr>办公公共部分装修</vt:lpstr>
      <vt:lpstr>'不动产比较法-办公租金'!办公基础设施水平</vt:lpstr>
      <vt:lpstr>办公基础设施水平</vt:lpstr>
      <vt:lpstr>办公集聚程度</vt:lpstr>
      <vt:lpstr>'不动产比较法-办公租金'!办公建筑结构</vt:lpstr>
      <vt:lpstr>办公建筑结构</vt:lpstr>
      <vt:lpstr>'不动产比较法-办公租金'!办公建筑类型</vt:lpstr>
      <vt:lpstr>办公建筑类型</vt:lpstr>
      <vt:lpstr>'不动产比较法-办公租金'!办公交易情况</vt:lpstr>
      <vt:lpstr>办公交易情况</vt:lpstr>
      <vt:lpstr>'不动产比较法-办公租金'!办公楼层</vt:lpstr>
      <vt:lpstr>办公楼层</vt:lpstr>
      <vt:lpstr>'不动产比较法-办公租金'!办公内部装修</vt:lpstr>
      <vt:lpstr>办公内部装修</vt:lpstr>
      <vt:lpstr>'不动产比较法-办公租金'!办公物业管理</vt:lpstr>
      <vt:lpstr>办公物业管理</vt:lpstr>
      <vt:lpstr>'不动产比较法-办公租金'!办公用途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'不动产比较法-办公租金'!写字楼等级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2017-03-09T08:11:21Z</cp:lastPrinted>
  <dcterms:created xsi:type="dcterms:W3CDTF">2015-07-13T07:17:23Z</dcterms:created>
  <dcterms:modified xsi:type="dcterms:W3CDTF">2020-07-29T06:41:53Z</dcterms:modified>
</cp:coreProperties>
</file>