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917北京市丰台区新华街三里2号楼8层807号\"/>
    </mc:Choice>
  </mc:AlternateContent>
  <bookViews>
    <workbookView xWindow="0" yWindow="0" windowWidth="17148" windowHeight="117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2" sheetId="87" r:id="rId27"/>
    <sheet name="Sheet1" sheetId="86"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59" i="21" l="1"/>
  <c r="G59" i="21" s="1"/>
  <c r="J59" i="21" s="1"/>
  <c r="C6" i="69" l="1"/>
  <c r="E91" i="21" l="1"/>
  <c r="W13" i="87" l="1"/>
  <c r="I47" i="21"/>
  <c r="G47" i="21"/>
  <c r="E47" i="21"/>
  <c r="I33" i="21"/>
  <c r="G33" i="21"/>
  <c r="E33" i="21"/>
  <c r="I7" i="21"/>
  <c r="G7" i="21"/>
  <c r="E7" i="21"/>
  <c r="I6" i="21"/>
  <c r="G6" i="21"/>
  <c r="E6" i="21"/>
  <c r="I5" i="21"/>
  <c r="G5" i="21"/>
  <c r="E5" i="21"/>
  <c r="F19" i="6" l="1"/>
  <c r="D5" i="9" l="1"/>
  <c r="I44" i="21"/>
  <c r="G44" i="21"/>
  <c r="E44" i="21"/>
  <c r="N20" i="1" l="1"/>
  <c r="L59" i="21" l="1"/>
  <c r="K59" i="21"/>
  <c r="I59" i="21"/>
  <c r="H59" i="21"/>
  <c r="F59" i="21"/>
  <c r="E59" i="21"/>
  <c r="F90" i="21"/>
  <c r="E90" i="21"/>
  <c r="D90" i="21"/>
  <c r="C90" i="21"/>
  <c r="D126" i="21" l="1"/>
  <c r="C126" i="21"/>
  <c r="I37" i="21"/>
  <c r="G37" i="2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B68" i="71"/>
  <c r="B67" i="71" s="1"/>
  <c r="F67" i="71"/>
  <c r="F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C28" i="71" s="1"/>
  <c r="T28" i="71" s="1"/>
  <c r="N28" i="71"/>
  <c r="B28" i="71" s="1"/>
  <c r="B30" i="71"/>
  <c r="B31" i="71" s="1"/>
  <c r="B32" i="71" s="1"/>
  <c r="S32" i="71" s="1"/>
  <c r="E38" i="71"/>
  <c r="C38" i="71"/>
  <c r="P28" i="71"/>
  <c r="E28"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D83" i="21"/>
  <c r="E83" i="21" s="1"/>
  <c r="F83" i="21" s="1"/>
  <c r="G83" i="21" s="1"/>
  <c r="F21" i="21"/>
  <c r="AA21" i="21" s="1"/>
  <c r="D81" i="21"/>
  <c r="E81" i="21" s="1"/>
  <c r="G20" i="20"/>
  <c r="C25" i="40" s="1"/>
  <c r="C22" i="20"/>
  <c r="B100" i="43" s="1"/>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H1" i="69"/>
  <c r="AC25" i="40"/>
  <c r="U29" i="39"/>
  <c r="S21" i="37"/>
  <c r="J21" i="37"/>
  <c r="G84" i="34"/>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U42" i="34" s="1"/>
  <c r="J42" i="34"/>
  <c r="W42" i="34" s="1"/>
  <c r="F42" i="34"/>
  <c r="S42" i="34" s="1"/>
  <c r="J38" i="34"/>
  <c r="W38" i="34" s="1"/>
  <c r="D114" i="34"/>
  <c r="F38" i="34"/>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C20" i="36"/>
  <c r="C20" i="35"/>
  <c r="C16" i="36"/>
  <c r="C16" i="35"/>
  <c r="C14" i="36"/>
  <c r="C14" i="35"/>
  <c r="B80" i="37"/>
  <c r="H25" i="37"/>
  <c r="B110" i="37"/>
  <c r="J39" i="37" s="1"/>
  <c r="AC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D103" i="37"/>
  <c r="E103" i="37" s="1"/>
  <c r="J35" i="37"/>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F13" i="37" s="1"/>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Q30" i="37"/>
  <c r="Z30" i="37"/>
  <c r="J30" i="37"/>
  <c r="H30" i="37"/>
  <c r="F30" i="37"/>
  <c r="AA30" i="37" s="1"/>
  <c r="Q29" i="37"/>
  <c r="Z29" i="37"/>
  <c r="H29" i="37"/>
  <c r="AB29" i="37" s="1"/>
  <c r="Q28" i="37"/>
  <c r="Z28" i="37"/>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c r="G64" i="36" s="1"/>
  <c r="J16" i="36"/>
  <c r="W16" i="36" s="1"/>
  <c r="D62" i="36"/>
  <c r="E62" i="36"/>
  <c r="F62" i="36" s="1"/>
  <c r="G62" i="36" s="1"/>
  <c r="B59" i="36"/>
  <c r="F13" i="36" s="1"/>
  <c r="S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c r="J22" i="36"/>
  <c r="AC22" i="36" s="1"/>
  <c r="Q20" i="36"/>
  <c r="Z20" i="36" s="1"/>
  <c r="Q16" i="36"/>
  <c r="Z16" i="36" s="1"/>
  <c r="Q14" i="36"/>
  <c r="Z14" i="36"/>
  <c r="Q13" i="36"/>
  <c r="Z13" i="36" s="1"/>
  <c r="Q12" i="36"/>
  <c r="Z12" i="36" s="1"/>
  <c r="H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W45" i="34" s="1"/>
  <c r="B99" i="34"/>
  <c r="H32" i="34" s="1"/>
  <c r="B97" i="34"/>
  <c r="B95" i="34"/>
  <c r="B93" i="34"/>
  <c r="B75" i="34"/>
  <c r="B73" i="34"/>
  <c r="B71" i="34"/>
  <c r="B130" i="33"/>
  <c r="B128" i="33"/>
  <c r="J45" i="33" s="1"/>
  <c r="W45" i="33" s="1"/>
  <c r="B126" i="33"/>
  <c r="B98" i="33"/>
  <c r="B96" i="33"/>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D77" i="21"/>
  <c r="E77" i="21" s="1"/>
  <c r="B130" i="21"/>
  <c r="B128" i="21"/>
  <c r="B126" i="21"/>
  <c r="B98" i="21"/>
  <c r="F31" i="21" s="1"/>
  <c r="B96" i="21"/>
  <c r="B94" i="21"/>
  <c r="J29" i="21" s="1"/>
  <c r="AC29" i="21" s="1"/>
  <c r="B92" i="21"/>
  <c r="J28" i="21" s="1"/>
  <c r="B90" i="21"/>
  <c r="J27" i="2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S41" i="21"/>
  <c r="AA41" i="21"/>
  <c r="J45" i="39"/>
  <c r="W45" i="39" s="1"/>
  <c r="F35" i="39"/>
  <c r="AA35" i="39" s="1"/>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W35" i="34" s="1"/>
  <c r="H39" i="33"/>
  <c r="AB39" i="33"/>
  <c r="F26" i="33"/>
  <c r="S40" i="33"/>
  <c r="H39" i="37"/>
  <c r="AB39" i="37" s="1"/>
  <c r="S27" i="35"/>
  <c r="F11" i="40"/>
  <c r="AA11" i="40" s="1"/>
  <c r="H11" i="40"/>
  <c r="AB11" i="40" s="1"/>
  <c r="AA9" i="40"/>
  <c r="U9" i="40"/>
  <c r="W31" i="40"/>
  <c r="U34" i="40"/>
  <c r="F42" i="39"/>
  <c r="F41" i="39"/>
  <c r="S41" i="39" s="1"/>
  <c r="H40" i="39"/>
  <c r="AB40" i="39" s="1"/>
  <c r="H39" i="39"/>
  <c r="U39" i="39" s="1"/>
  <c r="S38" i="39"/>
  <c r="H34" i="39"/>
  <c r="H19" i="39"/>
  <c r="AB19" i="39" s="1"/>
  <c r="F19" i="39"/>
  <c r="AA19" i="39" s="1"/>
  <c r="H17" i="39"/>
  <c r="F17" i="39"/>
  <c r="AA17" i="39" s="1"/>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J15" i="40"/>
  <c r="W15" i="40" s="1"/>
  <c r="J11" i="40"/>
  <c r="W11" i="40"/>
  <c r="AB8" i="39"/>
  <c r="J34" i="36"/>
  <c r="W34" i="36" s="1"/>
  <c r="J30" i="35"/>
  <c r="W30" i="35" s="1"/>
  <c r="H30" i="35"/>
  <c r="AB30" i="35" s="1"/>
  <c r="F22" i="35"/>
  <c r="AA22" i="35" s="1"/>
  <c r="H10" i="35"/>
  <c r="U10" i="35" s="1"/>
  <c r="W30" i="36"/>
  <c r="H16" i="36"/>
  <c r="AB16" i="36" s="1"/>
  <c r="J29" i="36"/>
  <c r="AC29" i="36" s="1"/>
  <c r="F12" i="36"/>
  <c r="F24" i="36"/>
  <c r="F34" i="36"/>
  <c r="S34" i="36" s="1"/>
  <c r="F14" i="35"/>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c r="AB34" i="37"/>
  <c r="J33" i="37"/>
  <c r="AC33" i="37" s="1"/>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F32" i="33"/>
  <c r="AA32" i="33" s="1"/>
  <c r="J19" i="33"/>
  <c r="AC19" i="33" s="1"/>
  <c r="J15" i="33"/>
  <c r="AC15" i="33" s="1"/>
  <c r="F11" i="33"/>
  <c r="AA11" i="33" s="1"/>
  <c r="W40" i="33"/>
  <c r="F37" i="40"/>
  <c r="AA37" i="40" s="1"/>
  <c r="F36" i="40"/>
  <c r="AA36" i="40" s="1"/>
  <c r="H28" i="40"/>
  <c r="U28" i="40" s="1"/>
  <c r="F23" i="40"/>
  <c r="AA23" i="40" s="1"/>
  <c r="F17" i="40"/>
  <c r="J17" i="40"/>
  <c r="W17" i="40" s="1"/>
  <c r="F15" i="40"/>
  <c r="S15" i="40" s="1"/>
  <c r="H15" i="40"/>
  <c r="AB15" i="40" s="1"/>
  <c r="AC11" i="40"/>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J37" i="34"/>
  <c r="AC37" i="34" s="1"/>
  <c r="J11" i="33"/>
  <c r="W11" i="33" s="1"/>
  <c r="J44" i="34"/>
  <c r="F44" i="34"/>
  <c r="S44" i="34" s="1"/>
  <c r="AA44" i="34"/>
  <c r="J10" i="35"/>
  <c r="AC10" i="35" s="1"/>
  <c r="J14" i="21"/>
  <c r="W14" i="21"/>
  <c r="F14" i="21"/>
  <c r="S14" i="21" s="1"/>
  <c r="H14" i="21"/>
  <c r="U14" i="21" s="1"/>
  <c r="H28" i="21"/>
  <c r="AB28" i="21" s="1"/>
  <c r="F28" i="21"/>
  <c r="AA28" i="21"/>
  <c r="F30" i="21"/>
  <c r="S30" i="21" s="1"/>
  <c r="J44" i="21"/>
  <c r="AC44" i="21" s="1"/>
  <c r="H44" i="21"/>
  <c r="U44" i="21" s="1"/>
  <c r="F44" i="21"/>
  <c r="AA44" i="21" s="1"/>
  <c r="H26" i="33"/>
  <c r="AB26" i="33" s="1"/>
  <c r="U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F27" i="33"/>
  <c r="AA27" i="33" s="1"/>
  <c r="J13" i="33"/>
  <c r="H13" i="33"/>
  <c r="U13" i="33" s="1"/>
  <c r="F13" i="33"/>
  <c r="S13" i="33" s="1"/>
  <c r="J29" i="33"/>
  <c r="H29" i="33"/>
  <c r="U29" i="33" s="1"/>
  <c r="J31" i="33"/>
  <c r="H31" i="33"/>
  <c r="F31" i="33"/>
  <c r="F14" i="34"/>
  <c r="H30" i="34"/>
  <c r="U30" i="34" s="1"/>
  <c r="F30" i="34"/>
  <c r="S30" i="34" s="1"/>
  <c r="J30" i="34"/>
  <c r="H46" i="34"/>
  <c r="F46" i="34"/>
  <c r="S46" i="34" s="1"/>
  <c r="J46" i="34"/>
  <c r="H11" i="35"/>
  <c r="AB11" i="35" s="1"/>
  <c r="J11" i="35"/>
  <c r="W11" i="35" s="1"/>
  <c r="AC11" i="35"/>
  <c r="F11" i="35"/>
  <c r="S11" i="35" s="1"/>
  <c r="J26" i="36"/>
  <c r="W26" i="36" s="1"/>
  <c r="H28" i="36"/>
  <c r="U28" i="36" s="1"/>
  <c r="H32" i="36"/>
  <c r="AB32" i="36" s="1"/>
  <c r="H11" i="36"/>
  <c r="U11" i="36" s="1"/>
  <c r="H13" i="36"/>
  <c r="AB13" i="36" s="1"/>
  <c r="J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14" i="33"/>
  <c r="U14" i="33" s="1"/>
  <c r="F14" i="33"/>
  <c r="AA14" i="33" s="1"/>
  <c r="J14" i="33"/>
  <c r="F30" i="33"/>
  <c r="H44" i="33"/>
  <c r="J44" i="33"/>
  <c r="W44" i="33" s="1"/>
  <c r="AC44" i="33"/>
  <c r="F44" i="33"/>
  <c r="S44" i="33" s="1"/>
  <c r="J46" i="33"/>
  <c r="AC46" i="33" s="1"/>
  <c r="H13" i="34"/>
  <c r="U13" i="34" s="1"/>
  <c r="J13" i="34"/>
  <c r="W13" i="34" s="1"/>
  <c r="F13" i="34"/>
  <c r="AA13" i="34" s="1"/>
  <c r="J29" i="34"/>
  <c r="F29" i="34"/>
  <c r="S29" i="34" s="1"/>
  <c r="H29" i="34"/>
  <c r="AB29" i="34" s="1"/>
  <c r="J31" i="34"/>
  <c r="AC31" i="34" s="1"/>
  <c r="H31" i="34"/>
  <c r="F31" i="34"/>
  <c r="S31" i="34" s="1"/>
  <c r="H45" i="34"/>
  <c r="U45" i="34" s="1"/>
  <c r="F45" i="34"/>
  <c r="S45" i="34" s="1"/>
  <c r="H47" i="34"/>
  <c r="F47" i="34"/>
  <c r="S47" i="34" s="1"/>
  <c r="J47" i="34"/>
  <c r="AC47" i="34" s="1"/>
  <c r="J13" i="35"/>
  <c r="AC13" i="35" s="1"/>
  <c r="H13" i="35"/>
  <c r="U13" i="35" s="1"/>
  <c r="J25" i="35"/>
  <c r="W25" i="35" s="1"/>
  <c r="F25" i="35"/>
  <c r="S25" i="35" s="1"/>
  <c r="H25" i="35"/>
  <c r="AB25" i="35" s="1"/>
  <c r="F35" i="35"/>
  <c r="AA35" i="35" s="1"/>
  <c r="J25" i="36"/>
  <c r="W25" i="36" s="1"/>
  <c r="F25" i="36"/>
  <c r="S25" i="36" s="1"/>
  <c r="H25" i="36"/>
  <c r="AB25" i="36" s="1"/>
  <c r="H13" i="37"/>
  <c r="AB13" i="37" s="1"/>
  <c r="J13" i="37"/>
  <c r="W13" i="37" s="1"/>
  <c r="F28" i="37"/>
  <c r="AA28" i="37" s="1"/>
  <c r="J28" i="37"/>
  <c r="AC28" i="37" s="1"/>
  <c r="H28" i="37"/>
  <c r="H38" i="37"/>
  <c r="J38" i="37"/>
  <c r="AC38" i="37" s="1"/>
  <c r="F38" i="37"/>
  <c r="AA38" i="37" s="1"/>
  <c r="F14" i="39"/>
  <c r="S14" i="39" s="1"/>
  <c r="H14" i="39"/>
  <c r="AB14" i="39" s="1"/>
  <c r="H12" i="40"/>
  <c r="AB12" i="40" s="1"/>
  <c r="H30" i="40"/>
  <c r="AB30" i="40" s="1"/>
  <c r="F33" i="40"/>
  <c r="AA33" i="40" s="1"/>
  <c r="H33" i="40"/>
  <c r="AB33" i="40" s="1"/>
  <c r="J35" i="40"/>
  <c r="AC35" i="40" s="1"/>
  <c r="J37" i="40"/>
  <c r="AC37" i="40"/>
  <c r="F13" i="40"/>
  <c r="AA13" i="40" s="1"/>
  <c r="F14" i="37"/>
  <c r="F13" i="39"/>
  <c r="J13" i="39"/>
  <c r="H13" i="39"/>
  <c r="U13" i="39" s="1"/>
  <c r="H14" i="40"/>
  <c r="AB14" i="40" s="1"/>
  <c r="J14" i="40"/>
  <c r="W14" i="40" s="1"/>
  <c r="F14" i="40"/>
  <c r="J27" i="37"/>
  <c r="AA44" i="33"/>
  <c r="J36" i="37"/>
  <c r="J10" i="36"/>
  <c r="AC10" i="36" s="1"/>
  <c r="F17" i="21"/>
  <c r="AA17" i="21" s="1"/>
  <c r="H17" i="21"/>
  <c r="AB17" i="21" s="1"/>
  <c r="F15" i="21"/>
  <c r="S15" i="21" s="1"/>
  <c r="J41" i="39"/>
  <c r="W41" i="39" s="1"/>
  <c r="S35" i="39"/>
  <c r="G540" i="3"/>
  <c r="G535" i="3"/>
  <c r="G528" i="3"/>
  <c r="G527" i="3"/>
  <c r="G508" i="3"/>
  <c r="G504" i="3"/>
  <c r="G580" i="3"/>
  <c r="G576" i="3"/>
  <c r="G564" i="3"/>
  <c r="G550" i="3"/>
  <c r="BL584" i="3"/>
  <c r="BL538" i="3"/>
  <c r="BL534" i="3"/>
  <c r="BL494" i="3"/>
  <c r="BL578" i="3"/>
  <c r="BL536" i="3"/>
  <c r="G533" i="3"/>
  <c r="BL500" i="3"/>
  <c r="BL496" i="3"/>
  <c r="BA578" i="3"/>
  <c r="BA570" i="3"/>
  <c r="BA562" i="3"/>
  <c r="BA560" i="3"/>
  <c r="BA554" i="3"/>
  <c r="BA544" i="3"/>
  <c r="BA526" i="3"/>
  <c r="BA524" i="3"/>
  <c r="BA508" i="3"/>
  <c r="BA506" i="3"/>
  <c r="BA583" i="3"/>
  <c r="BA573" i="3"/>
  <c r="BA561" i="3"/>
  <c r="BA559" i="3"/>
  <c r="BA539" i="3"/>
  <c r="BA531" i="3"/>
  <c r="BA517" i="3"/>
  <c r="BA507" i="3"/>
  <c r="BA493" i="3"/>
  <c r="G579" i="3"/>
  <c r="G575" i="3"/>
  <c r="G571" i="3"/>
  <c r="G569" i="3"/>
  <c r="G567" i="3"/>
  <c r="G565" i="3"/>
  <c r="G563" i="3"/>
  <c r="G561" i="3"/>
  <c r="AC557" i="3"/>
  <c r="G557" i="3" s="1"/>
  <c r="BQ557" i="3"/>
  <c r="BL557" i="3" s="1"/>
  <c r="BQ583" i="3"/>
  <c r="BQ581" i="3"/>
  <c r="BQ579" i="3"/>
  <c r="BQ577" i="3"/>
  <c r="BQ575" i="3"/>
  <c r="BQ573" i="3"/>
  <c r="BQ571" i="3"/>
  <c r="BQ569" i="3"/>
  <c r="BL569" i="3" s="1"/>
  <c r="BQ567" i="3"/>
  <c r="BQ565" i="3"/>
  <c r="BQ563" i="3"/>
  <c r="BL563" i="3" s="1"/>
  <c r="BQ561" i="3"/>
  <c r="BQ559" i="3"/>
  <c r="BL559" i="3" s="1"/>
  <c r="AZ559" i="3" s="1"/>
  <c r="G559" i="3"/>
  <c r="G553" i="3"/>
  <c r="G545" i="3"/>
  <c r="G543" i="3"/>
  <c r="BQ555" i="3"/>
  <c r="BQ553" i="3"/>
  <c r="BQ551" i="3"/>
  <c r="BQ549" i="3"/>
  <c r="BQ547" i="3"/>
  <c r="BQ545" i="3"/>
  <c r="BQ543" i="3"/>
  <c r="BQ541" i="3"/>
  <c r="BQ539" i="3"/>
  <c r="BQ537" i="3"/>
  <c r="BQ535" i="3"/>
  <c r="BQ533" i="3"/>
  <c r="BQ531" i="3"/>
  <c r="BQ529" i="3"/>
  <c r="BQ527" i="3"/>
  <c r="BQ525" i="3"/>
  <c r="BQ523" i="3"/>
  <c r="AC521" i="3"/>
  <c r="G521" i="3" s="1"/>
  <c r="BQ521" i="3"/>
  <c r="G515" i="3"/>
  <c r="G513" i="3"/>
  <c r="BQ519" i="3"/>
  <c r="BQ517" i="3"/>
  <c r="BQ515" i="3"/>
  <c r="BQ513" i="3"/>
  <c r="BL513" i="3" s="1"/>
  <c r="BQ511" i="3"/>
  <c r="AC509" i="3"/>
  <c r="BQ509" i="3"/>
  <c r="BL509" i="3" s="1"/>
  <c r="G507" i="3"/>
  <c r="G501" i="3"/>
  <c r="G499" i="3"/>
  <c r="BQ507" i="3"/>
  <c r="BQ505" i="3"/>
  <c r="BL505" i="3" s="1"/>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F32" i="40"/>
  <c r="S32" i="40" s="1"/>
  <c r="H32" i="40"/>
  <c r="AB32" i="40" s="1"/>
  <c r="J36" i="40"/>
  <c r="W36" i="40" s="1"/>
  <c r="H19" i="37"/>
  <c r="AB19" i="37" s="1"/>
  <c r="H42" i="33"/>
  <c r="AB42" i="33" s="1"/>
  <c r="J43" i="33"/>
  <c r="AC43" i="33" s="1"/>
  <c r="S28" i="31"/>
  <c r="S27" i="31"/>
  <c r="S26" i="31"/>
  <c r="U14" i="40"/>
  <c r="U39" i="37"/>
  <c r="U26" i="37"/>
  <c r="W47" i="34"/>
  <c r="AC45" i="33"/>
  <c r="U11" i="33"/>
  <c r="F43" i="33"/>
  <c r="AA43" i="33" s="1"/>
  <c r="W15" i="34"/>
  <c r="AC15" i="34"/>
  <c r="W16" i="35"/>
  <c r="H19" i="34"/>
  <c r="AB19" i="34" s="1"/>
  <c r="F36" i="35"/>
  <c r="S36" i="35" s="1"/>
  <c r="J9" i="37"/>
  <c r="W9" i="37" s="1"/>
  <c r="H9" i="37"/>
  <c r="U9" i="37" s="1"/>
  <c r="F9" i="37"/>
  <c r="S9" i="37" s="1"/>
  <c r="J12" i="37"/>
  <c r="H12" i="37"/>
  <c r="AB12" i="37" s="1"/>
  <c r="F15" i="37"/>
  <c r="S15" i="37" s="1"/>
  <c r="E94" i="37"/>
  <c r="F94" i="37" s="1"/>
  <c r="G94" i="37" s="1"/>
  <c r="H94" i="37" s="1"/>
  <c r="I94" i="37" s="1"/>
  <c r="J94" i="37" s="1"/>
  <c r="K94" i="37" s="1"/>
  <c r="L94" i="37" s="1"/>
  <c r="M94" i="37" s="1"/>
  <c r="F31" i="37"/>
  <c r="S31" i="37" s="1"/>
  <c r="J42" i="39"/>
  <c r="AC42" i="39" s="1"/>
  <c r="H21" i="40"/>
  <c r="H31" i="37"/>
  <c r="U31" i="37" s="1"/>
  <c r="J15" i="37"/>
  <c r="AC15" i="37" s="1"/>
  <c r="W15" i="37"/>
  <c r="AT6" i="3"/>
  <c r="H19" i="40"/>
  <c r="U19" i="40" s="1"/>
  <c r="F88" i="40"/>
  <c r="G88" i="40" s="1"/>
  <c r="F19" i="40"/>
  <c r="S19" i="40" s="1"/>
  <c r="H37" i="39"/>
  <c r="AB37" i="39" s="1"/>
  <c r="H25" i="39"/>
  <c r="AB25" i="39" s="1"/>
  <c r="J25" i="39"/>
  <c r="W25" i="39" s="1"/>
  <c r="F25" i="39"/>
  <c r="AA25" i="39" s="1"/>
  <c r="F15" i="39"/>
  <c r="AA15" i="39" s="1"/>
  <c r="H15" i="39"/>
  <c r="U15" i="39" s="1"/>
  <c r="J15" i="39"/>
  <c r="W15" i="39" s="1"/>
  <c r="H41" i="39"/>
  <c r="AB41" i="39" s="1"/>
  <c r="W27" i="39"/>
  <c r="U40" i="39"/>
  <c r="AA41" i="39"/>
  <c r="W9" i="39"/>
  <c r="W8" i="39"/>
  <c r="J19" i="40"/>
  <c r="AC19" i="40" s="1"/>
  <c r="J50" i="40"/>
  <c r="H103" i="9"/>
  <c r="D8" i="53" s="1"/>
  <c r="B16" i="53"/>
  <c r="B33" i="72" s="1"/>
  <c r="J11" i="39"/>
  <c r="W11" i="39" s="1"/>
  <c r="F11" i="39"/>
  <c r="S11" i="39" s="1"/>
  <c r="G4" i="4"/>
  <c r="I4" i="4"/>
  <c r="F61" i="43"/>
  <c r="H64" i="43" s="1"/>
  <c r="BL549"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G534"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AZ356" i="3" s="1"/>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65" i="3"/>
  <c r="BA379" i="3"/>
  <c r="AZ379" i="3" s="1"/>
  <c r="BL380" i="3"/>
  <c r="G381" i="3"/>
  <c r="BA383" i="3"/>
  <c r="BL384" i="3"/>
  <c r="G385" i="3"/>
  <c r="BA387" i="3"/>
  <c r="AZ387" i="3" s="1"/>
  <c r="BL388" i="3"/>
  <c r="G389" i="3"/>
  <c r="BA391" i="3"/>
  <c r="BL392" i="3"/>
  <c r="G393" i="3"/>
  <c r="BH5" i="3"/>
  <c r="BF5" i="3"/>
  <c r="G538" i="3"/>
  <c r="G520" i="3"/>
  <c r="BK5" i="3"/>
  <c r="BI5" i="3"/>
  <c r="G17" i="3"/>
  <c r="BA17" i="3"/>
  <c r="BA15" i="3"/>
  <c r="BR5" i="3"/>
  <c r="G509" i="3"/>
  <c r="U36" i="40"/>
  <c r="F83" i="43"/>
  <c r="H85" i="43" s="1"/>
  <c r="F50" i="43"/>
  <c r="H54" i="43" s="1"/>
  <c r="F72" i="43"/>
  <c r="H75" i="43" s="1"/>
  <c r="G10" i="1"/>
  <c r="AC11" i="39"/>
  <c r="W37" i="37"/>
  <c r="W44" i="34"/>
  <c r="AC44" i="34"/>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4" i="36"/>
  <c r="J27" i="36"/>
  <c r="W27" i="36" s="1"/>
  <c r="AC33" i="40"/>
  <c r="F111" i="40"/>
  <c r="G111" i="40" s="1"/>
  <c r="H111" i="40" s="1"/>
  <c r="I111" i="40" s="1"/>
  <c r="J111" i="40" s="1"/>
  <c r="K111" i="40" s="1"/>
  <c r="L111" i="40" s="1"/>
  <c r="M111" i="40" s="1"/>
  <c r="H35" i="40"/>
  <c r="AB35" i="40" s="1"/>
  <c r="W29" i="35"/>
  <c r="H35" i="37"/>
  <c r="U35" i="37" s="1"/>
  <c r="AC14" i="35"/>
  <c r="H20" i="35"/>
  <c r="U20" i="35" s="1"/>
  <c r="F20" i="35"/>
  <c r="AA20" i="35" s="1"/>
  <c r="AB29" i="36"/>
  <c r="H32" i="37"/>
  <c r="AB32" i="37" s="1"/>
  <c r="F96" i="37"/>
  <c r="G96" i="37" s="1"/>
  <c r="H96" i="37" s="1"/>
  <c r="I96" i="37" s="1"/>
  <c r="J96" i="37" s="1"/>
  <c r="K96" i="37" s="1"/>
  <c r="L96" i="37" s="1"/>
  <c r="M96" i="37" s="1"/>
  <c r="H27" i="40"/>
  <c r="J27" i="40"/>
  <c r="AC27" i="40"/>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AC26" i="33"/>
  <c r="W26" i="33"/>
  <c r="W27" i="34"/>
  <c r="AC27" i="34"/>
  <c r="AB34" i="36"/>
  <c r="U34" i="36"/>
  <c r="AB33" i="36"/>
  <c r="U33" i="36"/>
  <c r="W12" i="33"/>
  <c r="AC12" i="33"/>
  <c r="BL14" i="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23" i="40"/>
  <c r="AC17" i="40"/>
  <c r="AC15" i="40"/>
  <c r="S30" i="40"/>
  <c r="S28" i="40"/>
  <c r="AA27"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U12" i="39"/>
  <c r="S23" i="36"/>
  <c r="U13" i="36"/>
  <c r="U26" i="36"/>
  <c r="AA26" i="36"/>
  <c r="AA34" i="36"/>
  <c r="AC26" i="36"/>
  <c r="W14" i="36"/>
  <c r="U22" i="36"/>
  <c r="S16" i="36"/>
  <c r="AA25" i="36"/>
  <c r="AB20" i="36"/>
  <c r="U16"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AC29" i="37"/>
  <c r="U29" i="37"/>
  <c r="AB31" i="37"/>
  <c r="S36" i="37"/>
  <c r="U32" i="37"/>
  <c r="W38" i="37"/>
  <c r="W39" i="37"/>
  <c r="S30" i="37"/>
  <c r="S37" i="37"/>
  <c r="J17" i="37"/>
  <c r="W17" i="37" s="1"/>
  <c r="G73" i="37"/>
  <c r="F17" i="37"/>
  <c r="AA17" i="37" s="1"/>
  <c r="AB17" i="37"/>
  <c r="F75" i="37"/>
  <c r="G75" i="37" s="1"/>
  <c r="F19" i="37"/>
  <c r="S19" i="37" s="1"/>
  <c r="F79" i="37"/>
  <c r="G79" i="37" s="1"/>
  <c r="F23" i="37"/>
  <c r="S23" i="37" s="1"/>
  <c r="U23" i="37"/>
  <c r="U15" i="37"/>
  <c r="AC13" i="37"/>
  <c r="H10" i="37"/>
  <c r="AB10" i="37" s="1"/>
  <c r="F63" i="37"/>
  <c r="F11" i="37"/>
  <c r="S11" i="37" s="1"/>
  <c r="W25" i="34"/>
  <c r="AB8" i="34"/>
  <c r="AA33" i="34"/>
  <c r="U43" i="34"/>
  <c r="W41" i="34"/>
  <c r="AC42" i="34"/>
  <c r="U39" i="34"/>
  <c r="S43" i="34"/>
  <c r="AB41" i="34"/>
  <c r="AA45" i="34"/>
  <c r="AA25" i="34"/>
  <c r="U28" i="34"/>
  <c r="S17" i="34"/>
  <c r="AA29" i="34"/>
  <c r="U27" i="34"/>
  <c r="S23" i="34"/>
  <c r="S13" i="34"/>
  <c r="H10" i="34"/>
  <c r="AB10" i="34" s="1"/>
  <c r="F11" i="34"/>
  <c r="S11" i="34" s="1"/>
  <c r="F70" i="34"/>
  <c r="W42"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W41" i="21"/>
  <c r="J15" i="21"/>
  <c r="AC15" i="21" s="1"/>
  <c r="F77" i="21"/>
  <c r="G77" i="21"/>
  <c r="F23" i="21"/>
  <c r="AA23" i="21" s="1"/>
  <c r="E85" i="21"/>
  <c r="AA14" i="21"/>
  <c r="D120" i="9"/>
  <c r="D121" i="9" s="1"/>
  <c r="D7" i="52" s="1"/>
  <c r="F34" i="67"/>
  <c r="F62" i="67" s="1"/>
  <c r="M20" i="67"/>
  <c r="F34" i="15"/>
  <c r="F62" i="15" s="1"/>
  <c r="BA13" i="3"/>
  <c r="BL17" i="3"/>
  <c r="AZ17" i="3" s="1"/>
  <c r="BL13" i="3"/>
  <c r="J56" i="9"/>
  <c r="J57" i="9" s="1"/>
  <c r="J59" i="9" s="1"/>
  <c r="J61" i="9" s="1"/>
  <c r="A24" i="51"/>
  <c r="B18" i="72" s="1"/>
  <c r="U29" i="34"/>
  <c r="G1" i="68"/>
  <c r="K1" i="12"/>
  <c r="E19" i="69"/>
  <c r="E19" i="68"/>
  <c r="E19" i="11"/>
  <c r="E1" i="73"/>
  <c r="G22" i="69"/>
  <c r="G22" i="68"/>
  <c r="G26" i="12"/>
  <c r="G22" i="11"/>
  <c r="C6" i="43"/>
  <c r="B19" i="53"/>
  <c r="B37" i="72" s="1"/>
  <c r="M47" i="9"/>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S31" i="40"/>
  <c r="U15" i="40"/>
  <c r="U8" i="40"/>
  <c r="S8" i="40"/>
  <c r="AA39" i="39"/>
  <c r="AC41" i="39"/>
  <c r="U42" i="39"/>
  <c r="U41" i="39"/>
  <c r="AC25" i="39"/>
  <c r="AB13" i="39"/>
  <c r="AA13" i="39"/>
  <c r="S13" i="39"/>
  <c r="AA14" i="39"/>
  <c r="AB11" i="39"/>
  <c r="U11" i="39"/>
  <c r="AA27" i="39"/>
  <c r="S27" i="39"/>
  <c r="W17" i="39"/>
  <c r="AC17" i="39"/>
  <c r="AB39" i="39"/>
  <c r="W34" i="39"/>
  <c r="U38" i="39"/>
  <c r="AC25" i="36"/>
  <c r="U32" i="36"/>
  <c r="W29" i="36"/>
  <c r="U25" i="36"/>
  <c r="AB28" i="36"/>
  <c r="AA13" i="36"/>
  <c r="W22" i="36"/>
  <c r="AB20" i="35"/>
  <c r="AC25" i="35"/>
  <c r="U25" i="35"/>
  <c r="U24" i="35"/>
  <c r="S35" i="35"/>
  <c r="AA16" i="35"/>
  <c r="AA35" i="37"/>
  <c r="S28" i="37"/>
  <c r="U36" i="37"/>
  <c r="AB37" i="37"/>
  <c r="AC34" i="37"/>
  <c r="AB35" i="37"/>
  <c r="AA31" i="37"/>
  <c r="U19" i="37"/>
  <c r="AA29" i="37"/>
  <c r="U8" i="37"/>
  <c r="AB40" i="34"/>
  <c r="U19" i="34"/>
  <c r="W19" i="34"/>
  <c r="AC45" i="34"/>
  <c r="AA31" i="34"/>
  <c r="AA30" i="34"/>
  <c r="AB45" i="34"/>
  <c r="U25" i="34"/>
  <c r="AB36" i="34"/>
  <c r="W33" i="34"/>
  <c r="AC29" i="34"/>
  <c r="W29" i="34"/>
  <c r="W46" i="34"/>
  <c r="AC46" i="34"/>
  <c r="AB30" i="34"/>
  <c r="S37" i="34"/>
  <c r="U38" i="34"/>
  <c r="AC40" i="34"/>
  <c r="W40" i="34"/>
  <c r="AA19" i="34"/>
  <c r="S19" i="34"/>
  <c r="AA36" i="34"/>
  <c r="S36" i="34"/>
  <c r="AA8" i="34"/>
  <c r="S8" i="34"/>
  <c r="AA46" i="34"/>
  <c r="U32" i="34"/>
  <c r="AB32" i="34"/>
  <c r="AC43" i="34"/>
  <c r="W43" i="34"/>
  <c r="W23" i="34"/>
  <c r="AC23" i="34"/>
  <c r="AC35" i="34"/>
  <c r="U12" i="34"/>
  <c r="AB12" i="34"/>
  <c r="AB28" i="33"/>
  <c r="AC37" i="33"/>
  <c r="W46" i="33"/>
  <c r="U39" i="33"/>
  <c r="U38" i="33"/>
  <c r="S33" i="33"/>
  <c r="AB34" i="33"/>
  <c r="U44" i="33"/>
  <c r="AB44" i="33"/>
  <c r="S30" i="33"/>
  <c r="AA30" i="33"/>
  <c r="AC14" i="33"/>
  <c r="W14"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4" i="21"/>
  <c r="H45" i="21"/>
  <c r="U45" i="21" s="1"/>
  <c r="F29" i="21"/>
  <c r="AA29" i="21" s="1"/>
  <c r="F13" i="21"/>
  <c r="AA13" i="21" s="1"/>
  <c r="H32" i="21"/>
  <c r="U32" i="21" s="1"/>
  <c r="H9" i="21"/>
  <c r="AB9" i="21" s="1"/>
  <c r="J9" i="21"/>
  <c r="AC9" i="21" s="1"/>
  <c r="J32" i="21"/>
  <c r="W32" i="21" s="1"/>
  <c r="F32" i="21"/>
  <c r="AA32" i="21" s="1"/>
  <c r="AA31" i="21"/>
  <c r="W29" i="21"/>
  <c r="AA9" i="21"/>
  <c r="K141" i="21"/>
  <c r="K144" i="21"/>
  <c r="K143" i="21"/>
  <c r="AB25" i="21"/>
  <c r="AA30" i="21"/>
  <c r="W13" i="21"/>
  <c r="F10" i="21"/>
  <c r="AA10" i="21" s="1"/>
  <c r="K145" i="21"/>
  <c r="W25" i="21"/>
  <c r="W31" i="21"/>
  <c r="AB29" i="21"/>
  <c r="S28" i="21"/>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A21" i="39"/>
  <c r="J19" i="37"/>
  <c r="W19" i="37" s="1"/>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U41" i="33"/>
  <c r="H111" i="33"/>
  <c r="I111" i="33" s="1"/>
  <c r="J111" i="33" s="1"/>
  <c r="K111" i="33" s="1"/>
  <c r="L111" i="33" s="1"/>
  <c r="M111" i="33" s="1"/>
  <c r="J36" i="33"/>
  <c r="W36" i="33" s="1"/>
  <c r="H36" i="33"/>
  <c r="U36" i="33" s="1"/>
  <c r="U27" i="33"/>
  <c r="AB27" i="33"/>
  <c r="J27" i="33"/>
  <c r="W27" i="33" s="1"/>
  <c r="U25" i="33"/>
  <c r="AB25" i="33"/>
  <c r="J25" i="33"/>
  <c r="AC25" i="33" s="1"/>
  <c r="AB23" i="33"/>
  <c r="F23" i="33"/>
  <c r="H19" i="33"/>
  <c r="AB19" i="33" s="1"/>
  <c r="H17" i="33"/>
  <c r="U17" i="33" s="1"/>
  <c r="F17" i="33"/>
  <c r="S17" i="33" s="1"/>
  <c r="AC17" i="33"/>
  <c r="J23" i="21"/>
  <c r="W23" i="21" s="1"/>
  <c r="F85" i="21"/>
  <c r="G85" i="21" s="1"/>
  <c r="H23" i="21"/>
  <c r="U23" i="21" s="1"/>
  <c r="AP7" i="1"/>
  <c r="AB45" i="21"/>
  <c r="A18" i="62"/>
  <c r="B64" i="72" s="1"/>
  <c r="AC32" i="39"/>
  <c r="J11" i="37"/>
  <c r="AC11" i="37" s="1"/>
  <c r="J11" i="34"/>
  <c r="W11" i="34" s="1"/>
  <c r="AA17" i="33"/>
  <c r="AC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7" i="67"/>
  <c r="B13" i="76"/>
  <c r="F5" i="73"/>
  <c r="B9" i="76"/>
  <c r="B10" i="76"/>
  <c r="B11" i="76"/>
  <c r="F7" i="73"/>
  <c r="D35" i="9"/>
  <c r="B8" i="76"/>
  <c r="F6" i="73"/>
  <c r="F20" i="31"/>
  <c r="E2" i="69"/>
  <c r="F4" i="73"/>
  <c r="B7" i="76"/>
  <c r="E7" i="76"/>
  <c r="F13" i="15"/>
  <c r="E13" i="76"/>
  <c r="AO13" i="1"/>
  <c r="F36" i="67"/>
  <c r="F3" i="73"/>
  <c r="E12" i="76"/>
  <c r="E10" i="76"/>
  <c r="F6" i="15"/>
  <c r="E11" i="76"/>
  <c r="B12" i="76"/>
  <c r="M8" i="67"/>
  <c r="L47" i="15"/>
  <c r="C76" i="67"/>
  <c r="E8" i="76"/>
  <c r="M9" i="67"/>
  <c r="M23" i="67"/>
  <c r="E9" i="76"/>
  <c r="M28" i="15"/>
  <c r="D34" i="9"/>
  <c r="F7" i="15"/>
  <c r="M22" i="67"/>
  <c r="M24" i="15"/>
  <c r="E2" i="68"/>
  <c r="F81" i="21" l="1"/>
  <c r="G81" i="21" s="1"/>
  <c r="J19" i="21"/>
  <c r="F19" i="21"/>
  <c r="H19" i="21"/>
  <c r="AA15" i="21"/>
  <c r="AB15" i="21"/>
  <c r="C40" i="68"/>
  <c r="C21" i="68"/>
  <c r="AB23" i="21"/>
  <c r="U32" i="39"/>
  <c r="S13" i="21"/>
  <c r="AA25" i="33"/>
  <c r="S36" i="33"/>
  <c r="W35" i="33"/>
  <c r="AC17" i="37"/>
  <c r="S14" i="36"/>
  <c r="AA11" i="39"/>
  <c r="AB21" i="40"/>
  <c r="U21" i="40"/>
  <c r="AA15" i="37"/>
  <c r="W13" i="39"/>
  <c r="AC13" i="39"/>
  <c r="U47" i="34"/>
  <c r="AB47" i="34"/>
  <c r="AA17" i="40"/>
  <c r="S17" i="40"/>
  <c r="E110" i="21"/>
  <c r="F110" i="21" s="1"/>
  <c r="G110" i="21" s="1"/>
  <c r="H110" i="21" s="1"/>
  <c r="I110" i="21" s="1"/>
  <c r="J110" i="21" s="1"/>
  <c r="K110" i="21" s="1"/>
  <c r="L110" i="21" s="1"/>
  <c r="M110" i="21" s="1"/>
  <c r="F36" i="21"/>
  <c r="S36" i="21" s="1"/>
  <c r="H36" i="21"/>
  <c r="U36" i="21" s="1"/>
  <c r="J36" i="21"/>
  <c r="AC36" i="21" s="1"/>
  <c r="U27" i="40"/>
  <c r="AB27" i="40"/>
  <c r="AC36" i="37"/>
  <c r="W36" i="37"/>
  <c r="W31" i="33"/>
  <c r="AC31" i="33"/>
  <c r="AA24" i="36"/>
  <c r="S24" i="36"/>
  <c r="AC31" i="37"/>
  <c r="W31" i="37"/>
  <c r="U25" i="37"/>
  <c r="AB25" i="37"/>
  <c r="AA8" i="39"/>
  <c r="S8" i="39"/>
  <c r="BA540" i="3"/>
  <c r="BA532" i="3"/>
  <c r="BA519" i="3"/>
  <c r="BJ5" i="3"/>
  <c r="U31" i="40"/>
  <c r="AB31" i="40"/>
  <c r="W30" i="40"/>
  <c r="S23" i="21"/>
  <c r="W15" i="21"/>
  <c r="AB35" i="34"/>
  <c r="S40" i="34"/>
  <c r="AA40" i="34"/>
  <c r="AZ327" i="3"/>
  <c r="U46" i="34"/>
  <c r="AB46" i="34"/>
  <c r="H30" i="21"/>
  <c r="U30" i="21" s="1"/>
  <c r="J30" i="21"/>
  <c r="AC33" i="33"/>
  <c r="W33" i="33"/>
  <c r="F32" i="36"/>
  <c r="J32" i="36"/>
  <c r="W32" i="36" s="1"/>
  <c r="AC30" i="37"/>
  <c r="W30" i="37"/>
  <c r="S13" i="37"/>
  <c r="AA13" i="37"/>
  <c r="W35" i="37"/>
  <c r="AC35" i="37"/>
  <c r="F25" i="37"/>
  <c r="J25" i="37"/>
  <c r="AC23" i="39"/>
  <c r="W23" i="39"/>
  <c r="H45" i="39"/>
  <c r="F45" i="39"/>
  <c r="U41" i="21"/>
  <c r="AB41" i="21"/>
  <c r="S38" i="34"/>
  <c r="AA38" i="34"/>
  <c r="U31" i="35"/>
  <c r="AB31" i="35"/>
  <c r="U30" i="36"/>
  <c r="AB30" i="36"/>
  <c r="BA580" i="3"/>
  <c r="BA566" i="3"/>
  <c r="BA565" i="3"/>
  <c r="BL564" i="3"/>
  <c r="BA564" i="3"/>
  <c r="AZ564" i="3" s="1"/>
  <c r="BA563" i="3"/>
  <c r="BL562" i="3"/>
  <c r="BL561" i="3"/>
  <c r="BL560" i="3"/>
  <c r="AZ560" i="3" s="1"/>
  <c r="BL558" i="3"/>
  <c r="BA558" i="3"/>
  <c r="BA557" i="3"/>
  <c r="BL556" i="3"/>
  <c r="BA556" i="3"/>
  <c r="G530" i="3"/>
  <c r="BA529" i="3"/>
  <c r="BL520" i="3"/>
  <c r="BL518" i="3"/>
  <c r="BL516" i="3"/>
  <c r="BA516" i="3"/>
  <c r="BL512" i="3"/>
  <c r="BA512" i="3"/>
  <c r="AZ500" i="3"/>
  <c r="BP5" i="3"/>
  <c r="BG5" i="3"/>
  <c r="BC5" i="3"/>
  <c r="AC32" i="33"/>
  <c r="W32" i="37"/>
  <c r="S39" i="33"/>
  <c r="W20" i="36"/>
  <c r="AC20" i="36"/>
  <c r="W12" i="37"/>
  <c r="AC12" i="37"/>
  <c r="AZ563" i="3"/>
  <c r="AC27" i="37"/>
  <c r="W27" i="37"/>
  <c r="AB38" i="37"/>
  <c r="U38" i="37"/>
  <c r="U17" i="40"/>
  <c r="AB17" i="40"/>
  <c r="AB17" i="39"/>
  <c r="U17" i="39"/>
  <c r="AA42" i="39"/>
  <c r="S42" i="39"/>
  <c r="BA585" i="3"/>
  <c r="H27" i="21"/>
  <c r="AB27" i="21" s="1"/>
  <c r="F27" i="21"/>
  <c r="AA27" i="21" s="1"/>
  <c r="AZ310" i="3"/>
  <c r="AZ389" i="3"/>
  <c r="AZ313" i="3"/>
  <c r="BL503" i="3"/>
  <c r="BL511" i="3"/>
  <c r="BL525" i="3"/>
  <c r="BL575" i="3"/>
  <c r="AB23" i="34"/>
  <c r="AA38" i="33"/>
  <c r="S38" i="33"/>
  <c r="J30" i="33"/>
  <c r="H30" i="33"/>
  <c r="H46" i="33"/>
  <c r="F46" i="33"/>
  <c r="U12" i="36"/>
  <c r="AB12" i="36"/>
  <c r="G531" i="3"/>
  <c r="AZ326" i="3"/>
  <c r="AZ320" i="3"/>
  <c r="BL517" i="3"/>
  <c r="BL523" i="3"/>
  <c r="BL547" i="3"/>
  <c r="BL565" i="3"/>
  <c r="BL581" i="3"/>
  <c r="S12" i="36"/>
  <c r="AA12" i="36"/>
  <c r="J14" i="34"/>
  <c r="H14" i="34"/>
  <c r="BL395" i="3"/>
  <c r="BA217" i="3"/>
  <c r="G241" i="3"/>
  <c r="G256" i="3"/>
  <c r="BL259" i="3"/>
  <c r="C5" i="68"/>
  <c r="G13" i="3"/>
  <c r="BA410" i="3"/>
  <c r="G438" i="3"/>
  <c r="BA443" i="3"/>
  <c r="BL462" i="3"/>
  <c r="BA476" i="3"/>
  <c r="BL359" i="3"/>
  <c r="AZ359" i="3" s="1"/>
  <c r="BL367" i="3"/>
  <c r="G374" i="3"/>
  <c r="G382" i="3"/>
  <c r="BL383" i="3"/>
  <c r="AZ383" i="3" s="1"/>
  <c r="G209" i="3"/>
  <c r="BA211" i="3"/>
  <c r="AZ211" i="3" s="1"/>
  <c r="BL215" i="3"/>
  <c r="G218" i="3"/>
  <c r="BL222" i="3"/>
  <c r="BA228" i="3"/>
  <c r="BA237" i="3"/>
  <c r="AZ237" i="3" s="1"/>
  <c r="BA248" i="3"/>
  <c r="G249" i="3"/>
  <c r="G259" i="3"/>
  <c r="BL278" i="3"/>
  <c r="G279" i="3"/>
  <c r="BA288" i="3"/>
  <c r="BL289" i="3"/>
  <c r="G291" i="3"/>
  <c r="BA291" i="3"/>
  <c r="G294" i="3"/>
  <c r="BL295" i="3"/>
  <c r="BL135" i="3"/>
  <c r="AZ135" i="3" s="1"/>
  <c r="BA145" i="3"/>
  <c r="BA157" i="3"/>
  <c r="BL161" i="3"/>
  <c r="BL169" i="3"/>
  <c r="G190" i="3"/>
  <c r="BA194" i="3"/>
  <c r="G206" i="3"/>
  <c r="G52" i="3"/>
  <c r="BA52" i="3"/>
  <c r="G68" i="3"/>
  <c r="BA70" i="3"/>
  <c r="BL70" i="3"/>
  <c r="BL71" i="3"/>
  <c r="BL91" i="3"/>
  <c r="BL96" i="3"/>
  <c r="G102" i="3"/>
  <c r="S68" i="71"/>
  <c r="T80" i="71"/>
  <c r="G585" i="3"/>
  <c r="BL586" i="3"/>
  <c r="G584" i="3"/>
  <c r="G400" i="3"/>
  <c r="G404" i="3"/>
  <c r="BL416" i="3"/>
  <c r="G420" i="3"/>
  <c r="BL433" i="3"/>
  <c r="G436" i="3"/>
  <c r="G444" i="3"/>
  <c r="G448" i="3"/>
  <c r="BL451" i="3"/>
  <c r="G453" i="3"/>
  <c r="BL455" i="3"/>
  <c r="BL456" i="3"/>
  <c r="BA463" i="3"/>
  <c r="BL469" i="3"/>
  <c r="G471" i="3"/>
  <c r="BA485" i="3"/>
  <c r="BL490" i="3"/>
  <c r="BA270" i="3"/>
  <c r="BL280" i="3"/>
  <c r="BA283" i="3"/>
  <c r="BA286" i="3"/>
  <c r="BL137" i="3"/>
  <c r="BA156" i="3"/>
  <c r="AZ156" i="3" s="1"/>
  <c r="BA185" i="3"/>
  <c r="G23" i="3"/>
  <c r="G59" i="3"/>
  <c r="BA88" i="3"/>
  <c r="BL103" i="3"/>
  <c r="S25" i="40"/>
  <c r="C43" i="71"/>
  <c r="B59" i="71"/>
  <c r="B60" i="71" s="1"/>
  <c r="S60" i="71" s="1"/>
  <c r="C63" i="71"/>
  <c r="S76" i="71"/>
  <c r="G403" i="3"/>
  <c r="BL406" i="3"/>
  <c r="G411" i="3"/>
  <c r="BL411" i="3"/>
  <c r="BL430" i="3"/>
  <c r="G433" i="3"/>
  <c r="G439" i="3"/>
  <c r="BA446" i="3"/>
  <c r="G466" i="3"/>
  <c r="BL472" i="3"/>
  <c r="G473" i="3"/>
  <c r="G477" i="3"/>
  <c r="BL480" i="3"/>
  <c r="G482" i="3"/>
  <c r="BA483" i="3"/>
  <c r="BL483" i="3"/>
  <c r="G490" i="3"/>
  <c r="BA315" i="3"/>
  <c r="AZ315" i="3" s="1"/>
  <c r="BA331" i="3"/>
  <c r="AZ331" i="3" s="1"/>
  <c r="BA333" i="3"/>
  <c r="BL224" i="3"/>
  <c r="BA233" i="3"/>
  <c r="BL242" i="3"/>
  <c r="G247" i="3"/>
  <c r="G268" i="3"/>
  <c r="G280" i="3"/>
  <c r="G284" i="3"/>
  <c r="G292" i="3"/>
  <c r="BA120" i="3"/>
  <c r="AZ120" i="3" s="1"/>
  <c r="G123" i="3"/>
  <c r="G127" i="3"/>
  <c r="BA128" i="3"/>
  <c r="AZ128" i="3" s="1"/>
  <c r="G158" i="3"/>
  <c r="G166" i="3"/>
  <c r="BA177" i="3"/>
  <c r="G191" i="3"/>
  <c r="G195" i="3"/>
  <c r="BA201" i="3"/>
  <c r="G26" i="3"/>
  <c r="BA30" i="3"/>
  <c r="BL34" i="3"/>
  <c r="G42" i="3"/>
  <c r="G45" i="3"/>
  <c r="BL64" i="3"/>
  <c r="G65" i="3"/>
  <c r="G69" i="3"/>
  <c r="BL82" i="3"/>
  <c r="BL83" i="3"/>
  <c r="G86" i="3"/>
  <c r="BA97" i="3"/>
  <c r="B77" i="43"/>
  <c r="E123" i="21"/>
  <c r="F123" i="21" s="1"/>
  <c r="F42" i="21" s="1"/>
  <c r="AA42" i="21" s="1"/>
  <c r="C7" i="12"/>
  <c r="J1" i="73"/>
  <c r="C7" i="35"/>
  <c r="C48" i="35" s="1"/>
  <c r="D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G19" i="3"/>
  <c r="BL24" i="3"/>
  <c r="BA25" i="3"/>
  <c r="BA26" i="3"/>
  <c r="G28" i="3"/>
  <c r="BL28" i="3"/>
  <c r="BA29" i="3"/>
  <c r="BA33" i="3"/>
  <c r="G36" i="3"/>
  <c r="G40" i="3"/>
  <c r="G41" i="3"/>
  <c r="BA47" i="3"/>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S37" i="21"/>
  <c r="AC35" i="21"/>
  <c r="U35" i="21"/>
  <c r="AB34" i="21"/>
  <c r="AC27" i="21"/>
  <c r="S39" i="21"/>
  <c r="S32" i="21"/>
  <c r="AB32" i="21"/>
  <c r="AC38" i="21"/>
  <c r="AA38" i="21"/>
  <c r="AB36" i="21"/>
  <c r="AA36" i="21"/>
  <c r="W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F32" i="67"/>
  <c r="F60" i="67" s="1"/>
  <c r="F28" i="67"/>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H46" i="21"/>
  <c r="W13" i="40"/>
  <c r="AC13" i="40"/>
  <c r="F36" i="39"/>
  <c r="H36" i="39"/>
  <c r="J36" i="39"/>
  <c r="AC36" i="39" s="1"/>
  <c r="BA584" i="3"/>
  <c r="AZ584" i="3" s="1"/>
  <c r="BL582" i="3"/>
  <c r="BA582" i="3"/>
  <c r="BA581" i="3"/>
  <c r="BL580" i="3"/>
  <c r="AZ580" i="3" s="1"/>
  <c r="BL579" i="3"/>
  <c r="BA579" i="3"/>
  <c r="BA577" i="3"/>
  <c r="BA576" i="3"/>
  <c r="AZ576" i="3" s="1"/>
  <c r="BL574" i="3"/>
  <c r="BA574" i="3"/>
  <c r="BL572" i="3"/>
  <c r="BA572" i="3"/>
  <c r="BL571" i="3"/>
  <c r="BA571" i="3"/>
  <c r="BL570" i="3"/>
  <c r="AZ570" i="3" s="1"/>
  <c r="BL554" i="3"/>
  <c r="AZ554" i="3" s="1"/>
  <c r="BL552" i="3"/>
  <c r="BA552" i="3"/>
  <c r="BL551" i="3"/>
  <c r="BA551" i="3"/>
  <c r="BA550" i="3"/>
  <c r="BA549" i="3"/>
  <c r="AZ549" i="3" s="1"/>
  <c r="BL548" i="3"/>
  <c r="BA548" i="3"/>
  <c r="BA547" i="3"/>
  <c r="AZ547" i="3" s="1"/>
  <c r="BL546" i="3"/>
  <c r="AZ546" i="3" s="1"/>
  <c r="BA545" i="3"/>
  <c r="BL544" i="3"/>
  <c r="AZ544" i="3" s="1"/>
  <c r="BL542" i="3"/>
  <c r="BA542" i="3"/>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4" i="71" s="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AZ426" i="3" s="1"/>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AZ446" i="3" s="1"/>
  <c r="BA452" i="3"/>
  <c r="AZ452" i="3" s="1"/>
  <c r="BA453" i="3"/>
  <c r="BA455" i="3"/>
  <c r="AZ455" i="3" s="1"/>
  <c r="BA457" i="3"/>
  <c r="G460" i="3"/>
  <c r="BL460" i="3"/>
  <c r="AZ460" i="3" s="1"/>
  <c r="BL461" i="3"/>
  <c r="AZ461" i="3" s="1"/>
  <c r="BA464" i="3"/>
  <c r="AZ464" i="3" s="1"/>
  <c r="BA470" i="3"/>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AZ449" i="3" s="1"/>
  <c r="BL453" i="3"/>
  <c r="BL454" i="3"/>
  <c r="AZ454" i="3" s="1"/>
  <c r="G458" i="3"/>
  <c r="BL459" i="3"/>
  <c r="G461" i="3"/>
  <c r="G462" i="3"/>
  <c r="BA465" i="3"/>
  <c r="AZ465" i="3" s="1"/>
  <c r="BA467" i="3"/>
  <c r="BA468" i="3"/>
  <c r="BL471" i="3"/>
  <c r="BL475" i="3"/>
  <c r="BA477" i="3"/>
  <c r="AZ477"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AZ212" i="3" s="1"/>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BA87" i="3"/>
  <c r="BA89" i="3"/>
  <c r="BL101" i="3"/>
  <c r="BL102" i="3"/>
  <c r="AZ102" i="3" s="1"/>
  <c r="G105" i="3"/>
  <c r="BL106" i="3"/>
  <c r="AZ106" i="3" s="1"/>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BA51" i="3"/>
  <c r="G55" i="3"/>
  <c r="BL56" i="3"/>
  <c r="BA58" i="3"/>
  <c r="BL59" i="3"/>
  <c r="BL60" i="3"/>
  <c r="BA61" i="3"/>
  <c r="AZ61" i="3" s="1"/>
  <c r="BA68" i="3"/>
  <c r="BA73" i="3"/>
  <c r="G78" i="3"/>
  <c r="G79" i="3"/>
  <c r="G81" i="3"/>
  <c r="G85" i="3"/>
  <c r="BL85" i="3"/>
  <c r="BA86" i="3"/>
  <c r="AZ86" i="3" s="1"/>
  <c r="BL97" i="3"/>
  <c r="AZ97" i="3" s="1"/>
  <c r="G103" i="3"/>
  <c r="BA103" i="3"/>
  <c r="AZ103" i="3" s="1"/>
  <c r="BA104" i="3"/>
  <c r="BA106" i="3"/>
  <c r="BL108" i="3"/>
  <c r="AZ108" i="3" s="1"/>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10" i="3"/>
  <c r="AZ431" i="3"/>
  <c r="AZ439" i="3"/>
  <c r="AZ442" i="3"/>
  <c r="AZ445" i="3"/>
  <c r="AZ456" i="3"/>
  <c r="AZ467" i="3"/>
  <c r="AZ468" i="3"/>
  <c r="W35" i="39"/>
  <c r="F27" i="34"/>
  <c r="C21" i="39"/>
  <c r="U9" i="36"/>
  <c r="U14" i="37"/>
  <c r="H12" i="21"/>
  <c r="G526" i="3"/>
  <c r="AZ420" i="3"/>
  <c r="AZ424" i="3"/>
  <c r="AZ434" i="3"/>
  <c r="AZ438" i="3"/>
  <c r="AZ450" i="3"/>
  <c r="G28" i="6"/>
  <c r="G30" i="6" s="1"/>
  <c r="G31" i="6" s="1"/>
  <c r="W36" i="39"/>
  <c r="U23" i="40"/>
  <c r="AA39" i="37"/>
  <c r="AC16" i="36"/>
  <c r="AB12" i="33"/>
  <c r="C27" i="39"/>
  <c r="U40" i="40"/>
  <c r="AC9" i="40"/>
  <c r="W36" i="35"/>
  <c r="J12" i="21"/>
  <c r="B73" i="43"/>
  <c r="B76" i="43"/>
  <c r="F9" i="36"/>
  <c r="J40" i="40"/>
  <c r="G562" i="3"/>
  <c r="AZ463" i="3"/>
  <c r="AZ489" i="3"/>
  <c r="AZ385" i="3"/>
  <c r="AZ220" i="3"/>
  <c r="AZ231" i="3"/>
  <c r="AZ255" i="3"/>
  <c r="AZ293"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AZ285" i="3" s="1"/>
  <c r="BA287" i="3"/>
  <c r="AZ287" i="3" s="1"/>
  <c r="AZ290" i="3"/>
  <c r="AZ134" i="3"/>
  <c r="AZ207"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BL174" i="3"/>
  <c r="AZ174" i="3" s="1"/>
  <c r="AZ185" i="3"/>
  <c r="BL202" i="3"/>
  <c r="AZ202" i="3" s="1"/>
  <c r="AZ30" i="3"/>
  <c r="BL36" i="3"/>
  <c r="AZ36" i="3" s="1"/>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D9" i="68"/>
  <c r="F6" i="67"/>
  <c r="D5" i="73"/>
  <c r="F42" i="67"/>
  <c r="F8" i="67"/>
  <c r="F13" i="67"/>
  <c r="F26" i="15"/>
  <c r="L47" i="67"/>
  <c r="J15" i="15"/>
  <c r="M29" i="15"/>
  <c r="F38" i="15"/>
  <c r="C76" i="15"/>
  <c r="F26" i="67"/>
  <c r="F9" i="15"/>
  <c r="M22" i="15"/>
  <c r="D9" i="69"/>
  <c r="M28" i="67"/>
  <c r="D6" i="73"/>
  <c r="M23" i="15"/>
  <c r="C36" i="69"/>
  <c r="F36" i="15"/>
  <c r="M26" i="15"/>
  <c r="D3" i="73"/>
  <c r="F40" i="67"/>
  <c r="J15" i="67"/>
  <c r="F16" i="67"/>
  <c r="M24" i="67"/>
  <c r="F16" i="15"/>
  <c r="F40" i="15"/>
  <c r="F43" i="15"/>
  <c r="F38" i="67"/>
  <c r="M9" i="15"/>
  <c r="M8" i="15"/>
  <c r="F8" i="15"/>
  <c r="F37" i="15"/>
  <c r="M29" i="67"/>
  <c r="F42" i="15"/>
  <c r="L48" i="15"/>
  <c r="D4" i="73"/>
  <c r="M6" i="15"/>
  <c r="F37" i="67"/>
  <c r="M6" i="67"/>
  <c r="F43" i="67"/>
  <c r="L48" i="67"/>
  <c r="F9" i="67"/>
  <c r="M26" i="67"/>
  <c r="D7" i="73"/>
  <c r="S27" i="21" l="1"/>
  <c r="AA19" i="21"/>
  <c r="S19" i="21"/>
  <c r="W19" i="21"/>
  <c r="AC19" i="21"/>
  <c r="AB19" i="21"/>
  <c r="U19" i="21"/>
  <c r="U27" i="21"/>
  <c r="AZ18" i="3"/>
  <c r="AZ522" i="3"/>
  <c r="AZ542" i="3"/>
  <c r="AZ552" i="3"/>
  <c r="AZ571" i="3"/>
  <c r="AZ574" i="3"/>
  <c r="AZ579" i="3"/>
  <c r="AZ582" i="3"/>
  <c r="AZ70" i="3"/>
  <c r="W14" i="34"/>
  <c r="AC14" i="34"/>
  <c r="AB30" i="33"/>
  <c r="U30" i="33"/>
  <c r="S45" i="39"/>
  <c r="AA45" i="39"/>
  <c r="AC25" i="37"/>
  <c r="W25" i="37"/>
  <c r="AC30" i="21"/>
  <c r="W30" i="21"/>
  <c r="AZ142" i="3"/>
  <c r="AZ266" i="3"/>
  <c r="AZ56" i="3"/>
  <c r="AC30" i="33"/>
  <c r="W30" i="33"/>
  <c r="AZ565" i="3"/>
  <c r="U45" i="39"/>
  <c r="AB45" i="39"/>
  <c r="AA25" i="37"/>
  <c r="S25" i="37"/>
  <c r="AA32" i="36"/>
  <c r="S32" i="36"/>
  <c r="AA46" i="33"/>
  <c r="S46" i="33"/>
  <c r="AZ512" i="3"/>
  <c r="AZ89" i="3"/>
  <c r="AZ165" i="3"/>
  <c r="AZ296" i="3"/>
  <c r="AA12" i="34"/>
  <c r="AZ68" i="3"/>
  <c r="AZ58" i="3"/>
  <c r="AZ49" i="3"/>
  <c r="AZ73" i="3"/>
  <c r="AZ59" i="3"/>
  <c r="AZ470" i="3"/>
  <c r="AZ72" i="3"/>
  <c r="AZ262" i="3"/>
  <c r="AZ47" i="3"/>
  <c r="AZ205" i="3"/>
  <c r="AZ437" i="3"/>
  <c r="AB14" i="34"/>
  <c r="U14" i="34"/>
  <c r="U46" i="33"/>
  <c r="AB46" i="33"/>
  <c r="S42" i="21"/>
  <c r="G123" i="21"/>
  <c r="H123" i="21" s="1"/>
  <c r="I123" i="21" s="1"/>
  <c r="J123" i="21" s="1"/>
  <c r="K123" i="21" s="1"/>
  <c r="L123" i="21" s="1"/>
  <c r="M123" i="21" s="1"/>
  <c r="J42" i="21"/>
  <c r="H42"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J26" i="21" s="1"/>
  <c r="AC26" i="21" s="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321" i="3"/>
  <c r="E162" i="3"/>
  <c r="E227"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F7" i="37"/>
  <c r="M17" i="67"/>
  <c r="M17" i="15"/>
  <c r="P28" i="43"/>
  <c r="B66" i="40" s="1"/>
  <c r="P25" i="43"/>
  <c r="P29" i="43"/>
  <c r="P27" i="43"/>
  <c r="B70" i="39" s="1"/>
  <c r="M11" i="67"/>
  <c r="J10" i="67" s="1"/>
  <c r="F11" i="15"/>
  <c r="M11" i="15"/>
  <c r="J10" i="15" s="1"/>
  <c r="F11" i="67"/>
  <c r="C32" i="15"/>
  <c r="Q74" i="15"/>
  <c r="Q61" i="15"/>
  <c r="AE11" i="1"/>
  <c r="AE6" i="1"/>
  <c r="AE9" i="1"/>
  <c r="AE7" i="1"/>
  <c r="AE8" i="1"/>
  <c r="AE12" i="1"/>
  <c r="AE10" i="1"/>
  <c r="C16" i="67"/>
  <c r="F27" i="69"/>
  <c r="F41" i="67"/>
  <c r="C16" i="15"/>
  <c r="G1" i="73"/>
  <c r="F27" i="11" l="1"/>
  <c r="C29" i="11" s="1"/>
  <c r="D27" i="11" s="1"/>
  <c r="F27" i="68"/>
  <c r="F45" i="68" s="1"/>
  <c r="E514" i="3"/>
  <c r="U42" i="21"/>
  <c r="AB42" i="21"/>
  <c r="AC42" i="21"/>
  <c r="W42" i="21"/>
  <c r="W7" i="36"/>
  <c r="E191" i="3"/>
  <c r="K6" i="3"/>
  <c r="E458" i="3"/>
  <c r="E134" i="3"/>
  <c r="E551" i="3"/>
  <c r="E211" i="3"/>
  <c r="E533" i="3"/>
  <c r="E236" i="3"/>
  <c r="AA7" i="36"/>
  <c r="R36" i="36" s="1"/>
  <c r="AC7" i="37"/>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W26" i="2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AB26" i="21"/>
  <c r="U26" i="21"/>
  <c r="H89" i="21"/>
  <c r="I89" i="21" s="1"/>
  <c r="J89" i="21" s="1"/>
  <c r="K89" i="21" s="1"/>
  <c r="L89" i="21" s="1"/>
  <c r="M89" i="21" s="1"/>
  <c r="F26" i="21"/>
  <c r="P65" i="71"/>
  <c r="P66" i="71"/>
  <c r="AZ5" i="3"/>
  <c r="AY6"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I46" i="37"/>
  <c r="J46" i="37" s="1"/>
  <c r="G48" i="35"/>
  <c r="U7" i="33"/>
  <c r="AB7" i="33"/>
  <c r="T48" i="33" s="1"/>
  <c r="G48" i="33" s="1"/>
  <c r="C53" i="67"/>
  <c r="C48" i="67" s="1"/>
  <c r="C10" i="67"/>
  <c r="C5" i="67" s="1"/>
  <c r="C38" i="67" s="1"/>
  <c r="C53" i="15"/>
  <c r="C10" i="15"/>
  <c r="C5" i="15" s="1"/>
  <c r="C38" i="15" s="1"/>
  <c r="M27" i="15"/>
  <c r="M27" i="67"/>
  <c r="F41" i="15"/>
  <c r="C29" i="68" l="1"/>
  <c r="D27" i="68" s="1"/>
  <c r="C47" i="68"/>
  <c r="D45" i="68" s="1"/>
  <c r="AC6" i="3"/>
  <c r="AA10" i="40"/>
  <c r="U10" i="40"/>
  <c r="H6" i="3"/>
  <c r="E6" i="3" s="1"/>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5"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26" i="6"/>
  <c r="L19" i="9"/>
  <c r="C18" i="4"/>
  <c r="D5" i="6"/>
  <c r="D12"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67"/>
  <c r="D10" i="69"/>
  <c r="C17" i="15"/>
  <c r="C14" i="67"/>
  <c r="C34" i="69"/>
  <c r="D10" i="6" l="1"/>
  <c r="D21" i="6"/>
  <c r="D28" i="6"/>
  <c r="D19" i="6"/>
  <c r="D9" i="6"/>
  <c r="D22" i="6"/>
  <c r="H24" i="6"/>
  <c r="D13" i="6"/>
  <c r="D23" i="6"/>
  <c r="D29" i="6"/>
  <c r="D14" i="6"/>
  <c r="D20" i="6"/>
  <c r="D15" i="6"/>
  <c r="H26" i="6"/>
  <c r="D11" i="6"/>
  <c r="D8" i="6"/>
  <c r="D24" i="6"/>
  <c r="C26" i="69"/>
  <c r="D22" i="69" s="1"/>
  <c r="H22" i="6"/>
  <c r="R22" i="6" s="1"/>
  <c r="R9" i="1" s="1"/>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H25" i="6"/>
  <c r="R25" i="6" s="1"/>
  <c r="R12" i="1" s="1"/>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C15" i="12"/>
  <c r="C12" i="12"/>
  <c r="D27" i="6"/>
  <c r="D31" i="6" s="1"/>
  <c r="D8" i="74"/>
  <c r="D7" i="74"/>
  <c r="R21" i="6"/>
  <c r="R8" i="1" s="1"/>
  <c r="C10" i="69"/>
  <c r="C8" i="69" s="1"/>
  <c r="D19" i="69"/>
  <c r="F50" i="69"/>
  <c r="F50" i="11"/>
  <c r="F50" i="68"/>
  <c r="C4" i="52"/>
  <c r="B45" i="72"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6" i="6" l="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F35" i="15"/>
  <c r="M21" i="15"/>
  <c r="M21"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C20" i="9"/>
  <c r="D2" i="34"/>
  <c r="D2" i="37"/>
  <c r="D2" i="36"/>
  <c r="D2" i="3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9" i="1"/>
  <c r="AO8" i="1"/>
  <c r="AO7" i="1"/>
  <c r="AO6"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c r="C23" i="69" l="1"/>
  <c r="C20" i="69"/>
  <c r="C28" i="69" l="1"/>
  <c r="C27" i="69" s="1"/>
  <c r="C25" i="69"/>
  <c r="C22" i="69" s="1"/>
  <c r="C31" i="69" l="1"/>
  <c r="C52" i="69" s="1"/>
  <c r="B2" i="69" s="1"/>
  <c r="D19" i="9"/>
  <c r="C57" i="69" l="1"/>
  <c r="C56" i="69" s="1"/>
  <c r="D102" i="9"/>
  <c r="D21" i="9"/>
  <c r="G19" i="9"/>
  <c r="D22" i="9"/>
  <c r="B3" i="69"/>
  <c r="G21" i="9" l="1"/>
  <c r="D14" i="74"/>
  <c r="D20" i="9"/>
  <c r="D103" i="9" l="1"/>
  <c r="G20" i="9"/>
  <c r="C32" i="9" s="1"/>
  <c r="C35" i="9" s="1"/>
  <c r="C34" i="9" s="1"/>
  <c r="B5" i="74"/>
  <c r="E14" i="74"/>
  <c r="F14" i="74"/>
  <c r="D5" i="74" l="1"/>
  <c r="N60" i="9"/>
  <c r="N61" i="9"/>
  <c r="C81" i="9"/>
  <c r="M55" i="9"/>
  <c r="C104" i="9"/>
  <c r="H4" i="52"/>
  <c r="B52" i="72"/>
  <c r="E81" i="9"/>
  <c r="B30" i="72"/>
  <c r="C73" i="9"/>
  <c r="G4" i="52"/>
  <c r="C5" i="74"/>
  <c r="C78" i="9"/>
  <c r="D52" i="9"/>
  <c r="D53" i="9"/>
  <c r="D54" i="9"/>
  <c r="M48" i="9"/>
  <c r="C105" i="9"/>
  <c r="I4" i="52"/>
  <c r="C6" i="74"/>
  <c r="N59" i="9"/>
  <c r="P57" i="9"/>
  <c r="N57" i="9"/>
  <c r="N58" i="9"/>
  <c r="M54" i="9"/>
  <c r="D8" i="52"/>
  <c r="C80" i="9"/>
  <c r="E80" i="9"/>
  <c r="D56" i="9"/>
  <c r="D55" i="9"/>
  <c r="M53" i="9"/>
  <c r="D59" i="9"/>
  <c r="C68" i="9"/>
  <c r="H119" i="9"/>
  <c r="H5" i="52"/>
  <c r="H102" i="9"/>
  <c r="D7" i="53"/>
  <c r="B21" i="72"/>
  <c r="C93" i="9"/>
  <c r="C86" i="9"/>
  <c r="H108" i="9"/>
  <c r="D15" i="53"/>
  <c r="B31" i="72"/>
  <c r="D4" i="52"/>
  <c r="B47" i="72"/>
  <c r="C96" i="9"/>
  <c r="E96" i="9"/>
  <c r="E97" i="9"/>
  <c r="D122" i="9"/>
  <c r="D123" i="9"/>
  <c r="D9" i="52"/>
  <c r="F4" i="52"/>
  <c r="B51" i="72"/>
  <c r="B20" i="72"/>
  <c r="D118" i="9"/>
  <c r="D119" i="9"/>
  <c r="D5" i="52"/>
  <c r="B49" i="72"/>
  <c r="C85" i="9"/>
  <c r="C95" i="9"/>
  <c r="C97" i="9"/>
  <c r="D58" i="9"/>
  <c r="C64" i="9"/>
  <c r="C63" i="9"/>
  <c r="C67" i="9"/>
  <c r="D45" i="9"/>
  <c r="C72" i="9"/>
  <c r="C79" i="9"/>
  <c r="E118" i="9"/>
  <c r="E4" i="52"/>
  <c r="B48" i="72"/>
  <c r="G118" i="9"/>
  <c r="F118" i="9"/>
  <c r="F119" i="9"/>
  <c r="F5" i="52"/>
  <c r="B53" i="72"/>
  <c r="H107" i="9"/>
  <c r="D13" i="53"/>
  <c r="D14" i="53"/>
  <c r="B32" i="72"/>
  <c r="I118" i="9"/>
  <c r="H118" i="9"/>
  <c r="H101" i="9"/>
  <c r="D5" i="53"/>
  <c r="D6" i="53"/>
  <c r="B22"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<sst xmlns="http://schemas.openxmlformats.org/spreadsheetml/2006/main" count="12670" uniqueCount="4727">
  <si>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</si>
  <si>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</si>
  <si>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</si>
  <si>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</si>
  <si>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</si>
  <si>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</si>
  <si>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</si>
  <si>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</si>
  <si>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</si>
  <si>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</si>
  <si>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</si>
  <si>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</si>
  <si>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</si>
  <si>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</si>
  <si>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</si>
  <si>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</si>
  <si>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</si>
  <si>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</si>
  <si>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</si>
  <si>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</si>
  <si>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</si>
  <si>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</si>
  <si>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</si>
  <si>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</si>
  <si>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</si>
  <si>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</si>
  <si>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</si>
  <si>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</si>
  <si>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</si>
  <si>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</si>
  <si>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</si>
  <si>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</si>
  <si>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</si>
  <si>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</si>
  <si>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</si>
  <si>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</si>
  <si>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</si>
  <si>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</si>
  <si>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</si>
  <si>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</si>
  <si>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</si>
  <si>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</si>
  <si>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</si>
  <si>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</si>
  <si>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</si>
  <si>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</si>
  <si>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</si>
  <si>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</si>
  <si>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</si>
  <si>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</si>
  <si>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</si>
  <si>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</si>
  <si>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</si>
  <si>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</si>
  <si>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</si>
  <si>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</si>
  <si>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</si>
  <si>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</si>
  <si>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</si>
  <si>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</si>
  <si>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</si>
  <si>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</si>
  <si>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</si>
  <si>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</si>
  <si>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</si>
  <si>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</si>
  <si>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</si>
  <si>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</si>
  <si>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</si>
  <si>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</si>
  <si>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</si>
  <si>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</si>
  <si>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</si>
  <si>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</si>
  <si>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</si>
  <si>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</si>
  <si>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</si>
  <si>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</si>
  <si>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</si>
  <si>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</si>
  <si>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</si>
  <si>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</si>
  <si>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</si>
  <si>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</si>
  <si>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</si>
  <si>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</si>
  <si>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</si>
  <si>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</si>
  <si>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</si>
  <si>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</si>
  <si>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</si>
  <si>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</si>
  <si>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</si>
  <si>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</si>
  <si>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</si>
  <si>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</si>
  <si>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</si>
  <si>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</si>
  <si>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</si>
  <si>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</si>
  <si>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</si>
  <si>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</si>
  <si>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</si>
  <si>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</si>
  <si>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</si>
  <si>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</si>
  <si>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</si>
  <si>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</si>
  <si>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</si>
  <si>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</si>
  <si>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</si>
  <si>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</si>
  <si>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</si>
  <si>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</si>
  <si>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</si>
  <si>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</si>
  <si>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</si>
  <si>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</si>
  <si>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</si>
  <si>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</si>
  <si>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</si>
  <si>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</si>
  <si>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</si>
  <si>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</si>
  <si>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</si>
  <si>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</si>
  <si>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</si>
  <si>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</si>
  <si>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</si>
  <si>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</si>
  <si>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</si>
  <si>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</si>
  <si>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</si>
  <si>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</si>
  <si>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</si>
  <si>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</si>
  <si>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</si>
  <si>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</si>
  <si>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</si>
  <si>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</si>
  <si>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</si>
  <si>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</si>
  <si>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</si>
  <si>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</si>
  <si>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</si>
  <si>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</si>
  <si>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</si>
  <si>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</si>
  <si>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</si>
  <si>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</si>
  <si>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</si>
  <si>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</si>
  <si>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</si>
  <si>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</si>
  <si>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</si>
  <si>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</si>
  <si>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</si>
  <si>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</si>
  <si>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</si>
  <si>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</si>
  <si>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</si>
  <si>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</si>
  <si>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</si>
  <si>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</si>
  <si>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</si>
  <si>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</si>
  <si>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</si>
  <si>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</si>
  <si>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</si>
  <si>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</si>
  <si>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</si>
  <si>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</si>
  <si>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</si>
  <si>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</si>
  <si>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</si>
  <si>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</si>
  <si>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</si>
  <si>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</si>
  <si>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</si>
  <si>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</si>
  <si>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</si>
  <si>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</si>
  <si>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</si>
  <si>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</si>
  <si>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</si>
  <si>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</si>
  <si>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</si>
  <si>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</si>
  <si>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</si>
  <si>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</si>
  <si>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</si>
  <si>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</si>
  <si>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</si>
  <si>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</si>
  <si>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</si>
  <si>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</si>
  <si>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</si>
  <si>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</si>
  <si>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</si>
  <si>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</si>
  <si>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</si>
  <si>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</si>
  <si>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</si>
  <si>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</si>
  <si>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</si>
  <si>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</si>
  <si>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</si>
  <si>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</si>
  <si>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</si>
  <si>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</si>
  <si>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</si>
  <si>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</si>
  <si>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</si>
  <si>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</si>
  <si>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</si>
  <si>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</si>
  <si>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</si>
  <si>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</si>
  <si>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</si>
  <si>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</si>
  <si>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</si>
  <si>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</si>
  <si>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</si>
  <si>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</si>
  <si>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</si>
  <si>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</si>
  <si>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</si>
  <si>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</si>
  <si>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</si>
  <si>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</si>
  <si>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</si>
  <si>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</si>
  <si>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</si>
  <si>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</si>
  <si>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</si>
  <si>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</si>
  <si>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</si>
  <si>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</si>
  <si>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</si>
  <si>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</si>
  <si>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</si>
  <si>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</si>
  <si>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</si>
  <si>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</si>
  <si>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</si>
  <si>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</si>
  <si>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</si>
  <si>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</si>
  <si>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</si>
  <si>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</si>
  <si>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</si>
  <si>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</si>
  <si>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</si>
  <si>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</si>
  <si>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</si>
  <si>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</si>
  <si>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</si>
  <si>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</si>
  <si>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</si>
  <si>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</si>
  <si>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</si>
  <si>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</si>
  <si>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</si>
  <si>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</si>
  <si>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</si>
  <si>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</si>
  <si>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</si>
  <si>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</si>
  <si>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</si>
  <si>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</si>
  <si>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</si>
  <si>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</si>
  <si>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</si>
  <si>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</si>
  <si>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</si>
  <si>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</si>
  <si>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</si>
  <si>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</si>
  <si>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</si>
  <si>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</si>
  <si>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</si>
  <si>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</si>
  <si>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</si>
  <si>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</si>
  <si>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</si>
  <si>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</si>
  <si>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</si>
  <si>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</si>
  <si>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</si>
  <si>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</si>
  <si>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</si>
  <si>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</si>
  <si>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</si>
  <si>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</si>
  <si>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</si>
  <si>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</si>
  <si>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</si>
  <si>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</si>
  <si>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</si>
  <si>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</si>
  <si>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</si>
  <si>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</si>
  <si>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</si>
  <si>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</si>
  <si>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</si>
  <si>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</si>
  <si>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</si>
  <si>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</si>
  <si>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</si>
  <si>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</si>
  <si>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</si>
  <si>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</si>
  <si>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</si>
  <si>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</si>
  <si>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</si>
  <si>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</si>
  <si>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</si>
  <si>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</si>
  <si>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</si>
  <si>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</si>
  <si>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</si>
  <si>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</si>
  <si>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</si>
  <si>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</si>
  <si>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</si>
  <si>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</si>
  <si>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</si>
  <si>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</si>
  <si>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</si>
  <si>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</si>
  <si>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</si>
  <si>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</si>
  <si>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</si>
  <si>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</si>
  <si>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</si>
  <si>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</si>
  <si>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</si>
  <si>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</si>
  <si>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</si>
  <si>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</si>
  <si>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</si>
  <si>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</si>
  <si>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</si>
  <si>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</si>
  <si>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</si>
  <si>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</si>
  <si>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</si>
  <si>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</si>
  <si>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</si>
  <si>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</si>
  <si>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</si>
  <si>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</si>
  <si>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</si>
  <si>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</si>
  <si>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</si>
  <si>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</si>
  <si>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</si>
  <si>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</si>
  <si>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</si>
  <si>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</si>
  <si>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</si>
  <si>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</si>
  <si>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</si>
  <si>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</si>
  <si>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</si>
  <si>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</si>
  <si>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</si>
  <si>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</si>
  <si>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</si>
  <si>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</si>
  <si>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</si>
  <si>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</si>
  <si>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</si>
  <si>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</si>
  <si>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</si>
  <si>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</si>
  <si>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</si>
  <si>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</si>
  <si>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</si>
  <si>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</si>
  <si>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</si>
  <si>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</si>
  <si>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</si>
  <si>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</si>
  <si>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</si>
  <si>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</si>
  <si>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</si>
  <si>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</si>
  <si>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</si>
  <si>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</si>
  <si>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</si>
  <si>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</si>
  <si>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</si>
  <si>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</si>
  <si>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</si>
  <si>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</si>
  <si>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</si>
  <si>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</si>
  <si>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</si>
  <si>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</si>
  <si>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</si>
  <si>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</si>
  <si>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</si>
  <si>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</si>
  <si>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</si>
  <si>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</si>
  <si>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</si>
  <si>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</si>
  <si>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</si>
  <si>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</si>
  <si>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</si>
  <si>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</si>
  <si>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</si>
  <si>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</si>
  <si>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</si>
  <si>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</si>
  <si>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</si>
  <si>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</si>
  <si>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</si>
  <si>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</si>
  <si>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</si>
  <si>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</si>
  <si>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</si>
  <si>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</si>
  <si>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</si>
  <si>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</si>
  <si>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</si>
  <si>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</si>
  <si>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</si>
  <si>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</si>
  <si>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</si>
  <si>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</si>
  <si>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</si>
  <si>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</si>
  <si>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</si>
  <si>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</si>
  <si>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</si>
  <si>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</si>
  <si>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</si>
  <si>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</si>
  <si>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</si>
  <si>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</si>
  <si>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</si>
  <si>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</si>
  <si>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</si>
  <si>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</si>
  <si>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</si>
  <si>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</si>
  <si>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</si>
  <si>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</si>
  <si>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</si>
  <si>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</si>
  <si>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</si>
  <si>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</si>
  <si>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</si>
  <si>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</si>
  <si>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</si>
  <si>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</si>
  <si>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</si>
  <si>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</si>
  <si>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</si>
  <si>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</si>
  <si>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</si>
  <si>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</si>
  <si>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</si>
  <si>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</si>
  <si>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</si>
  <si>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</si>
  <si>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</si>
  <si>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</si>
  <si>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</si>
  <si>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</si>
  <si>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</si>
  <si>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</si>
  <si>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</si>
  <si>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</si>
  <si>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</si>
  <si>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</si>
  <si>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</si>
  <si>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</si>
  <si>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</si>
  <si>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</si>
  <si>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</si>
  <si>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</si>
  <si>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</si>
  <si>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</si>
  <si>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</si>
  <si>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</si>
  <si>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</si>
  <si>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</si>
  <si>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</si>
  <si>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</si>
  <si>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</si>
  <si>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</si>
  <si>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</si>
  <si>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</si>
  <si>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</si>
  <si>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</si>
  <si>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</si>
  <si>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</si>
  <si>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</si>
  <si>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</si>
  <si>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</si>
  <si>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</si>
  <si>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</si>
  <si>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</si>
  <si>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</si>
  <si>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</si>
  <si>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</si>
  <si>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</si>
  <si>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</si>
  <si>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</si>
  <si>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</si>
  <si>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</si>
  <si>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</si>
  <si>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</si>
  <si>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</si>
  <si>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</si>
  <si>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</si>
  <si>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</si>
  <si>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</si>
  <si>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</si>
  <si>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</si>
  <si>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</si>
  <si>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</si>
  <si>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</si>
  <si>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</si>
  <si>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</si>
  <si>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</si>
  <si>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</si>
  <si>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</si>
  <si>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</si>
  <si>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</si>
  <si>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</si>
  <si>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</si>
  <si>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</si>
  <si>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</si>
  <si>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</si>
  <si>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</si>
  <si>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</si>
  <si>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</si>
  <si>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</si>
  <si>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</si>
  <si>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</si>
  <si>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</si>
  <si>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</si>
  <si>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</si>
  <si>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</si>
  <si>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</si>
  <si>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</si>
  <si>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</si>
  <si>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</si>
  <si>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</si>
  <si>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</si>
  <si>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</si>
  <si>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</si>
  <si>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</si>
  <si>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</si>
  <si>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</si>
  <si>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</si>
  <si>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</si>
  <si>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</si>
  <si>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</si>
  <si>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</si>
  <si>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</si>
  <si>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</si>
  <si>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</si>
  <si>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</si>
  <si>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</si>
  <si>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</si>
  <si>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</si>
  <si>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</si>
  <si>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</si>
  <si>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</si>
  <si>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</si>
  <si>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</si>
  <si>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</si>
  <si>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</si>
  <si>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</si>
  <si>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</si>
  <si>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</si>
  <si>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</si>
  <si>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</si>
  <si>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</si>
  <si>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</si>
  <si>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</si>
  <si>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</si>
  <si>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</si>
  <si>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</si>
  <si>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</si>
  <si>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</si>
  <si>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</si>
  <si>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</si>
  <si>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</si>
  <si>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</si>
  <si>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</si>
  <si>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</si>
  <si>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</si>
  <si>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</si>
  <si>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</si>
  <si>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</si>
  <si>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</si>
  <si>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</si>
  <si>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</si>
  <si>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</si>
  <si>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</si>
  <si>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</si>
  <si>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</si>
  <si>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</si>
  <si>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</si>
  <si>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</si>
  <si>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</si>
  <si>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</si>
  <si>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</si>
  <si>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</si>
  <si>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</si>
  <si>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</si>
  <si>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</si>
  <si>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</si>
  <si>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</si>
  <si>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</si>
  <si>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</si>
  <si>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</si>
  <si>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</si>
  <si>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</si>
  <si>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</si>
  <si>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</si>
  <si>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</si>
  <si>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</si>
  <si>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</si>
  <si>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</si>
  <si>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</si>
  <si>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</si>
  <si>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</si>
  <si>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</si>
  <si>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</si>
  <si>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</si>
  <si>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</si>
  <si>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</si>
  <si>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</si>
  <si>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</si>
  <si>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</si>
  <si>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</si>
  <si>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</si>
  <si>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</si>
  <si>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</si>
  <si>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</si>
  <si>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</si>
  <si>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</si>
  <si>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</si>
  <si>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</si>
  <si>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</si>
  <si>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</si>
  <si>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</si>
  <si>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</si>
  <si>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</si>
  <si>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</si>
  <si>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</si>
  <si>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</si>
  <si>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</si>
  <si>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</si>
  <si>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</si>
  <si>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</si>
  <si>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</si>
  <si>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</si>
  <si>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</si>
  <si>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</si>
  <si>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</si>
  <si>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</si>
  <si>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</si>
  <si>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</si>
  <si>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</si>
  <si>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</si>
  <si>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</si>
  <si>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</si>
  <si>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</si>
  <si>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</si>
  <si>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</si>
  <si>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</si>
  <si>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</si>
  <si>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</si>
  <si>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</si>
  <si>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</si>
  <si>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</si>
  <si>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</si>
  <si>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</si>
  <si>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</si>
  <si>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</si>
  <si>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</si>
  <si>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</si>
  <si>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</si>
  <si>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</si>
  <si>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</si>
  <si>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</si>
  <si>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</si>
  <si>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</si>
  <si>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</si>
  <si>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</si>
  <si>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</si>
  <si>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</si>
  <si>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</si>
  <si>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</si>
  <si>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</si>
  <si>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</si>
  <si>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</si>
  <si>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</si>
  <si>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</si>
  <si>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</si>
  <si>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</si>
  <si>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</si>
  <si>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</si>
  <si>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</si>
  <si>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</si>
  <si>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</si>
  <si>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</si>
  <si>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</si>
  <si>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</si>
  <si>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</si>
  <si>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</si>
  <si>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</si>
  <si>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</si>
  <si>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</si>
  <si>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</si>
  <si>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</si>
  <si>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</si>
  <si>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</si>
  <si>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</si>
  <si>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</si>
  <si>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</si>
  <si>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</si>
  <si>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</si>
  <si>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</si>
  <si>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</si>
  <si>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</si>
  <si>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</si>
  <si>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</si>
  <si>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</si>
  <si>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</si>
  <si>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</si>
  <si>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</si>
  <si>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</si>
  <si>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</si>
  <si>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</si>
  <si>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</si>
  <si>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</si>
  <si>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</si>
  <si>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</si>
  <si>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</si>
  <si>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</si>
  <si>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</si>
  <si>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</si>
  <si>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</si>
  <si>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</si>
  <si>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</si>
  <si>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</si>
  <si>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</si>
  <si>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</si>
  <si>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</si>
  <si>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</si>
  <si>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</si>
  <si>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</si>
  <si>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</si>
  <si>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</si>
  <si>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</si>
  <si>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</si>
  <si>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</si>
  <si>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</si>
  <si>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</si>
  <si>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</si>
  <si>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</si>
  <si>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</si>
  <si>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</si>
  <si>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</si>
  <si>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</si>
  <si>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</si>
  <si>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</si>
  <si>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</si>
  <si>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</si>
  <si>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</si>
  <si>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</si>
  <si>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</si>
  <si>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</si>
  <si>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</si>
  <si>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</si>
  <si>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</si>
  <si>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</si>
  <si>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</si>
  <si>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</si>
  <si>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</si>
  <si>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</si>
  <si>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</si>
  <si>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</si>
  <si>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</si>
  <si>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</si>
  <si>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</si>
  <si>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</si>
  <si>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</si>
  <si>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</si>
  <si>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</si>
  <si>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</si>
  <si>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</si>
  <si>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</si>
  <si>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</si>
  <si>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</si>
  <si>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</si>
  <si>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</si>
  <si>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</si>
  <si>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</si>
  <si>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</si>
  <si>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</si>
  <si>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</si>
  <si>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</si>
  <si>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</si>
  <si>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</si>
  <si>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</si>
  <si>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</si>
  <si>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</si>
  <si>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</si>
  <si>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</si>
  <si>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</si>
  <si>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</si>
  <si>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</si>
  <si>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</si>
  <si>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</si>
  <si>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</si>
  <si>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</si>
  <si>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</si>
  <si>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</si>
  <si>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</si>
  <si>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</si>
  <si>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</si>
  <si>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</si>
  <si>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</si>
  <si>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</si>
  <si>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</si>
  <si>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</si>
  <si>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</si>
  <si>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</si>
  <si>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</si>
  <si>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</si>
  <si>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</si>
  <si>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</si>
  <si>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</si>
  <si>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</si>
  <si>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</si>
  <si>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</si>
  <si>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</si>
  <si>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</si>
  <si>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</si>
  <si>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</si>
  <si>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</si>
  <si>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</si>
  <si>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</si>
  <si>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</si>
  <si>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</si>
  <si>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</si>
  <si>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</si>
  <si>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</si>
  <si>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</si>
  <si>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</si>
  <si>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</si>
  <si>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</si>
  <si>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</si>
  <si>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</si>
  <si>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</si>
  <si>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</si>
  <si>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</si>
  <si>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</si>
  <si>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</si>
  <si>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</si>
  <si>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</si>
  <si>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</si>
  <si>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</si>
  <si>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</si>
  <si>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</si>
  <si>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</si>
  <si>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</si>
  <si>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</si>
  <si>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</si>
  <si>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</si>
  <si>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</si>
  <si>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</si>
  <si>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</si>
  <si>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</si>
  <si>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</si>
  <si>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</si>
  <si>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</si>
  <si>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</si>
  <si>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</si>
  <si>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</si>
  <si>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</si>
  <si>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</si>
  <si>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</si>
  <si>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</si>
  <si>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</si>
  <si>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</si>
  <si>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</si>
  <si>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</si>
  <si>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</si>
  <si>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</si>
  <si>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</si>
  <si>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</si>
  <si>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</si>
  <si>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</si>
  <si>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</si>
  <si>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</si>
  <si>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</si>
  <si>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</si>
  <si>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</si>
  <si>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</si>
  <si>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</si>
  <si>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</si>
  <si>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</si>
  <si>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</si>
  <si>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</si>
  <si>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</si>
  <si>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</si>
  <si>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</si>
  <si>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</si>
  <si>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</si>
  <si>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</si>
  <si>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</si>
  <si>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</si>
  <si>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</si>
  <si>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</si>
  <si>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</si>
  <si>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</si>
  <si>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</si>
  <si>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</si>
  <si>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</si>
  <si>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</si>
  <si>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</si>
  <si>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</si>
  <si>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</si>
  <si>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</si>
  <si>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</si>
  <si>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</si>
  <si>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</si>
  <si>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</si>
  <si>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</si>
  <si>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</si>
  <si>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</si>
  <si>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</si>
  <si>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</si>
  <si>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</si>
  <si>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</si>
  <si>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</si>
  <si>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</si>
  <si>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</si>
  <si>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</si>
  <si>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</si>
  <si>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</si>
  <si>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</si>
  <si>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</si>
  <si>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</si>
  <si>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</si>
  <si>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</si>
  <si>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</si>
  <si>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</si>
  <si>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</si>
  <si>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</si>
  <si>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</si>
  <si>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</si>
  <si>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</si>
  <si>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</si>
  <si>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</si>
  <si>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</si>
  <si>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</si>
  <si>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</si>
  <si>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</si>
  <si>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</si>
  <si>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</si>
  <si>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</si>
  <si>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</si>
  <si>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</si>
  <si>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</si>
  <si>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</si>
  <si>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</si>
  <si>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</si>
  <si>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</si>
  <si>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</si>
  <si>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</si>
  <si>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</si>
  <si>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</si>
  <si>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</si>
  <si>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</si>
  <si>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</si>
  <si>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</si>
  <si>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</si>
  <si>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</si>
  <si>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</si>
  <si>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</si>
  <si>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</si>
  <si>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</si>
  <si>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</si>
  <si>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</si>
  <si>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</si>
  <si>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</si>
  <si>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</si>
  <si>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</si>
  <si>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</si>
  <si>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</si>
  <si>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</si>
  <si>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</si>
  <si>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</si>
  <si>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</si>
  <si>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</si>
  <si>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</si>
  <si>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</si>
  <si>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</si>
  <si>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</si>
  <si>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</si>
  <si>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</si>
  <si>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</si>
  <si>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</si>
  <si>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</si>
  <si>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</si>
  <si>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</si>
  <si>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</si>
  <si>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</si>
  <si>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</si>
  <si>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</si>
  <si>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</si>
  <si>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</si>
  <si>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</si>
  <si>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</si>
  <si>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</si>
  <si>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</si>
  <si>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</si>
  <si>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</si>
  <si>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</si>
  <si>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</si>
  <si>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</si>
  <si>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</si>
  <si>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</si>
  <si>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</si>
  <si>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</si>
  <si>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</si>
  <si>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</si>
  <si>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</si>
  <si>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</si>
  <si>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</si>
  <si>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</si>
  <si>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</si>
  <si>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</si>
  <si>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</si>
  <si>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</si>
  <si>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</si>
  <si>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</si>
  <si>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</si>
  <si>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</si>
  <si>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</si>
  <si>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</si>
  <si>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</si>
  <si>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</si>
  <si>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</si>
  <si>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</si>
  <si>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</si>
  <si>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</si>
  <si>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</si>
  <si>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</si>
  <si>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</si>
  <si>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</si>
  <si>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</si>
  <si>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</si>
  <si>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</si>
  <si>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</si>
  <si>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</si>
  <si>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</si>
  <si>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</si>
  <si>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</si>
  <si>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</si>
  <si>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</si>
  <si>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</si>
  <si>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</si>
  <si>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</si>
  <si>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</si>
  <si>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</si>
  <si>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</si>
  <si>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</si>
  <si>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</si>
  <si>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</si>
  <si>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</si>
  <si>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</si>
  <si>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</si>
  <si>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</si>
  <si>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</si>
  <si>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</si>
  <si>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</si>
  <si>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</si>
  <si>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</si>
  <si>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</si>
  <si>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</si>
  <si>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</si>
  <si>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</si>
  <si>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</si>
  <si>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</si>
  <si>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</si>
  <si>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</si>
  <si>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</si>
  <si>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</si>
  <si>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</si>
  <si>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</si>
  <si>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</si>
  <si>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</si>
  <si>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</si>
  <si>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</si>
  <si>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</si>
  <si>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</si>
  <si>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</si>
  <si>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</si>
  <si>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</si>
  <si>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</si>
  <si>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</si>
  <si>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</si>
  <si>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</si>
  <si>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</si>
  <si>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</si>
  <si>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</si>
  <si>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</si>
  <si>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</si>
  <si>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</si>
  <si>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</si>
  <si>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</si>
  <si>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</si>
  <si>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</si>
  <si>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</si>
  <si>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</si>
  <si>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</si>
  <si>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</si>
  <si>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</si>
  <si>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</si>
  <si>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</si>
  <si>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</si>
  <si>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</si>
  <si>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</si>
  <si>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</si>
  <si>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</si>
  <si>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</si>
  <si>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</si>
  <si>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</si>
  <si>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</si>
  <si>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</si>
  <si>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</si>
  <si>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</si>
  <si>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</si>
  <si>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</si>
  <si>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</si>
  <si>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</si>
  <si>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</si>
  <si>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</si>
  <si>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</si>
  <si>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</si>
  <si>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</si>
  <si>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</si>
  <si>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</si>
  <si>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</si>
  <si>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</si>
  <si>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</si>
  <si>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</si>
  <si>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</si>
  <si>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</si>
  <si>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</si>
  <si>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</si>
  <si>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</si>
  <si>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</si>
  <si>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</si>
  <si>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</si>
  <si>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</si>
  <si>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</si>
  <si>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</si>
  <si>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</si>
  <si>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</si>
  <si>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</si>
  <si>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</si>
  <si>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</si>
  <si>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</si>
  <si>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</si>
  <si>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</si>
  <si>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</si>
  <si>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</si>
  <si>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</si>
  <si>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</si>
  <si>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</si>
  <si>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</si>
  <si>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</si>
  <si>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</si>
  <si>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</si>
  <si>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</si>
  <si>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</si>
  <si>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</si>
  <si>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</si>
  <si>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</si>
  <si>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</si>
  <si>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</si>
  <si>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</si>
  <si>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</si>
  <si>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</si>
  <si>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</si>
  <si>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</si>
  <si>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</si>
  <si>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</si>
  <si>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</si>
  <si>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</si>
  <si>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</si>
  <si>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</si>
  <si>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</si>
  <si>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</si>
  <si>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</si>
  <si>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</si>
  <si>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</si>
  <si>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</si>
  <si>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</si>
  <si>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</si>
  <si>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</si>
  <si>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</si>
  <si>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</si>
  <si>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</si>
  <si>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</si>
  <si>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</si>
  <si>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</si>
  <si>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</si>
  <si>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</si>
  <si>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</si>
  <si>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</si>
  <si>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</si>
  <si>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</si>
  <si>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</si>
  <si>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</si>
  <si>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</si>
  <si>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</si>
  <si>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</si>
  <si>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</si>
  <si>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</si>
  <si>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</si>
  <si>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</si>
  <si>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</si>
  <si>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</si>
  <si>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</si>
  <si>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</si>
  <si>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</si>
  <si>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</si>
  <si>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</si>
  <si>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</si>
  <si>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</si>
  <si>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</si>
  <si>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</si>
  <si>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</si>
  <si>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</si>
  <si>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</si>
  <si>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</si>
  <si>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</si>
  <si>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</si>
  <si>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</si>
  <si>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</si>
  <si>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</si>
  <si>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</si>
  <si>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</si>
  <si>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</si>
  <si>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</si>
  <si>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</si>
  <si>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</si>
  <si>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</si>
  <si>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</si>
  <si>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</si>
  <si>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</si>
  <si>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</si>
  <si>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</si>
  <si>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</si>
  <si>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</si>
  <si>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</si>
  <si>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</si>
  <si>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</si>
  <si>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</si>
  <si>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</si>
  <si>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</si>
  <si>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</si>
  <si>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</si>
  <si>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</si>
  <si>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</si>
  <si>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</si>
  <si>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</si>
  <si>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</si>
  <si>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</si>
  <si>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</si>
  <si>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</si>
  <si>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</si>
  <si>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</si>
  <si>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</si>
  <si>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</si>
  <si>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</si>
  <si>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</si>
  <si>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</si>
  <si>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</si>
  <si>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</si>
  <si>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</si>
  <si>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</si>
  <si>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</si>
  <si>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</si>
  <si>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</si>
  <si>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</si>
  <si>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</si>
  <si>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</si>
  <si>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</si>
  <si>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</si>
  <si>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</si>
  <si>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</si>
  <si>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</si>
  <si>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</si>
  <si>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</si>
  <si>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</si>
  <si>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</si>
  <si>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</si>
  <si>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</si>
  <si>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</si>
  <si>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</si>
  <si>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</si>
  <si>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</si>
  <si>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</si>
  <si>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</si>
  <si>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</si>
  <si>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</si>
  <si>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</si>
  <si>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</si>
  <si>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</si>
  <si>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</si>
  <si>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</si>
  <si>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</si>
  <si>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</si>
  <si>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</si>
  <si>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</si>
  <si>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</si>
  <si>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</si>
  <si>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</si>
  <si>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</si>
  <si>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</si>
  <si>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</si>
  <si>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</si>
  <si>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</si>
  <si>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</si>
  <si>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</si>
  <si>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</si>
  <si>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</si>
  <si>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</si>
  <si>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</si>
  <si>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</si>
  <si>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</si>
  <si>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</si>
  <si>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</si>
  <si>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</si>
  <si>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</si>
  <si>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</si>
  <si>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</si>
  <si>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</si>
  <si>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</si>
  <si>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</si>
  <si>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</si>
  <si>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</si>
  <si>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</si>
  <si>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</si>
  <si>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</si>
  <si>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</si>
  <si>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</si>
  <si>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</si>
  <si>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</si>
  <si>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</si>
  <si>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</si>
  <si>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</si>
  <si>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</si>
  <si>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</si>
  <si>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</si>
  <si>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</si>
  <si>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</si>
  <si>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</si>
  <si>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</si>
  <si>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</si>
  <si>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</si>
  <si>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</si>
  <si>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</si>
  <si>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</si>
  <si>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</si>
  <si>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</si>
  <si>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</si>
  <si>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</si>
  <si>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</si>
  <si>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</si>
  <si>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</si>
  <si>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</si>
  <si>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</si>
  <si>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</si>
  <si>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</si>
  <si>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</si>
  <si>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</si>
  <si>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</si>
  <si>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</si>
  <si>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</si>
  <si>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</si>
  <si>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</si>
  <si>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</si>
  <si>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</si>
  <si>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</si>
  <si>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</si>
  <si>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</si>
  <si>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</si>
  <si>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</si>
  <si>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</si>
  <si>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</si>
  <si>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</si>
  <si>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</si>
  <si>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</si>
  <si>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</si>
  <si>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</si>
  <si>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</si>
  <si>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</si>
  <si>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</si>
  <si>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</si>
  <si>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</si>
  <si>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</si>
  <si>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</si>
  <si>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</si>
  <si>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</si>
  <si>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</si>
  <si>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</si>
  <si>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</si>
  <si>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</si>
  <si>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</si>
  <si>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</si>
  <si>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</si>
  <si>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</si>
  <si>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</si>
  <si>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</si>
  <si>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</si>
  <si>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</si>
  <si>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</si>
  <si>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</si>
  <si>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</si>
  <si>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</si>
  <si>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</si>
  <si>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</si>
  <si>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</si>
  <si>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</si>
  <si>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</si>
  <si>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</si>
  <si>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</si>
  <si>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</si>
  <si>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</si>
  <si>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</si>
  <si>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</si>
  <si>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</si>
  <si>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</si>
  <si>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</si>
  <si>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</si>
  <si>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</si>
  <si>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</si>
  <si>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</si>
  <si>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</si>
  <si>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</si>
  <si>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</si>
  <si>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</si>
  <si>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</si>
  <si>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</si>
  <si>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</si>
  <si>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</si>
  <si>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</si>
  <si>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</si>
  <si>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</si>
  <si>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</si>
  <si>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</si>
  <si>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</si>
  <si>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</si>
  <si>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</si>
  <si>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</si>
  <si>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</si>
  <si>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</si>
  <si>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</si>
  <si>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</si>
  <si>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</si>
  <si>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</si>
  <si>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</si>
  <si>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</si>
  <si>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</si>
  <si>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</si>
  <si>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</si>
  <si>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</si>
  <si>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</si>
  <si>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</si>
  <si>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</si>
  <si>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</si>
  <si>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</si>
  <si>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</si>
  <si>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</si>
  <si>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</si>
  <si>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</si>
  <si>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</si>
  <si>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</si>
  <si>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</si>
  <si>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</si>
  <si>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</si>
  <si>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</si>
  <si>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</si>
  <si>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</si>
  <si>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</si>
  <si>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</si>
  <si>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</si>
  <si>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</si>
  <si>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</si>
  <si>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</si>
  <si>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</si>
  <si>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</si>
  <si>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</si>
  <si>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</si>
  <si>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</si>
  <si>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</si>
  <si>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</si>
  <si>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</si>
  <si>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</si>
  <si>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</si>
  <si>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</si>
  <si>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</si>
  <si>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</si>
  <si>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</si>
  <si>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</si>
  <si>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</si>
  <si>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</si>
  <si>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</si>
  <si>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</si>
  <si>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</si>
  <si>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</si>
  <si>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</si>
  <si>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</si>
  <si>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</si>
  <si>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</si>
  <si>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</si>
  <si>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</si>
  <si>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</si>
  <si>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</si>
  <si>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</si>
  <si>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</si>
  <si>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</si>
  <si>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</si>
  <si>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</si>
  <si>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</si>
  <si>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</si>
  <si>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</si>
  <si>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</si>
  <si>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</si>
  <si>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</si>
  <si>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</si>
  <si>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</si>
  <si>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</si>
  <si>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</si>
  <si>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</si>
  <si>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</si>
  <si>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</si>
  <si>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</si>
  <si>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</si>
  <si>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</si>
  <si>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</si>
  <si>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</si>
  <si>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</si>
  <si>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</si>
  <si>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</si>
  <si>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</si>
  <si>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</si>
  <si>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</si>
  <si>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</si>
  <si>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</si>
  <si>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</si>
  <si>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</si>
  <si>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</si>
  <si>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</si>
  <si>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</si>
  <si>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</si>
  <si>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</si>
  <si>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</si>
  <si>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</si>
  <si>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</si>
  <si>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</si>
  <si>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</si>
  <si>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</si>
  <si>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</si>
  <si>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</si>
  <si>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</si>
  <si>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</si>
  <si>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</si>
  <si>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</si>
  <si>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</si>
  <si>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</si>
  <si>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</si>
  <si>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</si>
  <si>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</si>
  <si>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</si>
  <si>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</si>
  <si>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</si>
  <si>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</si>
  <si>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</si>
  <si>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</si>
  <si>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</si>
  <si>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</si>
  <si>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</si>
  <si>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</si>
  <si>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</si>
  <si>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</si>
  <si>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</si>
  <si>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</si>
  <si>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</si>
  <si>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</si>
  <si>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</si>
  <si>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</si>
  <si>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</si>
  <si>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</si>
  <si>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</si>
  <si>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</si>
  <si>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</si>
  <si>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</si>
  <si>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</si>
  <si>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</si>
  <si>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</si>
  <si>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</si>
  <si>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</si>
  <si>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</si>
  <si>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</si>
  <si>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</si>
  <si>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</si>
  <si>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</si>
  <si>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</si>
  <si>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</si>
  <si>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</si>
  <si>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</si>
  <si>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</si>
  <si>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</si>
  <si>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</si>
  <si>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</si>
  <si>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</si>
  <si>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</si>
  <si>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</si>
  <si>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</si>
  <si>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</si>
  <si>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</si>
  <si>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</si>
  <si>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</si>
  <si>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</si>
  <si>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</si>
  <si>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</si>
  <si>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</si>
  <si>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</si>
  <si>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</si>
  <si>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</si>
  <si>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</si>
  <si>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</si>
  <si>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</si>
  <si>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</si>
  <si>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</si>
  <si>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</si>
  <si>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</si>
  <si>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</si>
  <si>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</si>
  <si>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</si>
  <si>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</si>
  <si>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</si>
  <si>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</si>
  <si>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</si>
  <si>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</si>
  <si>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</si>
  <si>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</si>
  <si>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</si>
  <si>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</si>
  <si>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</si>
  <si>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</si>
  <si>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</si>
  <si>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</si>
  <si>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</si>
  <si>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</si>
  <si>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</si>
  <si>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</si>
  <si>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</si>
  <si>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</si>
  <si>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</si>
  <si>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</si>
  <si>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</si>
  <si>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</si>
  <si>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</si>
  <si>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</si>
  <si>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</si>
  <si>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</si>
  <si>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</si>
  <si>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</si>
  <si>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</si>
  <si>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</si>
  <si>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</si>
  <si>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</si>
  <si>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</si>
  <si>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</si>
  <si>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</si>
  <si>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</si>
  <si>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</si>
  <si>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</si>
  <si>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</si>
  <si>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</si>
  <si>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</si>
  <si>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</si>
  <si>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</si>
  <si>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</si>
  <si>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</si>
  <si>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</si>
  <si>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</si>
  <si>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</si>
  <si>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</si>
  <si>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</si>
  <si>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</si>
  <si>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</si>
  <si>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</si>
  <si>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</si>
  <si>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</si>
  <si>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</si>
  <si>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</si>
  <si>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</si>
  <si>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</si>
  <si>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</si>
  <si>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</si>
  <si>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</si>
  <si>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</si>
  <si>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</si>
  <si>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</si>
  <si>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</si>
  <si>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</si>
  <si>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</si>
  <si>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</si>
  <si>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</si>
  <si>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</si>
  <si>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</si>
  <si>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</si>
  <si>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</si>
  <si>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</si>
  <si>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</si>
  <si>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</si>
  <si>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</si>
  <si>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</si>
  <si>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</si>
  <si>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</si>
  <si>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</si>
  <si>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</si>
  <si>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</si>
  <si>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</si>
  <si>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</si>
  <si>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</si>
  <si>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</si>
  <si>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</si>
  <si>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</si>
  <si>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</si>
  <si>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</si>
  <si>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</si>
  <si>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</si>
  <si>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</si>
  <si>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</si>
  <si>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</si>
  <si>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</si>
  <si>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</si>
  <si>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</si>
  <si>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</si>
  <si>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</si>
  <si>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</si>
  <si>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</si>
  <si>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</si>
  <si>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</si>
  <si>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</si>
  <si>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</si>
  <si>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</si>
  <si>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</si>
  <si>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</si>
  <si>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</si>
  <si>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</si>
  <si>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</si>
  <si>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</si>
  <si>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</si>
  <si>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</si>
  <si>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</si>
  <si>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</si>
  <si>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</si>
  <si>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</si>
  <si>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</si>
  <si>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</si>
  <si>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</si>
  <si>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</si>
  <si>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</si>
  <si>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</si>
  <si>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</si>
  <si>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</si>
  <si>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</si>
  <si>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</si>
  <si>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</si>
  <si>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</si>
  <si>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</si>
  <si>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</si>
  <si>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</si>
  <si>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</si>
  <si>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</si>
  <si>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</si>
  <si>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</si>
  <si>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</si>
  <si>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</si>
  <si>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</si>
  <si>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</si>
  <si>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</si>
  <si>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</si>
  <si>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</si>
  <si>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</si>
  <si>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</si>
  <si>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</si>
  <si>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</si>
  <si>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</si>
  <si>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</si>
  <si>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</si>
  <si>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</si>
  <si>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</si>
  <si>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</si>
  <si>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</si>
  <si>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</si>
  <si>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</si>
  <si>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</si>
  <si>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</si>
  <si>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</si>
  <si>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</si>
  <si>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</si>
  <si>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</si>
  <si>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</si>
  <si>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</si>
  <si>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</si>
  <si>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</si>
  <si>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</si>
  <si>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</si>
  <si>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</si>
  <si>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</si>
  <si>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</si>
  <si>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</si>
  <si>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</si>
  <si>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</si>
  <si>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</si>
  <si>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</si>
  <si>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</si>
  <si>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</si>
  <si>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</si>
  <si>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</si>
  <si>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</si>
  <si>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</si>
  <si>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</si>
  <si>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</si>
  <si>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</si>
  <si>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</si>
  <si>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</si>
  <si>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</si>
  <si>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</si>
  <si>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</si>
  <si>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</si>
  <si>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</si>
  <si>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</si>
  <si>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</si>
  <si>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</si>
  <si>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</si>
  <si>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</si>
  <si>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</si>
  <si>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</si>
  <si>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</si>
  <si>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</si>
  <si>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</si>
  <si>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</si>
  <si>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</si>
  <si>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</si>
  <si>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</si>
  <si>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</si>
  <si>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</si>
  <si>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</si>
  <si>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</si>
  <si>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</si>
  <si>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</si>
  <si>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</si>
  <si>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</si>
  <si>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</si>
  <si>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</si>
  <si>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</si>
  <si>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</si>
  <si>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</si>
  <si>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</si>
  <si>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</si>
  <si>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</si>
  <si>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</si>
  <si>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</si>
  <si>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</si>
  <si>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</si>
  <si>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</si>
  <si>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</si>
  <si>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</si>
  <si>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</si>
  <si>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</si>
  <si>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</si>
  <si>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</si>
  <si>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</si>
  <si>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</si>
  <si>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</si>
  <si>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</si>
  <si>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</si>
  <si>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</si>
  <si>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</si>
  <si>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</si>
  <si>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</si>
  <si>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</si>
  <si>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</si>
  <si>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</si>
  <si>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</si>
  <si>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</si>
  <si>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</si>
  <si>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</si>
  <si>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</si>
  <si>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</si>
  <si>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</si>
  <si>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</si>
  <si>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</si>
  <si>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</si>
  <si>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</si>
  <si>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</si>
  <si>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</si>
  <si>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</si>
  <si>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</si>
  <si>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</si>
  <si>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</si>
  <si>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</si>
  <si>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</si>
  <si>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</si>
  <si>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</si>
  <si>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</si>
  <si>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</si>
  <si>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</si>
  <si>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</si>
  <si>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</si>
  <si>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</si>
  <si>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</si>
  <si>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</si>
  <si>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</si>
  <si>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</si>
  <si>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</si>
  <si>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</si>
  <si>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</si>
  <si>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</si>
  <si>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</si>
  <si>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</si>
  <si>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</si>
  <si>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</si>
  <si>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</si>
  <si>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</si>
  <si>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</si>
  <si>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</si>
  <si>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</si>
  <si>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</si>
  <si>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</si>
  <si>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</si>
  <si>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</si>
  <si>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</si>
  <si>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</si>
  <si>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</si>
  <si>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</si>
  <si>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</si>
  <si>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</si>
  <si>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</si>
  <si>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</si>
  <si>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</si>
  <si>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</si>
  <si>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</si>
  <si>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</si>
  <si>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</si>
  <si>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</si>
  <si>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</si>
  <si>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</si>
  <si>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</si>
  <si>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</si>
  <si>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</si>
  <si>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</si>
  <si>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</si>
  <si>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</si>
  <si>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</si>
  <si>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</si>
  <si>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</si>
  <si>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</si>
  <si>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</si>
  <si>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</si>
  <si>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</si>
  <si>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</si>
  <si>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</si>
  <si>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</si>
  <si>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</si>
  <si>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</si>
  <si>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</si>
  <si>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</si>
  <si>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</si>
  <si>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</si>
  <si>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</si>
  <si>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</si>
  <si>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</si>
  <si>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</si>
  <si>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</si>
  <si>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</si>
  <si>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</si>
  <si>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</si>
  <si>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</si>
  <si>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</si>
  <si>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</si>
  <si>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</si>
  <si>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</si>
  <si>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</si>
  <si>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</si>
  <si>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</si>
  <si>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</si>
  <si>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</si>
  <si>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</si>
  <si>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</si>
  <si>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</si>
  <si>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</si>
  <si>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</si>
  <si>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</si>
  <si>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</si>
  <si>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</si>
  <si>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</si>
  <si>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</si>
  <si>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</si>
  <si>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</si>
  <si>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</si>
  <si>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</si>
  <si>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</si>
  <si>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</si>
  <si>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</si>
  <si>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</si>
  <si>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</si>
  <si>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</si>
  <si>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</si>
  <si>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</si>
  <si>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</si>
  <si>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</si>
  <si>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</si>
  <si>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</si>
  <si>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</si>
  <si>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</si>
  <si>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</si>
  <si>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</si>
  <si>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</si>
  <si>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</si>
  <si>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</si>
  <si>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</si>
  <si>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</si>
  <si>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</si>
  <si>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</si>
  <si>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</si>
  <si>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</si>
  <si>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</si>
  <si>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</si>
  <si>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</si>
  <si>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</si>
  <si>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</si>
  <si>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</si>
  <si>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</si>
  <si>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</si>
  <si>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</si>
  <si>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</si>
  <si>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</si>
  <si>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</si>
  <si>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</si>
  <si>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</si>
  <si>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</si>
  <si>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</si>
  <si>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</si>
  <si>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</si>
  <si>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</si>
  <si>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</si>
  <si>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</si>
  <si>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</si>
  <si>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</si>
  <si>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</si>
  <si>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</si>
  <si>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</si>
  <si>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</si>
  <si>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</si>
  <si>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</si>
  <si>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</si>
  <si>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</si>
  <si>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</si>
  <si>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</si>
  <si>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</si>
  <si>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</si>
  <si>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</si>
  <si>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</si>
  <si>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</si>
  <si>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</si>
  <si>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</si>
  <si>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</si>
  <si>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</si>
  <si>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</si>
  <si>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</si>
  <si>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</si>
  <si>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</si>
  <si>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</si>
  <si>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</si>
  <si>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</si>
  <si>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</si>
  <si>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</si>
  <si>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</si>
  <si>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</si>
  <si>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</si>
  <si>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</si>
  <si>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</si>
  <si>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</si>
  <si>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</si>
  <si>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</si>
  <si>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</si>
  <si>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</si>
  <si>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</si>
  <si>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</si>
  <si>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</si>
  <si>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</si>
  <si>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</si>
  <si>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</si>
  <si>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</si>
  <si>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</si>
  <si>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</si>
  <si>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</si>
  <si>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</si>
  <si>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</si>
  <si>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</si>
  <si>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</si>
  <si>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</si>
  <si>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</si>
  <si>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</si>
  <si>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</si>
  <si>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</si>
  <si>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</si>
  <si>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</si>
  <si>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</si>
  <si>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</si>
  <si>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</si>
  <si>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</si>
  <si>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</si>
  <si>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</si>
  <si>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</si>
  <si>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</si>
  <si>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</si>
  <si>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</si>
  <si>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</si>
  <si>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</si>
  <si>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</si>
  <si>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</si>
  <si>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</si>
  <si>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</si>
  <si>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</si>
  <si>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</si>
  <si>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</si>
  <si>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</si>
  <si>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</si>
  <si>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</si>
  <si>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</si>
  <si>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</si>
  <si>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</si>
  <si>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</si>
  <si>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</si>
  <si>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</si>
  <si>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</si>
  <si>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</si>
  <si>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</si>
  <si>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</si>
  <si>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</si>
  <si>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</si>
  <si>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</si>
  <si>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</si>
  <si>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</si>
  <si>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</si>
  <si>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</si>
  <si>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</si>
  <si>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</si>
  <si>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</si>
  <si>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</si>
  <si>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</si>
  <si>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</si>
  <si>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</si>
  <si>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</si>
  <si>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</si>
  <si>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</si>
  <si>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</si>
  <si>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</si>
  <si>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</si>
  <si>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</si>
  <si>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</si>
  <si>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</si>
  <si>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</si>
  <si>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</si>
  <si>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</si>
  <si>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</si>
  <si>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</si>
  <si>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</si>
  <si>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</si>
  <si>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</si>
  <si>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</si>
  <si>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</si>
  <si>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</si>
  <si>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</si>
  <si>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</si>
  <si>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</si>
  <si>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</si>
  <si>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</si>
  <si>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</si>
  <si>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</si>
  <si>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</si>
  <si>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</si>
  <si>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</si>
  <si>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</si>
  <si>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</si>
  <si>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</si>
  <si>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</si>
  <si>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</si>
  <si>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</si>
  <si>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</si>
  <si>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</si>
  <si>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</si>
  <si>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</si>
  <si>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</si>
  <si>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</si>
  <si>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</si>
  <si>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</si>
  <si>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</si>
  <si>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</si>
  <si>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</si>
  <si>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</si>
  <si>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</si>
  <si>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</si>
  <si>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</si>
  <si>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</si>
  <si>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</si>
  <si>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</si>
  <si>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</si>
  <si>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</si>
  <si>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</si>
  <si>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</si>
  <si>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</si>
  <si>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</si>
  <si>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</si>
  <si>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</si>
  <si>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</si>
  <si>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</si>
  <si>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</si>
  <si>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</si>
  <si>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</si>
  <si>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</si>
  <si>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</si>
  <si>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</si>
  <si>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</si>
  <si>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</si>
  <si>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</si>
  <si>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</si>
  <si>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</si>
  <si>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</si>
  <si>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</si>
  <si>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</si>
  <si>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</si>
  <si>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</si>
  <si>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</si>
  <si>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</si>
  <si>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</si>
  <si>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</si>
  <si>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</si>
  <si>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</si>
  <si>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</si>
  <si>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</si>
  <si>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</si>
  <si>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</si>
  <si>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</si>
  <si>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</si>
  <si>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</si>
  <si>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</si>
  <si>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</si>
  <si>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</si>
  <si>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</si>
  <si>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</si>
  <si>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</si>
  <si>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</si>
  <si>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</si>
  <si>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</si>
  <si>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</si>
  <si>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</si>
  <si>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</si>
  <si>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</si>
  <si>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</si>
  <si>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</si>
  <si>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</si>
  <si>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</si>
  <si>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</si>
  <si>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</si>
  <si>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</si>
  <si>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</si>
  <si>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</si>
  <si>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</si>
  <si>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</si>
  <si>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</si>
  <si>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</si>
  <si>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</si>
  <si>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</si>
  <si>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</si>
  <si>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</si>
  <si>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</si>
  <si>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</si>
  <si>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</si>
  <si>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</si>
  <si>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</si>
  <si>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</si>
  <si>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</si>
  <si>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</si>
  <si>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</si>
  <si>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</si>
  <si>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</si>
  <si>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</si>
  <si>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</si>
  <si>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</si>
  <si>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</si>
  <si>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</si>
  <si>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</si>
  <si>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</si>
  <si>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</si>
  <si>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</si>
  <si>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</si>
  <si>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</si>
  <si>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</si>
  <si>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</si>
  <si>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</si>
  <si>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</si>
  <si>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</si>
  <si>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</si>
  <si>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</si>
  <si>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</si>
  <si>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</si>
  <si>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</si>
  <si>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</si>
  <si>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</si>
  <si>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</si>
  <si>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</si>
  <si>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</si>
  <si>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</si>
  <si>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</si>
  <si>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</si>
  <si>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</si>
  <si>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</si>
  <si>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</si>
  <si>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</si>
  <si>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</si>
  <si>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</si>
  <si>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</si>
  <si>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</si>
  <si>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</si>
  <si>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</si>
  <si>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</si>
  <si>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</si>
  <si>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</si>
  <si>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</si>
  <si>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</si>
  <si>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</si>
  <si>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</si>
  <si>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</si>
  <si>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</si>
  <si>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</si>
  <si>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</si>
  <si>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</si>
  <si>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</si>
  <si>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</si>
  <si>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</si>
  <si>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</si>
  <si>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</si>
  <si>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</si>
  <si>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</si>
  <si>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</si>
  <si>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</si>
  <si>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</si>
  <si>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</si>
  <si>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</si>
  <si>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</si>
  <si>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</si>
  <si>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</si>
  <si>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</si>
  <si>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</si>
  <si>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</si>
  <si>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</si>
  <si>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</si>
  <si>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</si>
  <si>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</si>
  <si>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</si>
  <si>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</si>
  <si>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</si>
  <si>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</si>
  <si>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</si>
  <si>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</si>
  <si>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</si>
  <si>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</si>
  <si>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</si>
  <si>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</si>
  <si>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</si>
  <si>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</si>
  <si>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</si>
  <si>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</si>
  <si>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</si>
  <si>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</si>
  <si>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</si>
  <si>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</si>
  <si>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</si>
  <si>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</si>
  <si>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</si>
  <si>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</si>
  <si>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</si>
  <si>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</si>
  <si>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</si>
  <si>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</si>
  <si>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</si>
  <si>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</si>
  <si>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</si>
  <si>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</si>
  <si>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</si>
  <si>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</si>
  <si>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</si>
  <si>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</si>
  <si>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</si>
  <si>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</si>
  <si>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</si>
  <si>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</si>
  <si>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</si>
  <si>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</si>
  <si>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</si>
  <si>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</si>
  <si>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</si>
  <si>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</si>
  <si>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</si>
  <si>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</si>
  <si>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</si>
  <si>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</si>
  <si>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</si>
  <si>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</si>
  <si>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</si>
  <si>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</si>
  <si>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</si>
  <si>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</si>
  <si>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</si>
  <si>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</si>
  <si>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</si>
  <si>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</si>
  <si>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</si>
  <si>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</si>
  <si>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</si>
  <si>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</si>
  <si>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</si>
  <si>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</si>
  <si>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</si>
  <si>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</si>
  <si>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</si>
  <si>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</si>
  <si>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</si>
  <si>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</si>
  <si>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</si>
  <si>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</si>
  <si>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</si>
  <si>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</si>
  <si>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</si>
  <si>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</si>
  <si>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</si>
  <si>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</si>
  <si>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</si>
  <si>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</si>
  <si>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</si>
  <si>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</si>
  <si>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</si>
  <si>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</si>
  <si>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</si>
  <si>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</si>
  <si>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</si>
  <si>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</si>
  <si>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</si>
  <si>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</si>
  <si>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</si>
  <si>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</si>
  <si>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</si>
  <si>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</si>
  <si>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</si>
  <si>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</si>
  <si>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</si>
  <si>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</si>
  <si>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</si>
  <si>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</si>
  <si>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</si>
  <si>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</si>
  <si>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</si>
  <si>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</si>
  <si>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</si>
  <si>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</si>
  <si>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</si>
  <si>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</si>
  <si>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</si>
  <si>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</si>
  <si>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</si>
  <si>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</si>
  <si>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</si>
  <si>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</si>
  <si>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</si>
  <si>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</si>
  <si>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</si>
  <si>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</si>
  <si>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</si>
  <si>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</si>
  <si>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</si>
  <si>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</si>
  <si>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</si>
  <si>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</si>
  <si>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</si>
  <si>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</si>
  <si>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</si>
  <si>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</si>
  <si>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</si>
  <si>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</si>
  <si>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</si>
  <si>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</si>
  <si>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</si>
  <si>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</si>
  <si>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</si>
  <si>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</si>
  <si>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</si>
  <si>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</si>
  <si>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</si>
  <si>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</si>
  <si>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</si>
  <si>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</si>
  <si>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</si>
  <si>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</si>
  <si>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</si>
  <si>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</si>
  <si>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</si>
  <si>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</si>
  <si>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</si>
  <si>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</si>
  <si>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</si>
  <si>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</si>
  <si>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</si>
  <si>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</si>
  <si>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</si>
  <si>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</si>
  <si>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</si>
  <si>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</si>
  <si>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</si>
  <si>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</si>
  <si>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</si>
  <si>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</si>
  <si>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</si>
  <si>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</si>
  <si>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</si>
  <si>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</si>
  <si>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</si>
  <si>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</si>
  <si>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</si>
  <si>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</si>
  <si>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</si>
  <si>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</si>
  <si>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</si>
  <si>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</si>
  <si>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</si>
  <si>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</si>
  <si>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</si>
  <si>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</si>
  <si>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</si>
  <si>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</si>
  <si>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</si>
  <si>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</si>
  <si>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</si>
  <si>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</si>
  <si>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</si>
  <si>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</si>
  <si>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</si>
  <si>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</si>
  <si>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</si>
  <si>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</si>
  <si>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</si>
  <si>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</si>
  <si>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</si>
  <si>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</si>
  <si>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</si>
  <si>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</si>
  <si>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</si>
  <si>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</si>
  <si>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</si>
  <si>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</si>
  <si>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</si>
  <si>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</si>
  <si>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</si>
  <si>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</si>
  <si>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</si>
  <si>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</si>
  <si>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</si>
  <si>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</si>
  <si>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</si>
  <si>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</si>
  <si>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</si>
  <si>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</si>
  <si>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</si>
  <si>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</si>
  <si>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</si>
  <si>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</si>
  <si>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</si>
  <si>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</si>
  <si>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</si>
  <si>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</si>
  <si>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</si>
  <si>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</si>
  <si>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</si>
  <si>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</si>
  <si>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</si>
  <si>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</si>
  <si>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</si>
  <si>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</si>
  <si>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</si>
  <si>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</si>
  <si>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</si>
  <si>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</si>
  <si>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</si>
  <si>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</si>
  <si>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</si>
  <si>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</si>
  <si>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</si>
  <si>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</si>
  <si>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</si>
  <si>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</si>
  <si>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</si>
  <si>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</si>
  <si>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</si>
  <si>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</si>
  <si>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</si>
  <si>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</si>
  <si>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</si>
  <si>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</si>
  <si>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</si>
  <si>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</si>
  <si>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</si>
  <si>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</si>
  <si>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</si>
  <si>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</si>
  <si>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</si>
  <si>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</si>
  <si>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</si>
  <si>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</si>
  <si>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</si>
  <si>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</si>
  <si>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</si>
  <si>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</si>
  <si>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</si>
  <si>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</si>
  <si>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</si>
  <si>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</si>
  <si>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</si>
  <si>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</si>
  <si>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</si>
  <si>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</si>
  <si>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</si>
  <si>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</si>
  <si>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</si>
  <si>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</si>
  <si>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</si>
  <si>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</si>
  <si>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</si>
  <si>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</si>
  <si>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</si>
  <si>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</si>
  <si>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</si>
  <si>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</si>
  <si>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</si>
  <si>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</si>
  <si>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</si>
  <si>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</si>
  <si>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</si>
  <si>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</si>
  <si>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</si>
  <si>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</si>
  <si>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</si>
  <si>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</si>
  <si>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</si>
  <si>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</si>
  <si>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</si>
  <si>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</si>
  <si>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</si>
  <si>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</si>
  <si>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</si>
  <si>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</si>
  <si>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</si>
  <si>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</si>
  <si>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</si>
  <si>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</si>
  <si>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</si>
  <si>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</si>
  <si>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</si>
  <si>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</si>
  <si>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</si>
  <si>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</si>
  <si>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</si>
  <si>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</si>
  <si>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</si>
  <si>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</si>
  <si>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</si>
  <si>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</si>
  <si>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</si>
  <si>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</si>
  <si>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</si>
  <si>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</si>
  <si>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</si>
  <si>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</si>
  <si>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</si>
  <si>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</si>
  <si>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</si>
  <si>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</si>
  <si>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</si>
  <si>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</si>
  <si>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</si>
  <si>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</si>
  <si>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</si>
  <si>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</si>
  <si>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</si>
  <si>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</si>
  <si>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</si>
  <si>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</si>
  <si>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</si>
  <si>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</si>
  <si>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</si>
  <si>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</si>
  <si>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</si>
  <si>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</si>
  <si>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</si>
  <si>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</si>
  <si>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</si>
  <si>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</si>
  <si>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</si>
  <si>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</si>
  <si>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</si>
  <si>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</si>
  <si>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</si>
  <si>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</si>
  <si>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</si>
  <si>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</si>
  <si>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</si>
  <si>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</si>
  <si>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</si>
  <si>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</si>
  <si>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</si>
  <si>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</si>
  <si>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</si>
  <si>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</si>
  <si>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</si>
  <si>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</si>
  <si>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</si>
  <si>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</si>
  <si>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</si>
  <si>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</si>
  <si>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</si>
  <si>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</si>
  <si>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</si>
  <si>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</si>
  <si>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</si>
  <si>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</si>
  <si>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</si>
  <si>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</si>
  <si>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</si>
  <si>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</si>
  <si>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</si>
  <si>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</si>
  <si>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</si>
  <si>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</si>
  <si>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</si>
  <si>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</si>
  <si>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</si>
  <si>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</si>
  <si>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</si>
  <si>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</si>
  <si>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</si>
  <si>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</si>
  <si>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</si>
  <si>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</si>
  <si>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</si>
  <si>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</si>
  <si>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</si>
  <si>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</si>
  <si>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</si>
  <si>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</si>
  <si>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</si>
  <si>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</si>
  <si>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</si>
  <si>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</si>
  <si>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</si>
  <si>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</si>
  <si>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</si>
  <si>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</si>
  <si>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</si>
  <si>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</si>
  <si>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</si>
  <si>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</si>
  <si>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</si>
  <si>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</si>
  <si>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</si>
  <si>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</si>
  <si>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</si>
  <si>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</si>
  <si>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</si>
  <si>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</si>
  <si>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</si>
  <si>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</si>
  <si>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</si>
  <si>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</si>
  <si>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</si>
  <si>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</si>
  <si>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</si>
  <si>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</si>
  <si>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</si>
  <si>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</si>
  <si>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</si>
  <si>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</si>
  <si>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</si>
  <si>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</si>
  <si>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</si>
  <si>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</si>
  <si>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</si>
  <si>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</si>
  <si>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</si>
  <si>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</si>
  <si>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</si>
  <si>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</si>
  <si>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</si>
  <si>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</si>
  <si>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</si>
  <si>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</si>
  <si>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</si>
  <si>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</si>
  <si>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</si>
  <si>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</si>
  <si>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</si>
  <si>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</si>
  <si>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</si>
  <si>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</si>
  <si>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</si>
  <si>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</si>
  <si>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</si>
  <si>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</si>
  <si>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</si>
  <si>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</si>
  <si>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</si>
  <si>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</si>
  <si>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</si>
  <si>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</si>
  <si>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</si>
  <si>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</si>
  <si>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</si>
  <si>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</si>
  <si>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</si>
  <si>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</si>
  <si>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</si>
  <si>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</si>
  <si>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</si>
  <si>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</si>
  <si>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</si>
  <si>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</si>
  <si>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</si>
  <si>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</si>
  <si>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</si>
  <si>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</si>
  <si>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</si>
  <si>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</si>
  <si>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</si>
  <si>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</si>
  <si>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</si>
  <si>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</si>
  <si>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</si>
  <si>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</si>
  <si>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</si>
  <si>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</si>
  <si>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</si>
  <si>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</si>
  <si>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</si>
  <si>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</si>
  <si>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</si>
  <si>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</si>
  <si>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</si>
  <si>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</si>
  <si>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</si>
  <si>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</si>
  <si>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</si>
  <si>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</si>
  <si>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</si>
  <si>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</si>
  <si>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</si>
  <si>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</si>
  <si>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</si>
  <si>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</si>
  <si>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</si>
  <si>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</si>
  <si>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</si>
  <si>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</si>
  <si>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</si>
  <si>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</si>
  <si>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</si>
  <si>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</si>
  <si>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</si>
  <si>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</si>
  <si>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</si>
  <si>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</si>
  <si>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</si>
  <si>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</si>
  <si>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</si>
  <si>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</si>
  <si>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</si>
  <si>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</si>
  <si>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</si>
  <si>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</si>
  <si>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</si>
  <si>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</si>
  <si>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</si>
  <si>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</si>
  <si>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</si>
  <si>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</si>
  <si>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</si>
  <si>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</si>
  <si>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</si>
  <si>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</si>
  <si>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</si>
  <si>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</si>
  <si>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</si>
  <si>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</si>
  <si>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</si>
  <si>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</si>
  <si>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</si>
  <si>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</si>
  <si>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</si>
  <si>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</si>
  <si>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</si>
  <si>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</si>
  <si>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</si>
  <si>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</si>
  <si>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</si>
  <si>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</si>
  <si>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</si>
  <si>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</si>
  <si>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</si>
  <si>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</si>
  <si>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</si>
  <si>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</si>
  <si>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</si>
  <si>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</si>
  <si>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</si>
  <si>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</si>
  <si>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</si>
  <si>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</si>
  <si>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</si>
  <si>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</si>
  <si>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</si>
  <si>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</si>
  <si>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</si>
  <si>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</si>
  <si>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</si>
  <si>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</si>
  <si>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</si>
  <si>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</si>
  <si>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</si>
  <si>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</si>
  <si>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</si>
  <si>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</si>
  <si>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</si>
  <si>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</si>
  <si>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</si>
  <si>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</si>
  <si>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</si>
  <si>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</si>
  <si>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</si>
  <si>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</si>
  <si>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</si>
  <si>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</si>
  <si>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</si>
  <si>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</si>
  <si>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</si>
  <si>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</si>
  <si>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</si>
  <si>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</si>
  <si>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</si>
  <si>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</si>
  <si>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</si>
  <si>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</si>
  <si>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</si>
  <si>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</si>
  <si>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</si>
  <si>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</si>
  <si>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</si>
  <si>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</si>
  <si>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</si>
  <si>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</si>
  <si>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</si>
  <si>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</si>
  <si>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</si>
  <si>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</si>
  <si>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</si>
  <si>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</si>
  <si>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</si>
  <si>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</si>
  <si>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</si>
  <si>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</si>
  <si>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</si>
  <si>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</si>
  <si>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</si>
  <si>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</si>
  <si>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</si>
  <si>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</si>
  <si>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</si>
  <si>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</si>
  <si>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</si>
  <si>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</si>
  <si>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</si>
  <si>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</si>
  <si>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</si>
  <si>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</si>
  <si>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</si>
  <si>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</si>
  <si>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</si>
  <si>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</si>
  <si>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</si>
  <si>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</si>
  <si>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</si>
  <si>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</si>
  <si>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</si>
  <si>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</si>
  <si>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</si>
  <si>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</si>
  <si>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</si>
  <si>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</si>
  <si>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</si>
  <si>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</si>
  <si>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</si>
  <si>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</si>
  <si>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</si>
  <si>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</si>
  <si>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</si>
  <si>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</si>
  <si>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</si>
  <si>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</si>
  <si>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</si>
  <si>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</si>
  <si>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</si>
  <si>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</si>
  <si>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</si>
  <si>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</si>
  <si>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</si>
  <si>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</si>
  <si>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</si>
  <si>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</si>
  <si>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</si>
  <si>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</si>
  <si>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</si>
  <si>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</si>
  <si>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</si>
  <si>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</si>
  <si>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</si>
  <si>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</si>
  <si>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</si>
  <si>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</si>
  <si>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</si>
  <si>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</si>
  <si>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</si>
  <si>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</si>
  <si>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</si>
  <si>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</si>
  <si>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</si>
  <si>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</si>
  <si>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</si>
  <si>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</si>
  <si>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</si>
  <si>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</si>
  <si>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</si>
  <si>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</si>
  <si>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</si>
  <si>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</si>
  <si>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</si>
  <si>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</si>
  <si>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</si>
  <si>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</si>
  <si>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</si>
  <si>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</si>
  <si>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</si>
  <si>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</si>
  <si>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</si>
  <si>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</si>
  <si>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</si>
  <si>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</si>
  <si>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</si>
  <si>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</si>
  <si>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</si>
  <si>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</si>
  <si>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</si>
  <si>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</si>
  <si>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</si>
  <si>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</si>
  <si>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</si>
  <si>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</si>
  <si>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</si>
  <si>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</si>
  <si>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</si>
  <si>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</si>
  <si>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</si>
  <si>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</si>
  <si>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</si>
  <si>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</si>
  <si>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</si>
  <si>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</si>
  <si>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</si>
  <si>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</si>
  <si>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</si>
  <si>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</si>
  <si>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</si>
  <si>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</si>
  <si>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</si>
  <si>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</si>
  <si>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</si>
  <si>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</si>
  <si>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</si>
  <si>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</si>
  <si>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</si>
  <si>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</si>
  <si>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</si>
  <si>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</si>
  <si>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</si>
  <si>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</si>
  <si>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</si>
  <si>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</si>
  <si>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</si>
  <si>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</si>
  <si>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</si>
  <si>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</si>
  <si>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</si>
  <si>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</si>
  <si>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</si>
  <si>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</si>
  <si>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</si>
  <si>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</si>
  <si>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</si>
  <si>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</si>
  <si>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</si>
  <si>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</si>
  <si>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</si>
  <si>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</si>
  <si>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</si>
  <si>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</si>
  <si>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</si>
  <si>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</si>
  <si>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</si>
  <si>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</si>
  <si>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</si>
  <si>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</si>
  <si>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</si>
  <si>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</si>
  <si>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</si>
  <si>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</si>
  <si>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</si>
  <si>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</si>
  <si>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</si>
  <si>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</si>
  <si>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</si>
  <si>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</si>
  <si>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</si>
  <si>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</si>
  <si>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</si>
  <si>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</si>
  <si>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</si>
  <si>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</si>
  <si>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</si>
  <si>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</si>
  <si>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</si>
  <si>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</si>
  <si>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</si>
  <si>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</si>
  <si>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</si>
  <si>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</si>
  <si>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</si>
  <si>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</si>
  <si>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</si>
  <si>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</si>
  <si>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</si>
  <si>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</si>
  <si>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</si>
  <si>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</si>
  <si>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</si>
  <si>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</si>
  <si>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</si>
  <si>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</si>
  <si>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</si>
  <si>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</si>
  <si>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</si>
  <si>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</si>
  <si>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</si>
  <si>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</si>
  <si>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</si>
  <si>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</si>
  <si>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</si>
  <si>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</si>
  <si>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</si>
  <si>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</si>
  <si>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</si>
  <si>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</si>
  <si>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</si>
  <si>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</si>
  <si>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</si>
  <si>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</si>
  <si>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</si>
  <si>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</si>
  <si>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</si>
  <si>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</si>
  <si>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</si>
  <si>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</si>
  <si>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</si>
  <si>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</si>
  <si>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</si>
  <si>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</si>
  <si>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</si>
  <si>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</si>
  <si>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</si>
  <si>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</si>
  <si>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</si>
  <si>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</si>
  <si>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</si>
  <si>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</si>
  <si>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</si>
  <si>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</si>
  <si>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</si>
  <si>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</si>
  <si>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</si>
  <si>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</si>
  <si>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</si>
  <si>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</si>
  <si>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</si>
  <si>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</si>
  <si>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</si>
  <si>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</si>
  <si>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</si>
  <si>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</si>
  <si>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</si>
  <si>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</si>
  <si>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</si>
  <si>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</si>
  <si>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</si>
  <si>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</si>
  <si>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</si>
  <si>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</si>
  <si>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</si>
  <si>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</si>
  <si>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</si>
  <si>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</si>
  <si>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</si>
  <si>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</si>
  <si>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</si>
  <si>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</si>
  <si>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</si>
  <si>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</si>
  <si>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</si>
  <si>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</si>
  <si>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</si>
  <si>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</si>
  <si>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</si>
  <si>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</si>
  <si>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</si>
  <si>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</si>
  <si>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</si>
  <si>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</si>
  <si>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</si>
  <si>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</si>
  <si>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</si>
  <si>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</si>
  <si>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</si>
  <si>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</si>
  <si>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</si>
  <si>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</si>
  <si>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</si>
  <si>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</si>
  <si>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</si>
  <si>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</si>
  <si>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</si>
  <si>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</si>
  <si>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</si>
  <si>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</si>
  <si>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</si>
  <si>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</si>
  <si>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</si>
  <si>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</si>
  <si>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</si>
  <si>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</si>
  <si>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</si>
  <si>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</si>
  <si>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</si>
  <si>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</si>
  <si>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</si>
  <si>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</si>
  <si>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</si>
  <si>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</si>
  <si>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</si>
  <si>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</si>
  <si>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</si>
  <si>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</si>
  <si>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</si>
  <si>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</si>
  <si>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</si>
  <si>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</si>
  <si>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</si>
  <si>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</si>
  <si>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</si>
  <si>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</si>
  <si>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</si>
  <si>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</si>
  <si>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</si>
  <si>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</si>
  <si>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</si>
  <si>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</si>
  <si>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</si>
  <si>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</si>
  <si>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</si>
  <si>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</si>
  <si>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</si>
  <si>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</si>
  <si>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</si>
  <si>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</si>
  <si>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</si>
  <si>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</si>
  <si>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</si>
  <si>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</si>
  <si>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</si>
  <si>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</si>
  <si>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</si>
  <si>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</si>
  <si>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</si>
  <si>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</si>
  <si>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</si>
  <si>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</si>
  <si>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</si>
  <si>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</si>
  <si>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</si>
  <si>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</si>
  <si>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</si>
  <si>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</si>
  <si>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</si>
  <si>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</si>
  <si>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</si>
  <si>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</si>
  <si>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</si>
  <si>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</si>
  <si>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</si>
  <si>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</si>
  <si>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</si>
  <si>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</si>
  <si>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</si>
  <si>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</si>
  <si>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</si>
  <si>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</si>
  <si>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</si>
  <si>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</si>
  <si>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</si>
  <si>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</si>
  <si>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</si>
  <si>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</si>
  <si>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</si>
  <si>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</si>
  <si>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</si>
  <si>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</si>
  <si>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</si>
  <si>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</si>
  <si>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</si>
  <si>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</si>
  <si>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</si>
  <si>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</si>
  <si>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</si>
  <si>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</si>
  <si>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</si>
  <si>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</si>
  <si>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</si>
  <si>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</si>
  <si>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</si>
  <si>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</si>
  <si>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</si>
  <si>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</si>
  <si>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</si>
  <si>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</si>
  <si>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</si>
  <si>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</si>
  <si>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</si>
  <si>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</si>
  <si>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</si>
  <si>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</si>
  <si>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</si>
  <si>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</si>
  <si>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</si>
  <si>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</si>
  <si>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</si>
  <si>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</si>
  <si>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</si>
  <si>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</si>
  <si>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</si>
  <si>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</si>
  <si>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</si>
  <si>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</si>
  <si>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</si>
  <si>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</si>
  <si>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</si>
  <si>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</si>
  <si>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</si>
  <si>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</si>
  <si>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</si>
  <si>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</si>
  <si>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</si>
  <si>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</si>
  <si>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</si>
  <si>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</si>
  <si>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</si>
  <si>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</si>
  <si>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</si>
  <si>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</si>
  <si>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</si>
  <si>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</si>
  <si>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</si>
  <si>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</si>
  <si>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</si>
  <si>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</si>
  <si>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已包含在土地取得成本中</t>
  </si>
  <si>
    <t>连板</t>
    <phoneticPr fontId="24" type="noConversion"/>
  </si>
  <si>
    <t>塔楼</t>
    <phoneticPr fontId="24" type="noConversion"/>
  </si>
  <si>
    <t>六通</t>
    <phoneticPr fontId="24" type="noConversion"/>
  </si>
  <si>
    <t>塔楼</t>
  </si>
  <si>
    <t>评估日期</t>
  </si>
  <si>
    <t>贷款机构</t>
  </si>
  <si>
    <t>姓名</t>
  </si>
  <si>
    <t>身份证号</t>
  </si>
  <si>
    <t>联系电话</t>
  </si>
  <si>
    <t>所在区县</t>
  </si>
  <si>
    <t>开发商(产权人)</t>
  </si>
  <si>
    <t>面积M2</t>
  </si>
  <si>
    <t>评估总额</t>
  </si>
  <si>
    <t>评估总额(万元)</t>
  </si>
  <si>
    <t>风险率</t>
  </si>
  <si>
    <t>最高抵押额</t>
  </si>
  <si>
    <t>大写</t>
  </si>
  <si>
    <t>收费</t>
  </si>
  <si>
    <t>工行</t>
  </si>
  <si>
    <t>评估人</t>
  </si>
  <si>
    <t>工程进度</t>
  </si>
  <si>
    <t>结论</t>
  </si>
  <si>
    <t>备注</t>
  </si>
  <si>
    <t>丰台区</t>
  </si>
  <si>
    <t>苏海</t>
  </si>
  <si>
    <t>可抵押商品住宅</t>
  </si>
  <si>
    <t>二</t>
  </si>
  <si>
    <t>裴蓓</t>
  </si>
  <si>
    <t>新增</t>
  </si>
  <si>
    <t>合同</t>
  </si>
  <si>
    <t xml:space="preserve"> </t>
  </si>
  <si>
    <t>预售</t>
  </si>
  <si>
    <t>结构施工</t>
  </si>
  <si>
    <t>三</t>
  </si>
  <si>
    <t>复式、平层√、跃层、错层</t>
  </si>
  <si>
    <t>现房</t>
  </si>
  <si>
    <t>二手房</t>
  </si>
  <si>
    <t>正常交易</t>
  </si>
  <si>
    <t>现房</t>
    <phoneticPr fontId="3" type="noConversion"/>
  </si>
  <si>
    <t>预售</t>
    <phoneticPr fontId="24" type="noConversion"/>
  </si>
  <si>
    <t>朝向</t>
  </si>
  <si>
    <t>七通</t>
  </si>
  <si>
    <t>毛坯</t>
  </si>
  <si>
    <t>毛坯</t>
    <phoneticPr fontId="24" type="noConversion"/>
  </si>
  <si>
    <t>销售形式</t>
    <phoneticPr fontId="24" type="noConversion"/>
  </si>
  <si>
    <t>建国街一里</t>
    <phoneticPr fontId="24" type="noConversion"/>
  </si>
  <si>
    <t>简单装修</t>
  </si>
  <si>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</si>
  <si>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</si>
  <si>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</si>
  <si>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</si>
  <si>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</si>
  <si>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</si>
  <si>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</si>
  <si>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</si>
  <si>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</si>
  <si>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</si>
  <si>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</si>
  <si>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</si>
  <si>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</si>
  <si>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</si>
  <si>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</si>
  <si>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</si>
  <si>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</si>
  <si>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</si>
  <si>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</si>
  <si>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</si>
  <si>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</si>
  <si>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</si>
  <si>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</si>
  <si>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</si>
  <si>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</si>
  <si>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</si>
  <si>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</si>
  <si>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</si>
  <si>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</si>
  <si>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</si>
  <si>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</si>
  <si>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</si>
  <si>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</si>
  <si>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</si>
  <si>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</si>
  <si>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</si>
  <si>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</si>
  <si>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</si>
  <si>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</si>
  <si>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</si>
  <si>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</si>
  <si>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</si>
  <si>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</si>
  <si>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</si>
  <si>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</si>
  <si>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</si>
  <si>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</si>
  <si>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</si>
  <si>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</si>
  <si>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</si>
  <si>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</si>
  <si>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</si>
  <si>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</si>
  <si>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</si>
  <si>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</si>
  <si>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</si>
  <si>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</si>
  <si>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2006-22-P-00426</t>
  </si>
  <si>
    <t>赵越</t>
  </si>
  <si>
    <t>612627197511260059</t>
  </si>
  <si>
    <t>13661199286、68388424-801</t>
  </si>
  <si>
    <t>花乡四合庄怡海花园A组团六期A区A1住宅楼等4项</t>
  </si>
  <si>
    <t>A2楼</t>
  </si>
  <si>
    <t>1801号</t>
  </si>
  <si>
    <t>北京怡海花园房地产开发有限公司</t>
  </si>
  <si>
    <t>18</t>
  </si>
  <si>
    <t>一室一厅一卫一厨</t>
  </si>
  <si>
    <t>北京住房公积金管理中心宣武第二管理部</t>
  </si>
  <si>
    <t>李晓岩</t>
  </si>
  <si>
    <t>一</t>
  </si>
  <si>
    <t>Y</t>
  </si>
  <si>
    <t>张颖</t>
  </si>
  <si>
    <t>2006-22-P-00428</t>
  </si>
  <si>
    <t>孙吉良、衣红玲</t>
  </si>
  <si>
    <t>120105196305173933、110108196607131429</t>
  </si>
  <si>
    <t>鸿业兴园</t>
  </si>
  <si>
    <t>5号楼</t>
  </si>
  <si>
    <t>3单元</t>
  </si>
  <si>
    <t>0702号</t>
  </si>
  <si>
    <t>北京鸿基世业房地产开发有限公司</t>
  </si>
  <si>
    <t>三室二厅二卫一厨</t>
  </si>
  <si>
    <t>144543</t>
  </si>
  <si>
    <t>吴铭</t>
  </si>
  <si>
    <t>2006-22-P-00620</t>
  </si>
  <si>
    <t>田书华</t>
  </si>
  <si>
    <t>110224195610015016</t>
  </si>
  <si>
    <t>13691352357</t>
  </si>
  <si>
    <t>4号楼</t>
  </si>
  <si>
    <t>7层</t>
  </si>
  <si>
    <t>0704号</t>
  </si>
  <si>
    <t>二室一厅一卫一厨</t>
  </si>
  <si>
    <t>176402</t>
  </si>
  <si>
    <t>2006-22-P-01047</t>
    <phoneticPr fontId="3" type="noConversion"/>
  </si>
  <si>
    <t>吴春波</t>
    <phoneticPr fontId="3" type="noConversion"/>
  </si>
  <si>
    <t>210621197409172816</t>
    <phoneticPr fontId="3" type="noConversion"/>
  </si>
  <si>
    <t>7号楼</t>
    <phoneticPr fontId="3" type="noConversion"/>
  </si>
  <si>
    <t>6层1单元</t>
    <phoneticPr fontId="3" type="noConversion"/>
  </si>
  <si>
    <t>0602号</t>
    <phoneticPr fontId="3" type="noConversion"/>
  </si>
  <si>
    <t>二室一厅一卫一厨</t>
    <phoneticPr fontId="3" type="noConversion"/>
  </si>
  <si>
    <t>一</t>
    <phoneticPr fontId="3" type="noConversion"/>
  </si>
  <si>
    <t>三</t>
    <phoneticPr fontId="3" type="noConversion"/>
  </si>
  <si>
    <t>181000</t>
    <phoneticPr fontId="3" type="noConversion"/>
  </si>
  <si>
    <t>周婷婷</t>
    <phoneticPr fontId="3" type="noConversion"/>
  </si>
  <si>
    <t>2006-22-P-01048</t>
    <phoneticPr fontId="3" type="noConversion"/>
  </si>
  <si>
    <t>唐薇</t>
    <phoneticPr fontId="3" type="noConversion"/>
  </si>
  <si>
    <t>222327197302220043</t>
    <phoneticPr fontId="3" type="noConversion"/>
  </si>
  <si>
    <t>0603号</t>
    <phoneticPr fontId="3" type="noConversion"/>
  </si>
  <si>
    <t>二室二厅二卫一厨</t>
    <phoneticPr fontId="3" type="noConversion"/>
  </si>
  <si>
    <t>180502</t>
    <phoneticPr fontId="3" type="noConversion"/>
  </si>
  <si>
    <t>2006-22-P-01415</t>
    <phoneticPr fontId="3" type="noConversion"/>
  </si>
  <si>
    <t>王晓波</t>
    <phoneticPr fontId="3" type="noConversion"/>
  </si>
  <si>
    <t>110228198009150064</t>
    <phoneticPr fontId="3" type="noConversion"/>
  </si>
  <si>
    <t>13911834388</t>
    <phoneticPr fontId="3" type="noConversion"/>
  </si>
  <si>
    <t>丰台区</t>
    <phoneticPr fontId="3" type="noConversion"/>
  </si>
  <si>
    <t>鸿业兴园</t>
    <phoneticPr fontId="3" type="noConversion"/>
  </si>
  <si>
    <t>1号楼</t>
    <phoneticPr fontId="3" type="noConversion"/>
  </si>
  <si>
    <t>第15层</t>
    <phoneticPr fontId="3" type="noConversion"/>
  </si>
  <si>
    <t>1504号</t>
    <phoneticPr fontId="3" type="noConversion"/>
  </si>
  <si>
    <t>北京鸿基世业房地产开发有限公司</t>
    <phoneticPr fontId="3" type="noConversion"/>
  </si>
  <si>
    <t>二室二厅一卫一厨</t>
    <phoneticPr fontId="3" type="noConversion"/>
  </si>
  <si>
    <t>北京住房公积金管理中心宣武第二管理部</t>
    <phoneticPr fontId="3" type="noConversion"/>
  </si>
  <si>
    <t>封顶</t>
    <phoneticPr fontId="3" type="noConversion"/>
  </si>
  <si>
    <t>李晓岩</t>
    <phoneticPr fontId="3" type="noConversion"/>
  </si>
  <si>
    <t xml:space="preserve"> 一</t>
    <phoneticPr fontId="3" type="noConversion"/>
  </si>
  <si>
    <t>四</t>
    <phoneticPr fontId="3" type="noConversion"/>
  </si>
  <si>
    <t>新增</t>
    <phoneticPr fontId="3" type="noConversion"/>
  </si>
  <si>
    <t xml:space="preserve"> </t>
    <phoneticPr fontId="3" type="noConversion"/>
  </si>
  <si>
    <t xml:space="preserve"> </t>
    <phoneticPr fontId="3" type="noConversion"/>
  </si>
  <si>
    <t>合同</t>
    <phoneticPr fontId="3" type="noConversion"/>
  </si>
  <si>
    <t>Y</t>
    <phoneticPr fontId="3" type="noConversion"/>
  </si>
  <si>
    <t>186716</t>
    <phoneticPr fontId="3" type="noConversion"/>
  </si>
  <si>
    <t>吴铭</t>
    <phoneticPr fontId="3" type="noConversion"/>
  </si>
  <si>
    <t>2006-22-P-01452</t>
    <phoneticPr fontId="3" type="noConversion"/>
  </si>
  <si>
    <t>康靖</t>
    <phoneticPr fontId="3" type="noConversion"/>
  </si>
  <si>
    <t>110221197304011623</t>
    <phoneticPr fontId="3" type="noConversion"/>
  </si>
  <si>
    <t>13522519871</t>
    <phoneticPr fontId="3" type="noConversion"/>
  </si>
  <si>
    <t>丰台区</t>
    <phoneticPr fontId="3" type="noConversion"/>
  </si>
  <si>
    <t>鸿业兴园</t>
    <phoneticPr fontId="3" type="noConversion"/>
  </si>
  <si>
    <t>2号楼</t>
    <phoneticPr fontId="3" type="noConversion"/>
  </si>
  <si>
    <t>1605号</t>
    <phoneticPr fontId="3" type="noConversion"/>
  </si>
  <si>
    <t>北京鸿基世业房地产开发有限公司</t>
    <phoneticPr fontId="3" type="noConversion"/>
  </si>
  <si>
    <t>结构施工</t>
    <phoneticPr fontId="3" type="noConversion"/>
  </si>
  <si>
    <t>李晓岩</t>
    <phoneticPr fontId="3" type="noConversion"/>
  </si>
  <si>
    <t>新增</t>
    <phoneticPr fontId="3" type="noConversion"/>
  </si>
  <si>
    <t>合同</t>
    <phoneticPr fontId="3" type="noConversion"/>
  </si>
  <si>
    <t>Y</t>
    <phoneticPr fontId="3" type="noConversion"/>
  </si>
  <si>
    <t>173296</t>
    <phoneticPr fontId="3" type="noConversion"/>
  </si>
  <si>
    <t>2006-22-P-01856</t>
    <phoneticPr fontId="3" type="noConversion"/>
  </si>
  <si>
    <t>王兴友</t>
    <phoneticPr fontId="3" type="noConversion"/>
  </si>
  <si>
    <t>342126198003153172</t>
    <phoneticPr fontId="3" type="noConversion"/>
  </si>
  <si>
    <t>13811168959</t>
    <phoneticPr fontId="3" type="noConversion"/>
  </si>
  <si>
    <t>7号楼</t>
    <phoneticPr fontId="3" type="noConversion"/>
  </si>
  <si>
    <t>4层1单元</t>
    <phoneticPr fontId="3" type="noConversion"/>
  </si>
  <si>
    <t>0403号</t>
    <phoneticPr fontId="3" type="noConversion"/>
  </si>
  <si>
    <t>二室二厅二卫一厨</t>
    <phoneticPr fontId="3" type="noConversion"/>
  </si>
  <si>
    <t>二</t>
    <phoneticPr fontId="3" type="noConversion"/>
  </si>
  <si>
    <t>189570</t>
    <phoneticPr fontId="3" type="noConversion"/>
  </si>
  <si>
    <t>裴蓓</t>
    <phoneticPr fontId="3" type="noConversion"/>
  </si>
  <si>
    <t>2006-22-P-01873</t>
    <phoneticPr fontId="3" type="noConversion"/>
  </si>
  <si>
    <t>张毅</t>
    <phoneticPr fontId="3" type="noConversion"/>
  </si>
  <si>
    <t>142603800619203</t>
    <phoneticPr fontId="3" type="noConversion"/>
  </si>
  <si>
    <t>13051353448、64450644</t>
    <phoneticPr fontId="3" type="noConversion"/>
  </si>
  <si>
    <t>鸿业兴园（P1、P7、2、3号楼）</t>
    <phoneticPr fontId="3" type="noConversion"/>
  </si>
  <si>
    <t>5层</t>
    <phoneticPr fontId="3" type="noConversion"/>
  </si>
  <si>
    <t>2号楼0705号</t>
    <phoneticPr fontId="3" type="noConversion"/>
  </si>
  <si>
    <t>北京住房公积金管理中心朝阳管理部</t>
    <phoneticPr fontId="3" type="noConversion"/>
  </si>
  <si>
    <t>封顶</t>
    <phoneticPr fontId="3" type="noConversion"/>
  </si>
  <si>
    <t>二</t>
    <phoneticPr fontId="3" type="noConversion"/>
  </si>
  <si>
    <t>176331</t>
    <phoneticPr fontId="3" type="noConversion"/>
  </si>
  <si>
    <t>2006-22-P-01939</t>
    <phoneticPr fontId="3" type="noConversion"/>
  </si>
  <si>
    <t>李彧</t>
    <phoneticPr fontId="3" type="noConversion"/>
  </si>
  <si>
    <t>210521197407230028</t>
    <phoneticPr fontId="3" type="noConversion"/>
  </si>
  <si>
    <t>13910513312</t>
    <phoneticPr fontId="3" type="noConversion"/>
  </si>
  <si>
    <t>5号楼</t>
    <phoneticPr fontId="3" type="noConversion"/>
  </si>
  <si>
    <t>3单元</t>
    <phoneticPr fontId="3" type="noConversion"/>
  </si>
  <si>
    <t>1201号</t>
    <phoneticPr fontId="3" type="noConversion"/>
  </si>
  <si>
    <t>三室二厅二卫一厨</t>
    <phoneticPr fontId="3" type="noConversion"/>
  </si>
  <si>
    <t>内外装修</t>
    <phoneticPr fontId="3" type="noConversion"/>
  </si>
  <si>
    <t>175645</t>
    <phoneticPr fontId="3" type="noConversion"/>
  </si>
  <si>
    <t>2006-22-P-02569</t>
    <phoneticPr fontId="3" type="noConversion"/>
  </si>
  <si>
    <t>薄琳</t>
    <phoneticPr fontId="3" type="noConversion"/>
  </si>
  <si>
    <t>110111197904208624</t>
    <phoneticPr fontId="3" type="noConversion"/>
  </si>
  <si>
    <t>13910608789</t>
    <phoneticPr fontId="3" type="noConversion"/>
  </si>
  <si>
    <t>1号楼</t>
    <phoneticPr fontId="3" type="noConversion"/>
  </si>
  <si>
    <t>第17层</t>
    <phoneticPr fontId="3" type="noConversion"/>
  </si>
  <si>
    <t>1704号</t>
    <phoneticPr fontId="3" type="noConversion"/>
  </si>
  <si>
    <t>二室二厅一卫一厨</t>
    <phoneticPr fontId="3" type="noConversion"/>
  </si>
  <si>
    <t>北京住房公积金管理中心宣武第二管理部</t>
    <phoneticPr fontId="3" type="noConversion"/>
  </si>
  <si>
    <t>三</t>
    <phoneticPr fontId="3" type="noConversion"/>
  </si>
  <si>
    <t>194704</t>
    <phoneticPr fontId="3" type="noConversion"/>
  </si>
  <si>
    <t>2006-22-P-02570</t>
    <phoneticPr fontId="3" type="noConversion"/>
  </si>
  <si>
    <t>欧阳康淼</t>
    <phoneticPr fontId="3" type="noConversion"/>
  </si>
  <si>
    <t>360313197912071533</t>
    <phoneticPr fontId="3" type="noConversion"/>
  </si>
  <si>
    <t>13911224140</t>
    <phoneticPr fontId="3" type="noConversion"/>
  </si>
  <si>
    <t>第6层1单元</t>
    <phoneticPr fontId="3" type="noConversion"/>
  </si>
  <si>
    <t>0601号</t>
    <phoneticPr fontId="3" type="noConversion"/>
  </si>
  <si>
    <t>191384</t>
    <phoneticPr fontId="3" type="noConversion"/>
  </si>
  <si>
    <t>2006-22-P-02571</t>
    <phoneticPr fontId="3" type="noConversion"/>
  </si>
  <si>
    <t>荆洪涛</t>
    <phoneticPr fontId="3" type="noConversion"/>
  </si>
  <si>
    <t>220282197910030574</t>
    <phoneticPr fontId="3" type="noConversion"/>
  </si>
  <si>
    <t>13601083269</t>
    <phoneticPr fontId="3" type="noConversion"/>
  </si>
  <si>
    <t>第10层1单元</t>
    <phoneticPr fontId="3" type="noConversion"/>
  </si>
  <si>
    <t>1003号</t>
    <phoneticPr fontId="3" type="noConversion"/>
  </si>
  <si>
    <t>194165</t>
    <phoneticPr fontId="3" type="noConversion"/>
  </si>
  <si>
    <t>2006-22-P-02655</t>
    <phoneticPr fontId="3" type="noConversion"/>
  </si>
  <si>
    <t>李强</t>
    <phoneticPr fontId="3" type="noConversion"/>
  </si>
  <si>
    <t>110229196502270032</t>
    <phoneticPr fontId="3" type="noConversion"/>
  </si>
  <si>
    <t>13716211558</t>
    <phoneticPr fontId="3" type="noConversion"/>
  </si>
  <si>
    <t>鸿业兴园（P1、P7、2、3号楼）</t>
    <phoneticPr fontId="3" type="noConversion"/>
  </si>
  <si>
    <t>第13层</t>
    <phoneticPr fontId="3" type="noConversion"/>
  </si>
  <si>
    <t>2号楼1505号</t>
    <phoneticPr fontId="3" type="noConversion"/>
  </si>
  <si>
    <t>195820</t>
    <phoneticPr fontId="3" type="noConversion"/>
  </si>
  <si>
    <t>张颖</t>
    <phoneticPr fontId="3" type="noConversion"/>
  </si>
  <si>
    <t>2006-22-P-02730</t>
    <phoneticPr fontId="3" type="noConversion"/>
  </si>
  <si>
    <t>幹道伟、李艳</t>
    <phoneticPr fontId="3" type="noConversion"/>
  </si>
  <si>
    <t>110104196804030074、110104197107261242</t>
    <phoneticPr fontId="3" type="noConversion"/>
  </si>
  <si>
    <t>13681559080、83610374</t>
    <phoneticPr fontId="3" type="noConversion"/>
  </si>
  <si>
    <t>5号楼</t>
    <phoneticPr fontId="3" type="noConversion"/>
  </si>
  <si>
    <t>第7层4单元</t>
    <phoneticPr fontId="3" type="noConversion"/>
  </si>
  <si>
    <t>0702号</t>
    <phoneticPr fontId="3" type="noConversion"/>
  </si>
  <si>
    <t>三室二厅二卫一厨</t>
    <phoneticPr fontId="3" type="noConversion"/>
  </si>
  <si>
    <t>四</t>
    <phoneticPr fontId="3" type="noConversion"/>
  </si>
  <si>
    <t>177985</t>
    <phoneticPr fontId="3" type="noConversion"/>
  </si>
  <si>
    <t>2006-22-P-02888</t>
    <phoneticPr fontId="3" type="noConversion"/>
  </si>
  <si>
    <t>张淼</t>
    <phoneticPr fontId="3" type="noConversion"/>
  </si>
  <si>
    <t>410223196208010021</t>
    <phoneticPr fontId="3" type="noConversion"/>
  </si>
  <si>
    <t>13910388372</t>
    <phoneticPr fontId="3" type="noConversion"/>
  </si>
  <si>
    <t>6层2单元</t>
    <phoneticPr fontId="3" type="noConversion"/>
  </si>
  <si>
    <t>0601号</t>
    <phoneticPr fontId="3" type="noConversion"/>
  </si>
  <si>
    <t>一</t>
    <phoneticPr fontId="3" type="noConversion"/>
  </si>
  <si>
    <t>187492</t>
    <phoneticPr fontId="3" type="noConversion"/>
  </si>
  <si>
    <t>裴蓓</t>
    <phoneticPr fontId="3" type="noConversion"/>
  </si>
  <si>
    <t>2006-22-P-03169</t>
    <phoneticPr fontId="3" type="noConversion"/>
  </si>
  <si>
    <t>乔德恒</t>
    <phoneticPr fontId="3" type="noConversion"/>
  </si>
  <si>
    <t>412929771204907</t>
    <phoneticPr fontId="3" type="noConversion"/>
  </si>
  <si>
    <t>13701248545</t>
    <phoneticPr fontId="3" type="noConversion"/>
  </si>
  <si>
    <t>4号楼</t>
    <phoneticPr fontId="3" type="noConversion"/>
  </si>
  <si>
    <t>17层</t>
    <phoneticPr fontId="3" type="noConversion"/>
  </si>
  <si>
    <t>1704号</t>
    <phoneticPr fontId="3" type="noConversion"/>
  </si>
  <si>
    <t>内外装修</t>
    <phoneticPr fontId="3" type="noConversion"/>
  </si>
  <si>
    <t>193780</t>
    <phoneticPr fontId="3" type="noConversion"/>
  </si>
  <si>
    <t>2006-22-P-03338</t>
    <phoneticPr fontId="3" type="noConversion"/>
  </si>
  <si>
    <t>李小松</t>
    <phoneticPr fontId="3" type="noConversion"/>
  </si>
  <si>
    <t>110108197805246811</t>
    <phoneticPr fontId="3" type="noConversion"/>
  </si>
  <si>
    <t>13683082430</t>
    <phoneticPr fontId="3" type="noConversion"/>
  </si>
  <si>
    <t>第3层2单元</t>
    <phoneticPr fontId="3" type="noConversion"/>
  </si>
  <si>
    <t>0302号</t>
    <phoneticPr fontId="3" type="noConversion"/>
  </si>
  <si>
    <t>198810</t>
    <phoneticPr fontId="3" type="noConversion"/>
  </si>
  <si>
    <t>2006-22-P-03339</t>
    <phoneticPr fontId="3" type="noConversion"/>
  </si>
  <si>
    <t>王长合</t>
    <phoneticPr fontId="3" type="noConversion"/>
  </si>
  <si>
    <t>612629470205001</t>
    <phoneticPr fontId="3" type="noConversion"/>
  </si>
  <si>
    <t>13693082626</t>
    <phoneticPr fontId="3" type="noConversion"/>
  </si>
  <si>
    <t>第15层4单元</t>
    <phoneticPr fontId="3" type="noConversion"/>
  </si>
  <si>
    <t>1502号</t>
    <phoneticPr fontId="3" type="noConversion"/>
  </si>
  <si>
    <t>202168</t>
    <phoneticPr fontId="3" type="noConversion"/>
  </si>
  <si>
    <t>2006-22-P-03340</t>
    <phoneticPr fontId="3" type="noConversion"/>
  </si>
  <si>
    <t>张景龙、李萍</t>
    <phoneticPr fontId="3" type="noConversion"/>
  </si>
  <si>
    <t>110107195211181234、110102196111110466</t>
    <phoneticPr fontId="3" type="noConversion"/>
  </si>
  <si>
    <t>89882044</t>
    <phoneticPr fontId="3" type="noConversion"/>
  </si>
  <si>
    <r>
      <t>第17层</t>
    </r>
    <r>
      <rPr>
        <sz val="10"/>
        <rFont val="Times New Roman"/>
        <family val="1"/>
      </rPr>
      <t/>
    </r>
    <phoneticPr fontId="3" type="noConversion"/>
  </si>
  <si>
    <t>2号楼1905号</t>
    <phoneticPr fontId="3" type="noConversion"/>
  </si>
  <si>
    <t>197277</t>
    <phoneticPr fontId="3" type="noConversion"/>
  </si>
  <si>
    <t>2006-22-P-03341</t>
    <phoneticPr fontId="3" type="noConversion"/>
  </si>
  <si>
    <t>赵素静、赵长旺</t>
    <phoneticPr fontId="3" type="noConversion"/>
  </si>
  <si>
    <t>110229197805313428、110229195503283615</t>
    <phoneticPr fontId="3" type="noConversion"/>
  </si>
  <si>
    <t>13716392891</t>
    <phoneticPr fontId="3" type="noConversion"/>
  </si>
  <si>
    <t>第16层</t>
    <phoneticPr fontId="3" type="noConversion"/>
  </si>
  <si>
    <t>2号楼1805号</t>
    <phoneticPr fontId="3" type="noConversion"/>
  </si>
  <si>
    <t>199720</t>
    <phoneticPr fontId="3" type="noConversion"/>
  </si>
  <si>
    <t>2006-22-P-03342</t>
    <phoneticPr fontId="3" type="noConversion"/>
  </si>
  <si>
    <t>于海丰</t>
    <phoneticPr fontId="3" type="noConversion"/>
  </si>
  <si>
    <t>232301198003274618</t>
    <phoneticPr fontId="3" type="noConversion"/>
  </si>
  <si>
    <t>13911834363</t>
    <phoneticPr fontId="3" type="noConversion"/>
  </si>
  <si>
    <t>第10层</t>
    <phoneticPr fontId="3" type="noConversion"/>
  </si>
  <si>
    <t>2号楼1204号</t>
    <phoneticPr fontId="3" type="noConversion"/>
  </si>
  <si>
    <t>201948</t>
    <phoneticPr fontId="3" type="noConversion"/>
  </si>
  <si>
    <t>2006-22-P-03343</t>
    <phoneticPr fontId="3" type="noConversion"/>
  </si>
  <si>
    <t>范旭红</t>
    <phoneticPr fontId="3" type="noConversion"/>
  </si>
  <si>
    <t>321123197309164124</t>
    <phoneticPr fontId="3" type="noConversion"/>
  </si>
  <si>
    <t>13521298096</t>
    <phoneticPr fontId="3" type="noConversion"/>
  </si>
  <si>
    <t>第3层4单元</t>
    <phoneticPr fontId="3" type="noConversion"/>
  </si>
  <si>
    <t>0301号</t>
    <phoneticPr fontId="3" type="noConversion"/>
  </si>
  <si>
    <t>199386</t>
    <phoneticPr fontId="3" type="noConversion"/>
  </si>
  <si>
    <t>2006-22-P-03576</t>
    <phoneticPr fontId="3" type="noConversion"/>
  </si>
  <si>
    <t>杨洪峰</t>
    <phoneticPr fontId="3" type="noConversion"/>
  </si>
  <si>
    <t>320118196912154854</t>
    <phoneticPr fontId="3" type="noConversion"/>
  </si>
  <si>
    <t>13911331709、68684862</t>
    <phoneticPr fontId="3" type="noConversion"/>
  </si>
  <si>
    <t>2层1单元</t>
    <phoneticPr fontId="3" type="noConversion"/>
  </si>
  <si>
    <t>0201号</t>
    <phoneticPr fontId="3" type="noConversion"/>
  </si>
  <si>
    <t>202631</t>
    <phoneticPr fontId="3" type="noConversion"/>
  </si>
  <si>
    <t>2006-22-P-03577</t>
    <phoneticPr fontId="3" type="noConversion"/>
  </si>
  <si>
    <t>章建华</t>
    <phoneticPr fontId="3" type="noConversion"/>
  </si>
  <si>
    <t>362323197409221316</t>
    <phoneticPr fontId="3" type="noConversion"/>
  </si>
  <si>
    <t>13691135815、83620625</t>
    <phoneticPr fontId="3" type="noConversion"/>
  </si>
  <si>
    <t>11层1单元</t>
    <phoneticPr fontId="3" type="noConversion"/>
  </si>
  <si>
    <t>1101号</t>
    <phoneticPr fontId="3" type="noConversion"/>
  </si>
  <si>
    <t>195217</t>
    <phoneticPr fontId="3" type="noConversion"/>
  </si>
  <si>
    <t>2006-22-P-03578</t>
    <phoneticPr fontId="3" type="noConversion"/>
  </si>
  <si>
    <t>周佳</t>
    <phoneticPr fontId="3" type="noConversion"/>
  </si>
  <si>
    <t>110102198201280046</t>
    <phoneticPr fontId="3" type="noConversion"/>
  </si>
  <si>
    <t>13810034661</t>
    <phoneticPr fontId="3" type="noConversion"/>
  </si>
  <si>
    <t>14层</t>
    <phoneticPr fontId="3" type="noConversion"/>
  </si>
  <si>
    <t>1404号</t>
    <phoneticPr fontId="3" type="noConversion"/>
  </si>
  <si>
    <t>二室一厅一卫一厨</t>
    <phoneticPr fontId="3" type="noConversion"/>
  </si>
  <si>
    <t>203827</t>
    <phoneticPr fontId="3" type="noConversion"/>
  </si>
  <si>
    <t>2006-22-P-03579</t>
    <phoneticPr fontId="3" type="noConversion"/>
  </si>
  <si>
    <t>翁建华</t>
    <phoneticPr fontId="3" type="noConversion"/>
  </si>
  <si>
    <t>35222519770408003X</t>
    <phoneticPr fontId="3" type="noConversion"/>
  </si>
  <si>
    <t>13141277883</t>
    <phoneticPr fontId="3" type="noConversion"/>
  </si>
  <si>
    <r>
      <t>13层</t>
    </r>
    <r>
      <rPr>
        <sz val="10"/>
        <rFont val="Times New Roman"/>
        <family val="1"/>
      </rPr>
      <t/>
    </r>
    <phoneticPr fontId="3" type="noConversion"/>
  </si>
  <si>
    <t>2号楼1504号</t>
    <phoneticPr fontId="3" type="noConversion"/>
  </si>
  <si>
    <t>结构施工</t>
    <phoneticPr fontId="3" type="noConversion"/>
  </si>
  <si>
    <t>203830</t>
    <phoneticPr fontId="3" type="noConversion"/>
  </si>
  <si>
    <t>2006-22-P-03580</t>
    <phoneticPr fontId="3" type="noConversion"/>
  </si>
  <si>
    <t>杨清华、肖群安</t>
    <phoneticPr fontId="3" type="noConversion"/>
  </si>
  <si>
    <t>211224197802251121、420106197711284817</t>
    <phoneticPr fontId="3" type="noConversion"/>
  </si>
  <si>
    <t>13911120506</t>
    <phoneticPr fontId="3" type="noConversion"/>
  </si>
  <si>
    <t>5层2单元</t>
    <phoneticPr fontId="3" type="noConversion"/>
  </si>
  <si>
    <t>0502号</t>
    <phoneticPr fontId="3" type="noConversion"/>
  </si>
  <si>
    <t>三室一厅二卫一厨</t>
    <phoneticPr fontId="3" type="noConversion"/>
  </si>
  <si>
    <t>201035</t>
    <phoneticPr fontId="3" type="noConversion"/>
  </si>
  <si>
    <t>2006-22-P-03782</t>
    <phoneticPr fontId="3" type="noConversion"/>
  </si>
  <si>
    <t>刘秋菊、单鹏</t>
    <phoneticPr fontId="3" type="noConversion"/>
  </si>
  <si>
    <t>420921197801013823、342122197806020218</t>
    <phoneticPr fontId="3" type="noConversion"/>
  </si>
  <si>
    <t>13520480671</t>
    <phoneticPr fontId="3" type="noConversion"/>
  </si>
  <si>
    <t>第13层2单元</t>
    <phoneticPr fontId="3" type="noConversion"/>
  </si>
  <si>
    <t>1301号</t>
    <phoneticPr fontId="3" type="noConversion"/>
  </si>
  <si>
    <t>203792</t>
    <phoneticPr fontId="3" type="noConversion"/>
  </si>
  <si>
    <t>吴铭</t>
    <phoneticPr fontId="3" type="noConversion"/>
  </si>
  <si>
    <t>2006-22-P-03821</t>
    <phoneticPr fontId="3" type="noConversion"/>
  </si>
  <si>
    <t>薛勇</t>
    <phoneticPr fontId="3" type="noConversion"/>
  </si>
  <si>
    <t>370204700324131</t>
    <phoneticPr fontId="3" type="noConversion"/>
  </si>
  <si>
    <t>13911251641</t>
    <phoneticPr fontId="3" type="noConversion"/>
  </si>
  <si>
    <t>第6层4单元</t>
    <phoneticPr fontId="3" type="noConversion"/>
  </si>
  <si>
    <t>207868</t>
    <phoneticPr fontId="3" type="noConversion"/>
  </si>
  <si>
    <t>2006-22-P-03822</t>
    <phoneticPr fontId="3" type="noConversion"/>
  </si>
  <si>
    <t>李亚玲</t>
    <phoneticPr fontId="3" type="noConversion"/>
  </si>
  <si>
    <t>110225196709120060</t>
    <phoneticPr fontId="3" type="noConversion"/>
  </si>
  <si>
    <t>13693610225</t>
    <phoneticPr fontId="3" type="noConversion"/>
  </si>
  <si>
    <t>3号楼1705号</t>
    <phoneticPr fontId="3" type="noConversion"/>
  </si>
  <si>
    <t>207283</t>
    <phoneticPr fontId="3" type="noConversion"/>
  </si>
  <si>
    <t>2006-22-P-03823</t>
    <phoneticPr fontId="3" type="noConversion"/>
  </si>
  <si>
    <t>李守伟</t>
    <phoneticPr fontId="3" type="noConversion"/>
  </si>
  <si>
    <t>110106198107250057</t>
    <phoneticPr fontId="3" type="noConversion"/>
  </si>
  <si>
    <t>13911110787</t>
    <phoneticPr fontId="3" type="noConversion"/>
  </si>
  <si>
    <t>第6层5单元</t>
    <phoneticPr fontId="3" type="noConversion"/>
  </si>
  <si>
    <t>205494</t>
    <phoneticPr fontId="3" type="noConversion"/>
  </si>
  <si>
    <t>2006-22-P-03824</t>
    <phoneticPr fontId="3" type="noConversion"/>
  </si>
  <si>
    <t>董立珍</t>
    <phoneticPr fontId="3" type="noConversion"/>
  </si>
  <si>
    <t>412928196910190028</t>
    <phoneticPr fontId="3" type="noConversion"/>
  </si>
  <si>
    <t>13161700559</t>
    <phoneticPr fontId="3" type="noConversion"/>
  </si>
  <si>
    <t>3号楼1805号</t>
    <phoneticPr fontId="3" type="noConversion"/>
  </si>
  <si>
    <t>206773</t>
    <phoneticPr fontId="3" type="noConversion"/>
  </si>
  <si>
    <t>2006-22-P-03825</t>
    <phoneticPr fontId="3" type="noConversion"/>
  </si>
  <si>
    <t>刘宇</t>
    <phoneticPr fontId="3" type="noConversion"/>
  </si>
  <si>
    <t>110107198007010650</t>
    <phoneticPr fontId="3" type="noConversion"/>
  </si>
  <si>
    <t>13911103415</t>
    <phoneticPr fontId="3" type="noConversion"/>
  </si>
  <si>
    <t>第7层</t>
    <phoneticPr fontId="3" type="noConversion"/>
  </si>
  <si>
    <t>3号楼0904号</t>
    <phoneticPr fontId="3" type="noConversion"/>
  </si>
  <si>
    <t>207967</t>
    <phoneticPr fontId="3" type="noConversion"/>
  </si>
  <si>
    <t>2006-22-P-03826</t>
    <phoneticPr fontId="3" type="noConversion"/>
  </si>
  <si>
    <t>刘磊、李云凤</t>
    <phoneticPr fontId="3" type="noConversion"/>
  </si>
  <si>
    <t>110105198309020835、11010419580417302X</t>
    <phoneticPr fontId="3" type="noConversion"/>
  </si>
  <si>
    <t>13520965246</t>
    <phoneticPr fontId="3" type="noConversion"/>
  </si>
  <si>
    <t>第14层5单元</t>
    <phoneticPr fontId="3" type="noConversion"/>
  </si>
  <si>
    <t>1401号</t>
    <phoneticPr fontId="3" type="noConversion"/>
  </si>
  <si>
    <t>207769</t>
    <phoneticPr fontId="3" type="noConversion"/>
  </si>
  <si>
    <t>2006-22-P-03827</t>
    <phoneticPr fontId="3" type="noConversion"/>
  </si>
  <si>
    <t>蒋吉兴</t>
    <phoneticPr fontId="3" type="noConversion"/>
  </si>
  <si>
    <t>230103197309130313</t>
    <phoneticPr fontId="3" type="noConversion"/>
  </si>
  <si>
    <t>13911276935</t>
    <phoneticPr fontId="3" type="noConversion"/>
  </si>
  <si>
    <t>第4层5单元</t>
    <phoneticPr fontId="3" type="noConversion"/>
  </si>
  <si>
    <t>207941</t>
    <phoneticPr fontId="3" type="noConversion"/>
  </si>
  <si>
    <t>2006-22-P-03865</t>
    <phoneticPr fontId="3" type="noConversion"/>
  </si>
  <si>
    <t>王涛</t>
    <phoneticPr fontId="3" type="noConversion"/>
  </si>
  <si>
    <t>110106197912100612</t>
    <phoneticPr fontId="3" type="noConversion"/>
  </si>
  <si>
    <t>63747163、81909113</t>
    <phoneticPr fontId="3" type="noConversion"/>
  </si>
  <si>
    <r>
      <t>第12层</t>
    </r>
    <r>
      <rPr>
        <sz val="10"/>
        <rFont val="Times New Roman"/>
        <family val="1"/>
      </rPr>
      <t/>
    </r>
    <phoneticPr fontId="3" type="noConversion"/>
  </si>
  <si>
    <t>2号楼1404号</t>
    <phoneticPr fontId="3" type="noConversion"/>
  </si>
  <si>
    <t>204098</t>
    <phoneticPr fontId="3" type="noConversion"/>
  </si>
  <si>
    <t>周婷婷</t>
    <phoneticPr fontId="3" type="noConversion"/>
  </si>
  <si>
    <t>2006-22-P-03866</t>
    <phoneticPr fontId="3" type="noConversion"/>
  </si>
  <si>
    <t>张鸿兴</t>
    <phoneticPr fontId="3" type="noConversion"/>
  </si>
  <si>
    <t>110228197104210024</t>
    <phoneticPr fontId="3" type="noConversion"/>
  </si>
  <si>
    <t>13651045505、13501120133</t>
    <phoneticPr fontId="3" type="noConversion"/>
  </si>
  <si>
    <t>第7层2单元</t>
    <phoneticPr fontId="3" type="noConversion"/>
  </si>
  <si>
    <t>198394</t>
    <phoneticPr fontId="3" type="noConversion"/>
  </si>
  <si>
    <t>2006-22-P-03892</t>
    <phoneticPr fontId="3" type="noConversion"/>
  </si>
  <si>
    <t>刘凤青</t>
    <phoneticPr fontId="3" type="noConversion"/>
  </si>
  <si>
    <t>11010219570520334X</t>
    <phoneticPr fontId="3" type="noConversion"/>
  </si>
  <si>
    <t>13301222572</t>
    <phoneticPr fontId="3" type="noConversion"/>
  </si>
  <si>
    <t>第5层4单元</t>
    <phoneticPr fontId="3" type="noConversion"/>
  </si>
  <si>
    <t>207203</t>
    <phoneticPr fontId="3" type="noConversion"/>
  </si>
  <si>
    <t>2006-22-P-03985</t>
    <phoneticPr fontId="3" type="noConversion"/>
  </si>
  <si>
    <t>张超</t>
    <phoneticPr fontId="3" type="noConversion"/>
  </si>
  <si>
    <t>110102811226042</t>
    <phoneticPr fontId="3" type="noConversion"/>
  </si>
  <si>
    <t>13146102527</t>
    <phoneticPr fontId="3" type="noConversion"/>
  </si>
  <si>
    <t>0607号</t>
    <phoneticPr fontId="3" type="noConversion"/>
  </si>
  <si>
    <t>一室一厅一卫一厨</t>
    <phoneticPr fontId="3" type="noConversion"/>
  </si>
  <si>
    <t>68718</t>
    <phoneticPr fontId="3" type="noConversion"/>
  </si>
  <si>
    <t>2006-22-P-04018</t>
    <phoneticPr fontId="3" type="noConversion"/>
  </si>
  <si>
    <t>史立刚</t>
    <phoneticPr fontId="3" type="noConversion"/>
  </si>
  <si>
    <t>432423197612284770</t>
    <phoneticPr fontId="3" type="noConversion"/>
  </si>
  <si>
    <t>13810401817</t>
    <phoneticPr fontId="3" type="noConversion"/>
  </si>
  <si>
    <t>第12层1单元</t>
    <phoneticPr fontId="3" type="noConversion"/>
  </si>
  <si>
    <t>1201号</t>
    <phoneticPr fontId="3" type="noConversion"/>
  </si>
  <si>
    <t>203498</t>
    <phoneticPr fontId="3" type="noConversion"/>
  </si>
  <si>
    <t>2006-22-P-04019</t>
    <phoneticPr fontId="3" type="noConversion"/>
  </si>
  <si>
    <t>姜心刚</t>
    <phoneticPr fontId="3" type="noConversion"/>
  </si>
  <si>
    <t>110105196309011139</t>
    <phoneticPr fontId="3" type="noConversion"/>
  </si>
  <si>
    <t>13501051621</t>
    <phoneticPr fontId="3" type="noConversion"/>
  </si>
  <si>
    <t>8号楼</t>
    <phoneticPr fontId="3" type="noConversion"/>
  </si>
  <si>
    <t>2单元</t>
    <phoneticPr fontId="3" type="noConversion"/>
  </si>
  <si>
    <t>0701号</t>
    <phoneticPr fontId="3" type="noConversion"/>
  </si>
  <si>
    <t>30509</t>
    <phoneticPr fontId="3" type="noConversion"/>
  </si>
  <si>
    <t>2006-22-P-04106</t>
    <phoneticPr fontId="3" type="noConversion"/>
  </si>
  <si>
    <t>连新增</t>
    <phoneticPr fontId="3" type="noConversion"/>
  </si>
  <si>
    <t>110229197010292715</t>
    <phoneticPr fontId="3" type="noConversion"/>
  </si>
  <si>
    <t>13601264698</t>
    <phoneticPr fontId="3" type="noConversion"/>
  </si>
  <si>
    <t>3单元1502号</t>
    <phoneticPr fontId="3" type="noConversion"/>
  </si>
  <si>
    <t>208611</t>
    <phoneticPr fontId="3" type="noConversion"/>
  </si>
  <si>
    <t>北京市丰台区花乡造甲村113号</t>
    <phoneticPr fontId="3" type="noConversion"/>
  </si>
  <si>
    <t>1100002176129（1-1）</t>
    <phoneticPr fontId="3" type="noConversion"/>
  </si>
  <si>
    <t>张志鸿</t>
    <phoneticPr fontId="3" type="noConversion"/>
  </si>
  <si>
    <t>赵亮</t>
    <phoneticPr fontId="3" type="noConversion"/>
  </si>
  <si>
    <t>2006-22-P-04107</t>
    <phoneticPr fontId="3" type="noConversion"/>
  </si>
  <si>
    <t>国大伟</t>
    <phoneticPr fontId="3" type="noConversion"/>
  </si>
  <si>
    <t>220322197809175858</t>
    <phoneticPr fontId="3" type="noConversion"/>
  </si>
  <si>
    <t>13681599039</t>
    <phoneticPr fontId="3" type="noConversion"/>
  </si>
  <si>
    <t>第6层</t>
    <phoneticPr fontId="3" type="noConversion"/>
  </si>
  <si>
    <t>4单元0602号</t>
    <phoneticPr fontId="3" type="noConversion"/>
  </si>
  <si>
    <t>209052</t>
    <phoneticPr fontId="3" type="noConversion"/>
  </si>
  <si>
    <t>2006-22-P-04338</t>
    <phoneticPr fontId="3" type="noConversion"/>
  </si>
  <si>
    <t>孙勇</t>
    <phoneticPr fontId="3" type="noConversion"/>
  </si>
  <si>
    <t>110108197610150051</t>
    <phoneticPr fontId="3" type="noConversion"/>
  </si>
  <si>
    <t>13601373338</t>
    <phoneticPr fontId="3" type="noConversion"/>
  </si>
  <si>
    <t>第12层5单元</t>
    <phoneticPr fontId="3" type="noConversion"/>
  </si>
  <si>
    <t>1202号</t>
    <phoneticPr fontId="3" type="noConversion"/>
  </si>
  <si>
    <t>封顶</t>
  </si>
  <si>
    <t>207822</t>
    <phoneticPr fontId="3" type="noConversion"/>
  </si>
  <si>
    <t>2006-22-P-04348</t>
    <phoneticPr fontId="3" type="noConversion"/>
  </si>
  <si>
    <t>檀停海</t>
    <phoneticPr fontId="3" type="noConversion"/>
  </si>
  <si>
    <t>340827800211603</t>
    <phoneticPr fontId="3" type="noConversion"/>
  </si>
  <si>
    <t>13311310247</t>
    <phoneticPr fontId="3" type="noConversion"/>
  </si>
  <si>
    <r>
      <t>15层</t>
    </r>
    <r>
      <rPr>
        <sz val="10"/>
        <rFont val="Times New Roman"/>
        <family val="1"/>
      </rPr>
      <t/>
    </r>
    <phoneticPr fontId="3" type="noConversion"/>
  </si>
  <si>
    <t>2号楼1704号</t>
    <phoneticPr fontId="3" type="noConversion"/>
  </si>
  <si>
    <t>209005</t>
    <phoneticPr fontId="3" type="noConversion"/>
  </si>
  <si>
    <t>2006-22-P-04349</t>
    <phoneticPr fontId="3" type="noConversion"/>
  </si>
  <si>
    <t>姚向国</t>
    <phoneticPr fontId="3" type="noConversion"/>
  </si>
  <si>
    <t>110228197308120039</t>
    <phoneticPr fontId="3" type="noConversion"/>
  </si>
  <si>
    <t>13901178151</t>
    <phoneticPr fontId="3" type="noConversion"/>
  </si>
  <si>
    <t>3层4单元</t>
    <phoneticPr fontId="3" type="noConversion"/>
  </si>
  <si>
    <t>206998</t>
    <phoneticPr fontId="3" type="noConversion"/>
  </si>
  <si>
    <t>2006-22-P-04350</t>
    <phoneticPr fontId="3" type="noConversion"/>
  </si>
  <si>
    <t>沈晖</t>
    <phoneticPr fontId="3" type="noConversion"/>
  </si>
  <si>
    <t>110108197006185725</t>
    <phoneticPr fontId="3" type="noConversion"/>
  </si>
  <si>
    <t>13683607886</t>
    <phoneticPr fontId="3" type="noConversion"/>
  </si>
  <si>
    <t>4单元</t>
    <phoneticPr fontId="3" type="noConversion"/>
  </si>
  <si>
    <t>101号</t>
    <phoneticPr fontId="3" type="noConversion"/>
  </si>
  <si>
    <t>二室一厅二卫一厨</t>
    <phoneticPr fontId="3" type="noConversion"/>
  </si>
  <si>
    <t>42894</t>
    <phoneticPr fontId="3" type="noConversion"/>
  </si>
  <si>
    <t>2006-22-P-04351</t>
    <phoneticPr fontId="3" type="noConversion"/>
  </si>
  <si>
    <t>杨艳艳</t>
    <phoneticPr fontId="3" type="noConversion"/>
  </si>
  <si>
    <t>610303197605011628</t>
    <phoneticPr fontId="3" type="noConversion"/>
  </si>
  <si>
    <t>13572286921</t>
    <phoneticPr fontId="3" type="noConversion"/>
  </si>
  <si>
    <t>14层5单元</t>
    <phoneticPr fontId="3" type="noConversion"/>
  </si>
  <si>
    <t>1403号</t>
    <phoneticPr fontId="3" type="noConversion"/>
  </si>
  <si>
    <t>211394</t>
    <phoneticPr fontId="3" type="noConversion"/>
  </si>
  <si>
    <t>2006-22-P-04646</t>
    <phoneticPr fontId="3" type="noConversion"/>
  </si>
  <si>
    <t>张泽建</t>
    <phoneticPr fontId="3" type="noConversion"/>
  </si>
  <si>
    <t>110111197905316512</t>
    <phoneticPr fontId="3" type="noConversion"/>
  </si>
  <si>
    <t>13661016471</t>
    <phoneticPr fontId="3" type="noConversion"/>
  </si>
  <si>
    <t>11层5单元</t>
    <phoneticPr fontId="3" type="noConversion"/>
  </si>
  <si>
    <t>1103号</t>
    <phoneticPr fontId="3" type="noConversion"/>
  </si>
  <si>
    <t>206245</t>
    <phoneticPr fontId="3" type="noConversion"/>
  </si>
  <si>
    <t>2006-22-P-04744</t>
    <phoneticPr fontId="3" type="noConversion"/>
  </si>
  <si>
    <t>刘业娟、胡少勇</t>
    <phoneticPr fontId="3" type="noConversion"/>
  </si>
  <si>
    <t>430402196512063040、110108196002134512</t>
    <phoneticPr fontId="3" type="noConversion"/>
  </si>
  <si>
    <t>13311012545、63790903</t>
    <phoneticPr fontId="3" type="noConversion"/>
  </si>
  <si>
    <t>0802号</t>
    <phoneticPr fontId="3" type="noConversion"/>
  </si>
  <si>
    <t>156893</t>
    <phoneticPr fontId="3" type="noConversion"/>
  </si>
  <si>
    <t>2006-22-P-04749</t>
    <phoneticPr fontId="3" type="noConversion"/>
  </si>
  <si>
    <t>董磊</t>
    <phoneticPr fontId="3" type="noConversion"/>
  </si>
  <si>
    <t>130602198107070617</t>
    <phoneticPr fontId="3" type="noConversion"/>
  </si>
  <si>
    <t>13811614222、58055597</t>
    <phoneticPr fontId="3" type="noConversion"/>
  </si>
  <si>
    <t>第9层1单元</t>
    <phoneticPr fontId="3" type="noConversion"/>
  </si>
  <si>
    <t>0902号</t>
    <phoneticPr fontId="3" type="noConversion"/>
  </si>
  <si>
    <t>213082</t>
    <phoneticPr fontId="3" type="noConversion"/>
  </si>
  <si>
    <t>2006-22-P-04750</t>
  </si>
  <si>
    <t>牛一菲</t>
    <phoneticPr fontId="3" type="noConversion"/>
  </si>
  <si>
    <t>110104198008012544</t>
    <phoneticPr fontId="3" type="noConversion"/>
  </si>
  <si>
    <t>13911083442、66210985</t>
    <phoneticPr fontId="3" type="noConversion"/>
  </si>
  <si>
    <t>第1层1单元</t>
    <phoneticPr fontId="3" type="noConversion"/>
  </si>
  <si>
    <t>0103号</t>
    <phoneticPr fontId="3" type="noConversion"/>
  </si>
  <si>
    <t>212497</t>
    <phoneticPr fontId="3" type="noConversion"/>
  </si>
  <si>
    <t>2006-22-P-04763</t>
    <phoneticPr fontId="3" type="noConversion"/>
  </si>
  <si>
    <t>李婧</t>
    <phoneticPr fontId="3" type="noConversion"/>
  </si>
  <si>
    <t>110229197912190021</t>
    <phoneticPr fontId="3" type="noConversion"/>
  </si>
  <si>
    <t>13661368956</t>
    <phoneticPr fontId="3" type="noConversion"/>
  </si>
  <si>
    <t>3号楼1505号</t>
    <phoneticPr fontId="3" type="noConversion"/>
  </si>
  <si>
    <t>213200</t>
    <phoneticPr fontId="3" type="noConversion"/>
  </si>
  <si>
    <t>2006-22-P-04832</t>
    <phoneticPr fontId="3" type="noConversion"/>
  </si>
  <si>
    <t>李佳</t>
    <phoneticPr fontId="3" type="noConversion"/>
  </si>
  <si>
    <t>110106198008230616</t>
    <phoneticPr fontId="3" type="noConversion"/>
  </si>
  <si>
    <t>13426047856</t>
    <phoneticPr fontId="3" type="noConversion"/>
  </si>
  <si>
    <t>1402号</t>
    <phoneticPr fontId="3" type="noConversion"/>
  </si>
  <si>
    <t>五</t>
    <phoneticPr fontId="3" type="noConversion"/>
  </si>
  <si>
    <t>205515</t>
    <phoneticPr fontId="3" type="noConversion"/>
  </si>
  <si>
    <t>2006-22-P-04975</t>
    <phoneticPr fontId="3" type="noConversion"/>
  </si>
  <si>
    <t>俞勤学</t>
    <phoneticPr fontId="3" type="noConversion"/>
  </si>
  <si>
    <t>152921800202003</t>
    <phoneticPr fontId="3" type="noConversion"/>
  </si>
  <si>
    <t>13381066075</t>
    <phoneticPr fontId="3" type="noConversion"/>
  </si>
  <si>
    <r>
      <t>第16层</t>
    </r>
    <r>
      <rPr>
        <sz val="10"/>
        <rFont val="Times New Roman"/>
        <family val="1"/>
      </rPr>
      <t/>
    </r>
    <phoneticPr fontId="3" type="noConversion"/>
  </si>
  <si>
    <t>2号楼1804号</t>
    <phoneticPr fontId="3" type="noConversion"/>
  </si>
  <si>
    <t>五</t>
    <phoneticPr fontId="3" type="noConversion"/>
  </si>
  <si>
    <t>208427</t>
    <phoneticPr fontId="3" type="noConversion"/>
  </si>
  <si>
    <t>2006-22-P-05093</t>
    <phoneticPr fontId="3" type="noConversion"/>
  </si>
  <si>
    <t>曲明辉</t>
    <phoneticPr fontId="3" type="noConversion"/>
  </si>
  <si>
    <t>110106197212060023</t>
    <phoneticPr fontId="3" type="noConversion"/>
  </si>
  <si>
    <t>13683198198</t>
    <phoneticPr fontId="3" type="noConversion"/>
  </si>
  <si>
    <t>第16层3单元</t>
    <phoneticPr fontId="3" type="noConversion"/>
  </si>
  <si>
    <t>1601号</t>
    <phoneticPr fontId="3" type="noConversion"/>
  </si>
  <si>
    <t>216339</t>
    <phoneticPr fontId="3" type="noConversion"/>
  </si>
  <si>
    <t>2006-22-P-05094</t>
    <phoneticPr fontId="3" type="noConversion"/>
  </si>
  <si>
    <t>胡涛</t>
    <phoneticPr fontId="3" type="noConversion"/>
  </si>
  <si>
    <t>110223197211130028</t>
    <phoneticPr fontId="3" type="noConversion"/>
  </si>
  <si>
    <t>13693205320</t>
    <phoneticPr fontId="3" type="noConversion"/>
  </si>
  <si>
    <t>第2层2单元</t>
    <phoneticPr fontId="3" type="noConversion"/>
  </si>
  <si>
    <t>0201号</t>
    <phoneticPr fontId="3" type="noConversion"/>
  </si>
  <si>
    <t>213457</t>
    <phoneticPr fontId="3" type="noConversion"/>
  </si>
  <si>
    <t>2006-22-P-05213</t>
    <phoneticPr fontId="3" type="noConversion"/>
  </si>
  <si>
    <t>范伟、王兰姣</t>
    <phoneticPr fontId="3" type="noConversion"/>
  </si>
  <si>
    <t>412323197005086415、412323710819642</t>
    <phoneticPr fontId="3" type="noConversion"/>
  </si>
  <si>
    <t>13501386309</t>
    <phoneticPr fontId="3" type="noConversion"/>
  </si>
  <si>
    <t>3号楼1804号</t>
    <phoneticPr fontId="3" type="noConversion"/>
  </si>
  <si>
    <t>212948</t>
    <phoneticPr fontId="3" type="noConversion"/>
  </si>
  <si>
    <t>2006-22-P-05292-U</t>
    <phoneticPr fontId="3" type="noConversion"/>
  </si>
  <si>
    <t>李健</t>
    <phoneticPr fontId="3" type="noConversion"/>
  </si>
  <si>
    <t>510104197608292877</t>
    <phoneticPr fontId="3" type="noConversion"/>
  </si>
  <si>
    <t>13601179954</t>
    <phoneticPr fontId="3" type="noConversion"/>
  </si>
  <si>
    <t>花乡四合庄怡海花园恒泰园</t>
    <phoneticPr fontId="3" type="noConversion"/>
  </si>
  <si>
    <t>C组团</t>
    <phoneticPr fontId="3" type="noConversion"/>
  </si>
  <si>
    <t>13号楼</t>
    <phoneticPr fontId="3" type="noConversion"/>
  </si>
  <si>
    <t>2-602号</t>
    <phoneticPr fontId="3" type="noConversion"/>
  </si>
  <si>
    <t>李健</t>
    <phoneticPr fontId="3" type="noConversion"/>
  </si>
  <si>
    <t>四室二厅三卫一厨</t>
    <phoneticPr fontId="3" type="noConversion"/>
  </si>
  <si>
    <t>复式√、平层、跃层、错层</t>
    <phoneticPr fontId="3" type="noConversion"/>
  </si>
  <si>
    <t>北京住房公积金管理中心丰台管理部</t>
    <phoneticPr fontId="3" type="noConversion"/>
  </si>
  <si>
    <t>胡哲明</t>
    <phoneticPr fontId="3" type="noConversion"/>
  </si>
  <si>
    <t>现房</t>
    <phoneticPr fontId="3" type="noConversion"/>
  </si>
  <si>
    <t>可抵押商品住宅</t>
    <phoneticPr fontId="3" type="noConversion"/>
  </si>
  <si>
    <t>初审换正式</t>
  </si>
  <si>
    <t xml:space="preserve">贾福清 </t>
    <phoneticPr fontId="3" type="noConversion"/>
  </si>
  <si>
    <t>二手房</t>
    <phoneticPr fontId="3" type="noConversion"/>
  </si>
  <si>
    <t>正常</t>
    <phoneticPr fontId="3" type="noConversion"/>
  </si>
  <si>
    <t>双方</t>
    <phoneticPr fontId="3" type="noConversion"/>
  </si>
  <si>
    <t>不含税费</t>
    <phoneticPr fontId="3" type="noConversion"/>
  </si>
  <si>
    <t>2006-22-P-05471-U</t>
    <phoneticPr fontId="3" type="noConversion"/>
  </si>
  <si>
    <t>李伟</t>
    <phoneticPr fontId="3" type="noConversion"/>
  </si>
  <si>
    <t>133026197906030618</t>
    <phoneticPr fontId="3" type="noConversion"/>
  </si>
  <si>
    <t>13126663600</t>
    <phoneticPr fontId="3" type="noConversion"/>
  </si>
  <si>
    <t>怡海花园富润园</t>
    <phoneticPr fontId="3" type="noConversion"/>
  </si>
  <si>
    <t>201号</t>
    <phoneticPr fontId="3" type="noConversion"/>
  </si>
  <si>
    <t>复式、平层√、跃层、错层</t>
    <phoneticPr fontId="3" type="noConversion"/>
  </si>
  <si>
    <t>北京住房公积金管理中心丰台管理部</t>
    <phoneticPr fontId="3" type="noConversion"/>
  </si>
  <si>
    <t>二手房</t>
    <phoneticPr fontId="3" type="noConversion"/>
  </si>
  <si>
    <t>现售</t>
    <phoneticPr fontId="3" type="noConversion"/>
  </si>
  <si>
    <t>正常</t>
    <phoneticPr fontId="3" type="noConversion"/>
  </si>
  <si>
    <t>中介</t>
    <phoneticPr fontId="3" type="noConversion"/>
  </si>
  <si>
    <t>2006-22-P-05686</t>
    <phoneticPr fontId="3" type="noConversion"/>
  </si>
  <si>
    <t>纪国庆</t>
    <phoneticPr fontId="3" type="noConversion"/>
  </si>
  <si>
    <t>130702581001063</t>
    <phoneticPr fontId="3" type="noConversion"/>
  </si>
  <si>
    <t>13581528868、51856061</t>
    <phoneticPr fontId="3" type="noConversion"/>
  </si>
  <si>
    <r>
      <t>第6层</t>
    </r>
    <r>
      <rPr>
        <sz val="10"/>
        <rFont val="Times New Roman"/>
        <family val="1"/>
      </rPr>
      <t/>
    </r>
    <phoneticPr fontId="3" type="noConversion"/>
  </si>
  <si>
    <t>3号楼0804号</t>
    <phoneticPr fontId="3" type="noConversion"/>
  </si>
  <si>
    <t>北京住房公积金管理中心北京铁路分中心</t>
    <phoneticPr fontId="3" type="noConversion"/>
  </si>
  <si>
    <t>205665</t>
    <phoneticPr fontId="3" type="noConversion"/>
  </si>
  <si>
    <t>2006-22-P-05730</t>
    <phoneticPr fontId="3" type="noConversion"/>
  </si>
  <si>
    <t>于仁洋、吕玲</t>
    <phoneticPr fontId="3" type="noConversion"/>
  </si>
  <si>
    <t>22042219800313351X、220403197912303148</t>
    <phoneticPr fontId="3" type="noConversion"/>
  </si>
  <si>
    <t>13341179095</t>
    <phoneticPr fontId="3" type="noConversion"/>
  </si>
  <si>
    <t>第2层5单元</t>
    <phoneticPr fontId="3" type="noConversion"/>
  </si>
  <si>
    <t>0203号</t>
    <phoneticPr fontId="3" type="noConversion"/>
  </si>
  <si>
    <t>217580</t>
    <phoneticPr fontId="3" type="noConversion"/>
  </si>
  <si>
    <t>2006-22-P-05731</t>
  </si>
  <si>
    <t>于兵</t>
    <phoneticPr fontId="3" type="noConversion"/>
  </si>
  <si>
    <t>110111197206080336</t>
    <phoneticPr fontId="3" type="noConversion"/>
  </si>
  <si>
    <t>13601285630</t>
    <phoneticPr fontId="3" type="noConversion"/>
  </si>
  <si>
    <t>第1层5单元</t>
    <phoneticPr fontId="3" type="noConversion"/>
  </si>
  <si>
    <t>101号</t>
    <phoneticPr fontId="3" type="noConversion"/>
  </si>
  <si>
    <t>二室一厅二卫一厨</t>
    <phoneticPr fontId="3" type="noConversion"/>
  </si>
  <si>
    <t>220185</t>
    <phoneticPr fontId="3" type="noConversion"/>
  </si>
  <si>
    <t>2006-22-P-05732</t>
    <phoneticPr fontId="3" type="noConversion"/>
  </si>
  <si>
    <t>刘五一</t>
    <phoneticPr fontId="3" type="noConversion"/>
  </si>
  <si>
    <t>110221196205010612</t>
    <phoneticPr fontId="3" type="noConversion"/>
  </si>
  <si>
    <t>13651314064</t>
    <phoneticPr fontId="3" type="noConversion"/>
  </si>
  <si>
    <t>第7层4单元</t>
    <phoneticPr fontId="3" type="noConversion"/>
  </si>
  <si>
    <t>0702号</t>
    <phoneticPr fontId="3" type="noConversion"/>
  </si>
  <si>
    <t>221204</t>
    <phoneticPr fontId="3" type="noConversion"/>
  </si>
  <si>
    <t>2006-22-P-05733</t>
    <phoneticPr fontId="3" type="noConversion"/>
  </si>
  <si>
    <t>贺颖莉</t>
    <phoneticPr fontId="3" type="noConversion"/>
  </si>
  <si>
    <t>441421197712295926</t>
    <phoneticPr fontId="3" type="noConversion"/>
  </si>
  <si>
    <t>13718953883</t>
    <phoneticPr fontId="3" type="noConversion"/>
  </si>
  <si>
    <t>0401号</t>
    <phoneticPr fontId="3" type="noConversion"/>
  </si>
  <si>
    <t>218442</t>
    <phoneticPr fontId="3" type="noConversion"/>
  </si>
  <si>
    <t>张颖</t>
    <phoneticPr fontId="3" type="noConversion"/>
  </si>
  <si>
    <t>2006-22-P-05761</t>
    <phoneticPr fontId="3" type="noConversion"/>
  </si>
  <si>
    <t>王征</t>
    <phoneticPr fontId="3" type="noConversion"/>
  </si>
  <si>
    <t>11010119691215151X</t>
    <phoneticPr fontId="3" type="noConversion"/>
  </si>
  <si>
    <t>13661128168</t>
    <phoneticPr fontId="3" type="noConversion"/>
  </si>
  <si>
    <t>6号楼</t>
    <phoneticPr fontId="3" type="noConversion"/>
  </si>
  <si>
    <t>第8层5单元</t>
    <phoneticPr fontId="3" type="noConversion"/>
  </si>
  <si>
    <t>0801号</t>
    <phoneticPr fontId="3" type="noConversion"/>
  </si>
  <si>
    <t>220151</t>
    <phoneticPr fontId="3" type="noConversion"/>
  </si>
  <si>
    <t>2006-22-P-05835</t>
    <phoneticPr fontId="3" type="noConversion"/>
  </si>
  <si>
    <t>李学良</t>
    <phoneticPr fontId="3" type="noConversion"/>
  </si>
  <si>
    <t>110111197406218643</t>
    <phoneticPr fontId="3" type="noConversion"/>
  </si>
  <si>
    <t>13146589382</t>
    <phoneticPr fontId="3" type="noConversion"/>
  </si>
  <si>
    <t>第14层</t>
    <phoneticPr fontId="3" type="noConversion"/>
  </si>
  <si>
    <t>1404号</t>
    <phoneticPr fontId="3" type="noConversion"/>
  </si>
  <si>
    <t>217845</t>
    <phoneticPr fontId="3" type="noConversion"/>
  </si>
  <si>
    <t>2006-22-P-05890</t>
    <phoneticPr fontId="3" type="noConversion"/>
  </si>
  <si>
    <t>朱海霞</t>
    <phoneticPr fontId="3" type="noConversion"/>
  </si>
  <si>
    <t>230104197804304524</t>
    <phoneticPr fontId="3" type="noConversion"/>
  </si>
  <si>
    <t>13581510958</t>
    <phoneticPr fontId="3" type="noConversion"/>
  </si>
  <si>
    <t>6号楼</t>
    <phoneticPr fontId="3" type="noConversion"/>
  </si>
  <si>
    <t>第12层4单元</t>
    <phoneticPr fontId="3" type="noConversion"/>
  </si>
  <si>
    <t>221239</t>
    <phoneticPr fontId="3" type="noConversion"/>
  </si>
  <si>
    <t>2006-22-P-05990</t>
    <phoneticPr fontId="3" type="noConversion"/>
  </si>
  <si>
    <t>王垒</t>
    <phoneticPr fontId="3" type="noConversion"/>
  </si>
  <si>
    <t>410726660510005</t>
    <phoneticPr fontId="3" type="noConversion"/>
  </si>
  <si>
    <t>13683321752</t>
    <phoneticPr fontId="3" type="noConversion"/>
  </si>
  <si>
    <t>第4层5单元</t>
    <phoneticPr fontId="3" type="noConversion"/>
  </si>
  <si>
    <t>223727</t>
    <phoneticPr fontId="3" type="noConversion"/>
  </si>
  <si>
    <t>2006-22-P-06022</t>
    <phoneticPr fontId="3" type="noConversion"/>
  </si>
  <si>
    <t>张君正</t>
    <phoneticPr fontId="3" type="noConversion"/>
  </si>
  <si>
    <t>321123197706247011</t>
    <phoneticPr fontId="3" type="noConversion"/>
  </si>
  <si>
    <t>13581535624</t>
    <phoneticPr fontId="3" type="noConversion"/>
  </si>
  <si>
    <t>第9层5单元</t>
    <phoneticPr fontId="3" type="noConversion"/>
  </si>
  <si>
    <t>0903号</t>
    <phoneticPr fontId="3" type="noConversion"/>
  </si>
  <si>
    <t>212815</t>
    <phoneticPr fontId="3" type="noConversion"/>
  </si>
  <si>
    <t>2006-22-P-06023</t>
    <phoneticPr fontId="3" type="noConversion"/>
  </si>
  <si>
    <t>刘钢</t>
    <phoneticPr fontId="3" type="noConversion"/>
  </si>
  <si>
    <t>110108198001045410</t>
    <phoneticPr fontId="3" type="noConversion"/>
  </si>
  <si>
    <t>13601243500</t>
    <phoneticPr fontId="3" type="noConversion"/>
  </si>
  <si>
    <t>第11层5单元</t>
    <phoneticPr fontId="3" type="noConversion"/>
  </si>
  <si>
    <t>1102号</t>
    <phoneticPr fontId="3" type="noConversion"/>
  </si>
  <si>
    <t>220224</t>
    <phoneticPr fontId="3" type="noConversion"/>
  </si>
  <si>
    <t>2006-22-P-06035</t>
    <phoneticPr fontId="3" type="noConversion"/>
  </si>
  <si>
    <t>王治天</t>
    <phoneticPr fontId="3" type="noConversion"/>
  </si>
  <si>
    <t>210103197801301838</t>
    <phoneticPr fontId="3" type="noConversion"/>
  </si>
  <si>
    <t>13810249910</t>
    <phoneticPr fontId="3" type="noConversion"/>
  </si>
  <si>
    <t>第16层5单元</t>
    <phoneticPr fontId="3" type="noConversion"/>
  </si>
  <si>
    <t>1601号</t>
    <phoneticPr fontId="3" type="noConversion"/>
  </si>
  <si>
    <t>225374</t>
    <phoneticPr fontId="3" type="noConversion"/>
  </si>
  <si>
    <t>2006-22-P-06036</t>
    <phoneticPr fontId="3" type="noConversion"/>
  </si>
  <si>
    <t>许中</t>
    <phoneticPr fontId="3" type="noConversion"/>
  </si>
  <si>
    <t>110106197911061850</t>
    <phoneticPr fontId="3" type="noConversion"/>
  </si>
  <si>
    <t>13911134353</t>
    <phoneticPr fontId="3" type="noConversion"/>
  </si>
  <si>
    <r>
      <t>第17层</t>
    </r>
    <r>
      <rPr>
        <sz val="10"/>
        <rFont val="Times New Roman"/>
        <family val="1"/>
      </rPr>
      <t/>
    </r>
    <phoneticPr fontId="3" type="noConversion"/>
  </si>
  <si>
    <t>2号楼1904号</t>
    <phoneticPr fontId="3" type="noConversion"/>
  </si>
  <si>
    <t>230607</t>
    <phoneticPr fontId="3" type="noConversion"/>
  </si>
  <si>
    <t>2006-22-P-06091</t>
    <phoneticPr fontId="3" type="noConversion"/>
  </si>
  <si>
    <t>施海洋、谢海麓</t>
    <phoneticPr fontId="3" type="noConversion"/>
  </si>
  <si>
    <t>410305197309033019、110108197211135508</t>
    <phoneticPr fontId="3" type="noConversion"/>
  </si>
  <si>
    <t>88022259</t>
    <phoneticPr fontId="3" type="noConversion"/>
  </si>
  <si>
    <t>231405</t>
    <phoneticPr fontId="3" type="noConversion"/>
  </si>
  <si>
    <t>2006-22-P-06097</t>
    <phoneticPr fontId="3" type="noConversion"/>
  </si>
  <si>
    <t>郭峰</t>
    <phoneticPr fontId="3" type="noConversion"/>
  </si>
  <si>
    <t>23020619800430051X</t>
    <phoneticPr fontId="3" type="noConversion"/>
  </si>
  <si>
    <t>13381072807</t>
    <phoneticPr fontId="3" type="noConversion"/>
  </si>
  <si>
    <t>第14层4单元</t>
    <phoneticPr fontId="3" type="noConversion"/>
  </si>
  <si>
    <t>231853</t>
    <phoneticPr fontId="3" type="noConversion"/>
  </si>
  <si>
    <t>2006-22-P-06425</t>
    <phoneticPr fontId="3" type="noConversion"/>
  </si>
  <si>
    <t>韩冬</t>
    <phoneticPr fontId="3" type="noConversion"/>
  </si>
  <si>
    <t>210727198012290310</t>
    <phoneticPr fontId="3" type="noConversion"/>
  </si>
  <si>
    <t>13581716779</t>
    <phoneticPr fontId="3" type="noConversion"/>
  </si>
  <si>
    <t>第10层5单元</t>
    <phoneticPr fontId="3" type="noConversion"/>
  </si>
  <si>
    <t>1001号</t>
    <phoneticPr fontId="3" type="noConversion"/>
  </si>
  <si>
    <t>224637</t>
    <phoneticPr fontId="3" type="noConversion"/>
  </si>
  <si>
    <t>2006-22-P-06426</t>
    <phoneticPr fontId="3" type="noConversion"/>
  </si>
  <si>
    <t>张贵宾</t>
    <phoneticPr fontId="3" type="noConversion"/>
  </si>
  <si>
    <t>620402790127041</t>
    <phoneticPr fontId="3" type="noConversion"/>
  </si>
  <si>
    <t>13810022297</t>
    <phoneticPr fontId="3" type="noConversion"/>
  </si>
  <si>
    <t>第4层1单元</t>
    <phoneticPr fontId="3" type="noConversion"/>
  </si>
  <si>
    <t>236351</t>
    <phoneticPr fontId="3" type="noConversion"/>
  </si>
  <si>
    <t>2006-22-P-06598</t>
    <phoneticPr fontId="3" type="noConversion"/>
  </si>
  <si>
    <t>王志强</t>
    <phoneticPr fontId="3" type="noConversion"/>
  </si>
  <si>
    <t>110103196311080077</t>
    <phoneticPr fontId="3" type="noConversion"/>
  </si>
  <si>
    <t>87203995</t>
    <phoneticPr fontId="3" type="noConversion"/>
  </si>
  <si>
    <t>第5层2单元</t>
    <phoneticPr fontId="3" type="noConversion"/>
  </si>
  <si>
    <t>0501号</t>
    <phoneticPr fontId="3" type="noConversion"/>
  </si>
  <si>
    <t>241906</t>
    <phoneticPr fontId="3" type="noConversion"/>
  </si>
  <si>
    <t>2006-22-P-06619</t>
    <phoneticPr fontId="3" type="noConversion"/>
  </si>
  <si>
    <t>杨荣</t>
    <phoneticPr fontId="3" type="noConversion"/>
  </si>
  <si>
    <t>110106197006250627</t>
    <phoneticPr fontId="3" type="noConversion"/>
  </si>
  <si>
    <t>13701179465</t>
    <phoneticPr fontId="3" type="noConversion"/>
  </si>
  <si>
    <t>第5层5单元</t>
    <phoneticPr fontId="3" type="noConversion"/>
  </si>
  <si>
    <t>222977</t>
    <phoneticPr fontId="3" type="noConversion"/>
  </si>
  <si>
    <t>2006-22-P-06672</t>
    <phoneticPr fontId="3" type="noConversion"/>
  </si>
  <si>
    <t>许敏</t>
    <phoneticPr fontId="3" type="noConversion"/>
  </si>
  <si>
    <t>142603197810222024</t>
    <phoneticPr fontId="3" type="noConversion"/>
  </si>
  <si>
    <t>13911462066</t>
    <phoneticPr fontId="3" type="noConversion"/>
  </si>
  <si>
    <t>236829</t>
    <phoneticPr fontId="3" type="noConversion"/>
  </si>
  <si>
    <t>2006-22-P-06679</t>
    <phoneticPr fontId="3" type="noConversion"/>
  </si>
  <si>
    <t>祝敬</t>
    <phoneticPr fontId="3" type="noConversion"/>
  </si>
  <si>
    <t>421022198008260063</t>
    <phoneticPr fontId="3" type="noConversion"/>
  </si>
  <si>
    <t>13911104379</t>
    <phoneticPr fontId="3" type="noConversion"/>
  </si>
  <si>
    <t>第3层5单元</t>
    <phoneticPr fontId="3" type="noConversion"/>
  </si>
  <si>
    <t>0303号</t>
    <phoneticPr fontId="3" type="noConversion"/>
  </si>
  <si>
    <t>226429</t>
    <phoneticPr fontId="3" type="noConversion"/>
  </si>
  <si>
    <t>2006-22-P-07089</t>
    <phoneticPr fontId="3" type="noConversion"/>
  </si>
  <si>
    <t>宋士博</t>
    <phoneticPr fontId="3" type="noConversion"/>
  </si>
  <si>
    <t>220102196511253461</t>
    <phoneticPr fontId="3" type="noConversion"/>
  </si>
  <si>
    <t>13521481316</t>
    <phoneticPr fontId="3" type="noConversion"/>
  </si>
  <si>
    <t>第16层1单元</t>
    <phoneticPr fontId="3" type="noConversion"/>
  </si>
  <si>
    <t>1602号</t>
    <phoneticPr fontId="3" type="noConversion"/>
  </si>
  <si>
    <t>北京住房公积金管理中心大兴管理部</t>
    <phoneticPr fontId="3" type="noConversion"/>
  </si>
  <si>
    <t>241842</t>
    <phoneticPr fontId="3" type="noConversion"/>
  </si>
  <si>
    <t>2006-22-P-09277</t>
    <phoneticPr fontId="3" type="noConversion"/>
  </si>
  <si>
    <t>张爱敬</t>
    <phoneticPr fontId="3" type="noConversion"/>
  </si>
  <si>
    <t>11010719740824092X</t>
    <phoneticPr fontId="3" type="noConversion"/>
  </si>
  <si>
    <t>13718835004</t>
    <phoneticPr fontId="3" type="noConversion"/>
  </si>
  <si>
    <t>花乡造甲村鸿业兴园</t>
    <phoneticPr fontId="3" type="noConversion"/>
  </si>
  <si>
    <t>16层4单元</t>
    <phoneticPr fontId="3" type="noConversion"/>
  </si>
  <si>
    <t>北京住房公积金管理中心中共中央直属机关分中心</t>
    <phoneticPr fontId="3" type="noConversion"/>
  </si>
  <si>
    <t>91402006100006</t>
    <phoneticPr fontId="3" type="noConversion"/>
  </si>
  <si>
    <t>基本完工</t>
    <phoneticPr fontId="3" type="noConversion"/>
  </si>
  <si>
    <t>十</t>
    <phoneticPr fontId="3" type="noConversion"/>
  </si>
  <si>
    <t>296111</t>
    <phoneticPr fontId="3" type="noConversion"/>
  </si>
  <si>
    <t>2006-22-P-09278</t>
  </si>
  <si>
    <t>李为民</t>
    <phoneticPr fontId="3" type="noConversion"/>
  </si>
  <si>
    <t>110108196406063431</t>
    <phoneticPr fontId="3" type="noConversion"/>
  </si>
  <si>
    <t>13651217115</t>
    <phoneticPr fontId="3" type="noConversion"/>
  </si>
  <si>
    <t>16层3单元</t>
    <phoneticPr fontId="3" type="noConversion"/>
  </si>
  <si>
    <t>91402006100003</t>
    <phoneticPr fontId="3" type="noConversion"/>
  </si>
  <si>
    <t>305870</t>
    <phoneticPr fontId="3" type="noConversion"/>
  </si>
  <si>
    <t>2006-22-P-09711-U</t>
    <phoneticPr fontId="3" type="noConversion"/>
  </si>
  <si>
    <t>郭志萍、郭伟</t>
    <phoneticPr fontId="3" type="noConversion"/>
  </si>
  <si>
    <t>230421198010250023、130602197706040976</t>
    <phoneticPr fontId="3" type="noConversion"/>
  </si>
  <si>
    <t>13146994847</t>
    <phoneticPr fontId="3" type="noConversion"/>
  </si>
  <si>
    <t>怡海花园富泽园</t>
    <phoneticPr fontId="3" type="noConversion"/>
  </si>
  <si>
    <t>2302号</t>
    <phoneticPr fontId="3" type="noConversion"/>
  </si>
  <si>
    <t>郭志萍、郭伟</t>
  </si>
  <si>
    <t>一室一厅一卫一厨</t>
    <phoneticPr fontId="3" type="noConversion"/>
  </si>
  <si>
    <t>北京住房公积金管理中心住房公积金贷款中心</t>
    <phoneticPr fontId="3" type="noConversion"/>
  </si>
  <si>
    <t>苏海</t>
    <phoneticPr fontId="3" type="noConversion"/>
  </si>
  <si>
    <t>可抵押商品住宅</t>
    <phoneticPr fontId="3" type="noConversion"/>
  </si>
  <si>
    <t>十一</t>
    <phoneticPr fontId="3" type="noConversion"/>
  </si>
  <si>
    <t>2006-3-1D1-784CJD</t>
    <phoneticPr fontId="3" type="noConversion"/>
  </si>
  <si>
    <t>白景生</t>
    <phoneticPr fontId="3" type="noConversion"/>
  </si>
  <si>
    <t>买卖协议</t>
    <phoneticPr fontId="3" type="noConversion"/>
  </si>
  <si>
    <t>林薇</t>
    <phoneticPr fontId="3" type="noConversion"/>
  </si>
  <si>
    <t>中介</t>
    <phoneticPr fontId="3" type="noConversion"/>
  </si>
  <si>
    <t>不含税费</t>
    <phoneticPr fontId="3" type="noConversion"/>
  </si>
  <si>
    <t>2006-2-CP-00132</t>
    <phoneticPr fontId="3" type="noConversion"/>
  </si>
  <si>
    <t>何小航</t>
    <phoneticPr fontId="3" type="noConversion"/>
  </si>
  <si>
    <t>652402720904111</t>
    <phoneticPr fontId="3" type="noConversion"/>
  </si>
  <si>
    <t>13501136483</t>
    <phoneticPr fontId="3" type="noConversion"/>
  </si>
  <si>
    <t>第21层</t>
    <phoneticPr fontId="3" type="noConversion"/>
  </si>
  <si>
    <t>2104号</t>
    <phoneticPr fontId="3" type="noConversion"/>
  </si>
  <si>
    <t>北京住房公积金管理中心方庄管理部</t>
    <phoneticPr fontId="3" type="noConversion"/>
  </si>
  <si>
    <t>221010</t>
    <phoneticPr fontId="3" type="noConversion"/>
  </si>
  <si>
    <t>2006-2-CP-00297</t>
    <phoneticPr fontId="3" type="noConversion"/>
  </si>
  <si>
    <t>张铮</t>
    <phoneticPr fontId="3" type="noConversion"/>
  </si>
  <si>
    <t>61010319720210241X</t>
    <phoneticPr fontId="3" type="noConversion"/>
  </si>
  <si>
    <t>D4号楼</t>
    <phoneticPr fontId="3" type="noConversion"/>
  </si>
  <si>
    <r>
      <t>第19层</t>
    </r>
    <r>
      <rPr>
        <sz val="10"/>
        <rFont val="Times New Roman"/>
        <family val="1"/>
      </rPr>
      <t/>
    </r>
    <phoneticPr fontId="3" type="noConversion"/>
  </si>
  <si>
    <t>1903号</t>
    <phoneticPr fontId="3" type="noConversion"/>
  </si>
  <si>
    <t>北京怡海花园房地产开发有限公司</t>
    <phoneticPr fontId="3" type="noConversion"/>
  </si>
  <si>
    <t>19</t>
    <phoneticPr fontId="3" type="noConversion"/>
  </si>
  <si>
    <t>三</t>
    <phoneticPr fontId="3" type="noConversion"/>
  </si>
  <si>
    <t>2006-2-CP-00738-U</t>
    <phoneticPr fontId="3" type="noConversion"/>
  </si>
  <si>
    <t>王德奇</t>
    <phoneticPr fontId="3" type="noConversion"/>
  </si>
  <si>
    <t>110111196209100318</t>
    <phoneticPr fontId="3" type="noConversion"/>
  </si>
  <si>
    <t>怡海花园恒泰园</t>
    <phoneticPr fontId="3" type="noConversion"/>
  </si>
  <si>
    <t>3号楼</t>
    <phoneticPr fontId="3" type="noConversion"/>
  </si>
  <si>
    <t>白媛媛</t>
    <phoneticPr fontId="3" type="noConversion"/>
  </si>
  <si>
    <t>复式、平层√、跃层、错层</t>
    <phoneticPr fontId="3" type="noConversion"/>
  </si>
  <si>
    <t>北京住房公积金管理中心住房公积金贷款中心</t>
    <phoneticPr fontId="3" type="noConversion"/>
  </si>
  <si>
    <t>现房</t>
    <phoneticPr fontId="3" type="noConversion"/>
  </si>
  <si>
    <t xml:space="preserve">二 </t>
    <phoneticPr fontId="3" type="noConversion"/>
  </si>
  <si>
    <t>胡哲明</t>
    <phoneticPr fontId="3" type="noConversion"/>
  </si>
  <si>
    <t>初审意见书</t>
    <phoneticPr fontId="3" type="noConversion"/>
  </si>
  <si>
    <t>协议</t>
    <phoneticPr fontId="3" type="noConversion"/>
  </si>
  <si>
    <t>中介</t>
    <phoneticPr fontId="3" type="noConversion"/>
  </si>
  <si>
    <t>2006-2-CP-00874</t>
    <phoneticPr fontId="3" type="noConversion"/>
  </si>
  <si>
    <t>周立坤、杨雪潆</t>
    <phoneticPr fontId="3" type="noConversion"/>
  </si>
  <si>
    <t>110102196102122393、110102196012272320</t>
    <phoneticPr fontId="3" type="noConversion"/>
  </si>
  <si>
    <t>13701160752</t>
    <phoneticPr fontId="3" type="noConversion"/>
  </si>
  <si>
    <t>第14层1单元</t>
    <phoneticPr fontId="3" type="noConversion"/>
  </si>
  <si>
    <t>北京住房公积金管理中心住房公积金贷款中心</t>
    <phoneticPr fontId="3" type="noConversion"/>
  </si>
  <si>
    <t>248593</t>
    <phoneticPr fontId="3" type="noConversion"/>
  </si>
  <si>
    <t>2006-2-CP-00908</t>
    <phoneticPr fontId="3" type="noConversion"/>
  </si>
  <si>
    <t>钮永杰</t>
    <phoneticPr fontId="3" type="noConversion"/>
  </si>
  <si>
    <t>110225640629032</t>
    <phoneticPr fontId="3" type="noConversion"/>
  </si>
  <si>
    <t>13691078785</t>
    <phoneticPr fontId="3" type="noConversion"/>
  </si>
  <si>
    <t>第2层5单元</t>
    <phoneticPr fontId="3" type="noConversion"/>
  </si>
  <si>
    <t>239024</t>
    <phoneticPr fontId="3" type="noConversion"/>
  </si>
  <si>
    <t>2006-2-CP-01291</t>
    <phoneticPr fontId="3" type="noConversion"/>
  </si>
  <si>
    <t>隋文珍</t>
    <phoneticPr fontId="3" type="noConversion"/>
  </si>
  <si>
    <t>370721196312142042</t>
    <phoneticPr fontId="3" type="noConversion"/>
  </si>
  <si>
    <t>13501153048</t>
    <phoneticPr fontId="3" type="noConversion"/>
  </si>
  <si>
    <t>第3层1单元</t>
    <phoneticPr fontId="3" type="noConversion"/>
  </si>
  <si>
    <t>245327</t>
    <phoneticPr fontId="3" type="noConversion"/>
  </si>
  <si>
    <t>2006-2-CP-01979</t>
    <phoneticPr fontId="3" type="noConversion"/>
  </si>
  <si>
    <t>邢振杰</t>
    <phoneticPr fontId="3" type="noConversion"/>
  </si>
  <si>
    <t>110108196601236473</t>
    <phoneticPr fontId="3" type="noConversion"/>
  </si>
  <si>
    <t>六</t>
    <phoneticPr fontId="3" type="noConversion"/>
  </si>
  <si>
    <t>刘珊</t>
    <phoneticPr fontId="3" type="noConversion"/>
  </si>
  <si>
    <t>预售</t>
    <phoneticPr fontId="3" type="noConversion"/>
  </si>
  <si>
    <t>2006-2-CP-03162-U</t>
    <phoneticPr fontId="3" type="noConversion"/>
  </si>
  <si>
    <t>王立志</t>
    <phoneticPr fontId="3" type="noConversion"/>
  </si>
  <si>
    <t>110224197403103610</t>
    <phoneticPr fontId="3" type="noConversion"/>
  </si>
  <si>
    <t>13381156360</t>
    <phoneticPr fontId="3" type="noConversion"/>
  </si>
  <si>
    <t>丰台区</t>
    <phoneticPr fontId="3" type="noConversion"/>
  </si>
  <si>
    <t>怡海花园恒丰园</t>
    <phoneticPr fontId="3" type="noConversion"/>
  </si>
  <si>
    <t>15号楼</t>
    <phoneticPr fontId="3" type="noConversion"/>
  </si>
  <si>
    <t>1-602</t>
    <phoneticPr fontId="3" type="noConversion"/>
  </si>
  <si>
    <t>胡灏</t>
    <phoneticPr fontId="3" type="noConversion"/>
  </si>
  <si>
    <t>京房权证丰私字第122223号</t>
    <phoneticPr fontId="3" type="noConversion"/>
  </si>
  <si>
    <t>买卖协议</t>
    <phoneticPr fontId="3" type="noConversion"/>
  </si>
  <si>
    <t>现售</t>
    <phoneticPr fontId="3" type="noConversion"/>
  </si>
  <si>
    <t>2006-2-CP-03220-U</t>
    <phoneticPr fontId="3" type="noConversion"/>
  </si>
  <si>
    <t>胡志军</t>
    <phoneticPr fontId="3" type="noConversion"/>
  </si>
  <si>
    <t>110106197202110031</t>
    <phoneticPr fontId="3" type="noConversion"/>
  </si>
  <si>
    <r>
      <t>怡海花园富泽园</t>
    </r>
    <r>
      <rPr>
        <sz val="10"/>
        <rFont val="Times New Roman"/>
        <family val="1"/>
      </rPr>
      <t/>
    </r>
    <phoneticPr fontId="3" type="noConversion"/>
  </si>
  <si>
    <t>褚健彪</t>
    <phoneticPr fontId="3" type="noConversion"/>
  </si>
  <si>
    <t>二室一厅一卫一厨</t>
    <phoneticPr fontId="3" type="noConversion"/>
  </si>
  <si>
    <t>复式、平层√、跃层、错层</t>
    <phoneticPr fontId="3" type="noConversion"/>
  </si>
  <si>
    <t>武晓楠</t>
    <phoneticPr fontId="3" type="noConversion"/>
  </si>
  <si>
    <t>七</t>
    <phoneticPr fontId="3" type="noConversion"/>
  </si>
  <si>
    <t>褚健彪</t>
  </si>
  <si>
    <t>不含任何税费</t>
    <phoneticPr fontId="3" type="noConversion"/>
  </si>
  <si>
    <t>2006-2-CP-03290</t>
    <phoneticPr fontId="3" type="noConversion"/>
  </si>
  <si>
    <t>张玥琛</t>
    <phoneticPr fontId="3" type="noConversion"/>
  </si>
  <si>
    <t>110106198011060339</t>
    <phoneticPr fontId="3" type="noConversion"/>
  </si>
  <si>
    <t>13910250599</t>
    <phoneticPr fontId="3" type="noConversion"/>
  </si>
  <si>
    <t>第15层2单元</t>
    <phoneticPr fontId="3" type="noConversion"/>
  </si>
  <si>
    <t>91302006070004</t>
    <phoneticPr fontId="3" type="noConversion"/>
  </si>
  <si>
    <t>238431</t>
    <phoneticPr fontId="3" type="noConversion"/>
  </si>
  <si>
    <t>2006-2-CP-03363</t>
    <phoneticPr fontId="3" type="noConversion"/>
  </si>
  <si>
    <t>闵霞</t>
    <phoneticPr fontId="3" type="noConversion"/>
  </si>
  <si>
    <t>110104196001013027</t>
    <phoneticPr fontId="3" type="noConversion"/>
  </si>
  <si>
    <t>13683341519</t>
    <phoneticPr fontId="3" type="noConversion"/>
  </si>
  <si>
    <t>第7层1单元</t>
    <phoneticPr fontId="3" type="noConversion"/>
  </si>
  <si>
    <t>91302006070117</t>
    <phoneticPr fontId="3" type="noConversion"/>
  </si>
  <si>
    <t>241462</t>
    <phoneticPr fontId="3" type="noConversion"/>
  </si>
  <si>
    <t>2006-2-CP-03421</t>
    <phoneticPr fontId="3" type="noConversion"/>
  </si>
  <si>
    <t>刘宁</t>
    <phoneticPr fontId="3" type="noConversion"/>
  </si>
  <si>
    <t>110106197804260010</t>
    <phoneticPr fontId="3" type="noConversion"/>
  </si>
  <si>
    <t>13911377771</t>
    <phoneticPr fontId="3" type="noConversion"/>
  </si>
  <si>
    <t>第16层2单元</t>
    <phoneticPr fontId="3" type="noConversion"/>
  </si>
  <si>
    <t>91302006070201</t>
    <phoneticPr fontId="3" type="noConversion"/>
  </si>
  <si>
    <t>李晓岩</t>
    <phoneticPr fontId="3" type="noConversion"/>
  </si>
  <si>
    <t>274514</t>
    <phoneticPr fontId="3" type="noConversion"/>
  </si>
  <si>
    <t>2006-2-CP-03745</t>
    <phoneticPr fontId="3" type="noConversion"/>
  </si>
  <si>
    <t>付金、戴兵</t>
    <phoneticPr fontId="3" type="noConversion"/>
  </si>
  <si>
    <t>110104800918252、210102770223001</t>
    <phoneticPr fontId="3" type="noConversion"/>
  </si>
  <si>
    <t>13001272711、86482072</t>
    <phoneticPr fontId="3" type="noConversion"/>
  </si>
  <si>
    <t>第6层1单元</t>
    <phoneticPr fontId="3" type="noConversion"/>
  </si>
  <si>
    <t>0602号</t>
    <phoneticPr fontId="3" type="noConversion"/>
  </si>
  <si>
    <t>二室二厅一卫一厨</t>
    <phoneticPr fontId="3" type="noConversion"/>
  </si>
  <si>
    <t>91302006070663</t>
    <phoneticPr fontId="3" type="noConversion"/>
  </si>
  <si>
    <t>272399</t>
    <phoneticPr fontId="3" type="noConversion"/>
  </si>
  <si>
    <t>2006-2-CP-03750-U</t>
    <phoneticPr fontId="3" type="noConversion"/>
  </si>
  <si>
    <t>李昆</t>
    <phoneticPr fontId="3" type="noConversion"/>
  </si>
  <si>
    <t>63010519740717101X</t>
    <phoneticPr fontId="3" type="noConversion"/>
  </si>
  <si>
    <t>13488867536</t>
    <phoneticPr fontId="3" type="noConversion"/>
  </si>
  <si>
    <t>1913</t>
    <phoneticPr fontId="3" type="noConversion"/>
  </si>
  <si>
    <t>何廷梅</t>
    <phoneticPr fontId="3" type="noConversion"/>
  </si>
  <si>
    <t>京房权证市丰私字第2760545号</t>
    <phoneticPr fontId="3" type="noConversion"/>
  </si>
  <si>
    <t>2006-2-CP-03944-U</t>
    <phoneticPr fontId="3" type="noConversion"/>
  </si>
  <si>
    <t>李宏伟</t>
    <phoneticPr fontId="3" type="noConversion"/>
  </si>
  <si>
    <t>110106197803122118</t>
    <phoneticPr fontId="3" type="noConversion"/>
  </si>
  <si>
    <t>13911557147</t>
    <phoneticPr fontId="3" type="noConversion"/>
  </si>
  <si>
    <t>怡海花园富润园</t>
    <phoneticPr fontId="3" type="noConversion"/>
  </si>
  <si>
    <t>108号</t>
    <phoneticPr fontId="3" type="noConversion"/>
  </si>
  <si>
    <t>京房权证丰私字第126299号</t>
    <phoneticPr fontId="3" type="noConversion"/>
  </si>
  <si>
    <t>张仪</t>
    <phoneticPr fontId="3" type="noConversion"/>
  </si>
  <si>
    <t>不含税费</t>
    <phoneticPr fontId="3" type="noConversion"/>
  </si>
  <si>
    <t>2006-2-CP-04652-U</t>
    <phoneticPr fontId="3" type="noConversion"/>
  </si>
  <si>
    <t>吕晶</t>
    <phoneticPr fontId="3" type="noConversion"/>
  </si>
  <si>
    <t>14243019791214001X</t>
    <phoneticPr fontId="3" type="noConversion"/>
  </si>
  <si>
    <t>13501036967</t>
    <phoneticPr fontId="3" type="noConversion"/>
  </si>
  <si>
    <t>花乡四合庄怡海花园恒泰园C组团</t>
    <phoneticPr fontId="3" type="noConversion"/>
  </si>
  <si>
    <t>17号楼</t>
    <phoneticPr fontId="3" type="noConversion"/>
  </si>
  <si>
    <t>602</t>
    <phoneticPr fontId="3" type="noConversion"/>
  </si>
  <si>
    <t>京房权证丰私成字第24017号</t>
    <phoneticPr fontId="3" type="noConversion"/>
  </si>
  <si>
    <t>买卖协议</t>
    <phoneticPr fontId="3" type="noConversion"/>
  </si>
  <si>
    <t>2006-2-CP-04703</t>
    <phoneticPr fontId="3" type="noConversion"/>
  </si>
  <si>
    <t>曹慧文</t>
    <phoneticPr fontId="3" type="noConversion"/>
  </si>
  <si>
    <t>14022419810105063X</t>
    <phoneticPr fontId="3" type="noConversion"/>
  </si>
  <si>
    <t>13810150459</t>
    <phoneticPr fontId="3" type="noConversion"/>
  </si>
  <si>
    <t>10号楼</t>
    <phoneticPr fontId="3" type="noConversion"/>
  </si>
  <si>
    <t>6层1单元</t>
    <phoneticPr fontId="3" type="noConversion"/>
  </si>
  <si>
    <t>91302006080382</t>
    <phoneticPr fontId="3" type="noConversion"/>
  </si>
  <si>
    <t>张颖</t>
    <phoneticPr fontId="3" type="noConversion"/>
  </si>
  <si>
    <t>301069</t>
    <phoneticPr fontId="3" type="noConversion"/>
  </si>
  <si>
    <t>2006-2-CP-04720-U</t>
    <phoneticPr fontId="3" type="noConversion"/>
  </si>
  <si>
    <t>杨东波</t>
    <phoneticPr fontId="3" type="noConversion"/>
  </si>
  <si>
    <t>332602197802251270</t>
    <phoneticPr fontId="3" type="noConversion"/>
  </si>
  <si>
    <t>4-102</t>
    <phoneticPr fontId="3" type="noConversion"/>
  </si>
  <si>
    <t>杨斌</t>
    <phoneticPr fontId="3" type="noConversion"/>
  </si>
  <si>
    <t>范永刚</t>
    <phoneticPr fontId="3" type="noConversion"/>
  </si>
  <si>
    <t>2006-2-CP-04886</t>
    <phoneticPr fontId="3" type="noConversion"/>
  </si>
  <si>
    <t>张海龙</t>
    <phoneticPr fontId="3" type="noConversion"/>
  </si>
  <si>
    <t>110108197612069337</t>
    <phoneticPr fontId="3" type="noConversion"/>
  </si>
  <si>
    <t>13810107061</t>
    <phoneticPr fontId="3" type="noConversion"/>
  </si>
  <si>
    <t>第13层5单元</t>
    <phoneticPr fontId="3" type="noConversion"/>
  </si>
  <si>
    <t>1303号</t>
    <phoneticPr fontId="3" type="noConversion"/>
  </si>
  <si>
    <t>91302006080665</t>
    <phoneticPr fontId="3" type="noConversion"/>
  </si>
  <si>
    <t>八</t>
    <phoneticPr fontId="3" type="noConversion"/>
  </si>
  <si>
    <t>263491</t>
    <phoneticPr fontId="3" type="noConversion"/>
  </si>
  <si>
    <t>2006-2-CP-04927</t>
    <phoneticPr fontId="3" type="noConversion"/>
  </si>
  <si>
    <t>王亮、杜乃一</t>
    <phoneticPr fontId="3" type="noConversion"/>
  </si>
  <si>
    <t>110108197304083719、120106197309251522</t>
    <phoneticPr fontId="3" type="noConversion"/>
  </si>
  <si>
    <t>13801394326</t>
    <phoneticPr fontId="3" type="noConversion"/>
  </si>
  <si>
    <t>5层1单元</t>
    <phoneticPr fontId="3" type="noConversion"/>
  </si>
  <si>
    <t>91302006080738</t>
    <phoneticPr fontId="3" type="noConversion"/>
  </si>
  <si>
    <t>300347</t>
    <phoneticPr fontId="3" type="noConversion"/>
  </si>
  <si>
    <t>2006-2-CP-04951</t>
    <phoneticPr fontId="3" type="noConversion"/>
  </si>
  <si>
    <t>孟雨</t>
    <phoneticPr fontId="3" type="noConversion"/>
  </si>
  <si>
    <t>152301800212352</t>
    <phoneticPr fontId="3" type="noConversion"/>
  </si>
  <si>
    <t>13366961431</t>
    <phoneticPr fontId="3" type="noConversion"/>
  </si>
  <si>
    <t>第4层2号楼</t>
    <phoneticPr fontId="3" type="noConversion"/>
  </si>
  <si>
    <t>91302006080771</t>
    <phoneticPr fontId="3" type="noConversion"/>
  </si>
  <si>
    <t>277502</t>
    <phoneticPr fontId="3" type="noConversion"/>
  </si>
  <si>
    <t>2006-2-CP-05037</t>
    <phoneticPr fontId="3" type="noConversion"/>
  </si>
  <si>
    <t>赵乾</t>
    <phoneticPr fontId="3" type="noConversion"/>
  </si>
  <si>
    <t>13063619820504001X</t>
    <phoneticPr fontId="3" type="noConversion"/>
  </si>
  <si>
    <t>第2层1单元</t>
    <phoneticPr fontId="3" type="noConversion"/>
  </si>
  <si>
    <t>91302006080894</t>
    <phoneticPr fontId="3" type="noConversion"/>
  </si>
  <si>
    <t>2006-2-CP-05088</t>
    <phoneticPr fontId="3" type="noConversion"/>
  </si>
  <si>
    <t>杨永利</t>
    <phoneticPr fontId="3" type="noConversion"/>
  </si>
  <si>
    <t>11010419560208001X</t>
    <phoneticPr fontId="3" type="noConversion"/>
  </si>
  <si>
    <t>13681085575</t>
    <phoneticPr fontId="3" type="noConversion"/>
  </si>
  <si>
    <t>8层4单元</t>
    <phoneticPr fontId="3" type="noConversion"/>
  </si>
  <si>
    <t>0801号</t>
    <phoneticPr fontId="3" type="noConversion"/>
  </si>
  <si>
    <t>91302006080978</t>
    <phoneticPr fontId="3" type="noConversion"/>
  </si>
  <si>
    <t>305041</t>
    <phoneticPr fontId="3" type="noConversion"/>
  </si>
  <si>
    <t>2006-2-CP-05177-U</t>
    <phoneticPr fontId="3" type="noConversion"/>
  </si>
  <si>
    <t>关越</t>
    <phoneticPr fontId="3" type="noConversion"/>
  </si>
  <si>
    <t>620102197612251114</t>
    <phoneticPr fontId="3" type="noConversion"/>
  </si>
  <si>
    <t>13910268776</t>
    <phoneticPr fontId="3" type="noConversion"/>
  </si>
  <si>
    <t>怡海花园富润园</t>
    <phoneticPr fontId="3" type="noConversion"/>
  </si>
  <si>
    <t xml:space="preserve">1310号 </t>
    <phoneticPr fontId="3" type="noConversion"/>
  </si>
  <si>
    <t>关越</t>
  </si>
  <si>
    <t>京房权证丰私字第127047号</t>
    <phoneticPr fontId="3" type="noConversion"/>
  </si>
  <si>
    <t>刘唐宁</t>
    <phoneticPr fontId="3" type="noConversion"/>
  </si>
  <si>
    <t>2006-2-CP-05659</t>
    <phoneticPr fontId="3" type="noConversion"/>
  </si>
  <si>
    <t>房海云</t>
    <phoneticPr fontId="3" type="noConversion"/>
  </si>
  <si>
    <t>140103197807273323</t>
    <phoneticPr fontId="3" type="noConversion"/>
  </si>
  <si>
    <t>13810641893</t>
    <phoneticPr fontId="3" type="noConversion"/>
  </si>
  <si>
    <t>7层5单元</t>
    <phoneticPr fontId="3" type="noConversion"/>
  </si>
  <si>
    <t>91302006090138</t>
    <phoneticPr fontId="3" type="noConversion"/>
  </si>
  <si>
    <t>311247</t>
    <phoneticPr fontId="3" type="noConversion"/>
  </si>
  <si>
    <t>2006-2-CP-05692</t>
    <phoneticPr fontId="3" type="noConversion"/>
  </si>
  <si>
    <t>靳榕</t>
    <phoneticPr fontId="3" type="noConversion"/>
  </si>
  <si>
    <t>12010119790223051X</t>
    <phoneticPr fontId="3" type="noConversion"/>
  </si>
  <si>
    <t>13601300761</t>
    <phoneticPr fontId="3" type="noConversion"/>
  </si>
  <si>
    <t>10号楼</t>
    <phoneticPr fontId="3" type="noConversion"/>
  </si>
  <si>
    <t>91302006090197</t>
    <phoneticPr fontId="3" type="noConversion"/>
  </si>
  <si>
    <t>312558</t>
    <phoneticPr fontId="3" type="noConversion"/>
  </si>
  <si>
    <t>2006-2-CP-05847</t>
    <phoneticPr fontId="3" type="noConversion"/>
  </si>
  <si>
    <t>李政</t>
    <phoneticPr fontId="3" type="noConversion"/>
  </si>
  <si>
    <t>110106197806130033</t>
    <phoneticPr fontId="3" type="noConversion"/>
  </si>
  <si>
    <t>13910703793</t>
    <phoneticPr fontId="3" type="noConversion"/>
  </si>
  <si>
    <t>2层2单元</t>
    <phoneticPr fontId="3" type="noConversion"/>
  </si>
  <si>
    <t>91302006090454</t>
    <phoneticPr fontId="3" type="noConversion"/>
  </si>
  <si>
    <t>310594</t>
    <phoneticPr fontId="3" type="noConversion"/>
  </si>
  <si>
    <t>2006-2-CP-06232</t>
    <phoneticPr fontId="3" type="noConversion"/>
  </si>
  <si>
    <t>马宁</t>
    <phoneticPr fontId="3" type="noConversion"/>
  </si>
  <si>
    <t>120105198301215445</t>
    <phoneticPr fontId="3" type="noConversion"/>
  </si>
  <si>
    <t>13581902958</t>
    <phoneticPr fontId="3" type="noConversion"/>
  </si>
  <si>
    <t>9层2单元</t>
    <phoneticPr fontId="3" type="noConversion"/>
  </si>
  <si>
    <t>91302006091060</t>
    <phoneticPr fontId="3" type="noConversion"/>
  </si>
  <si>
    <t>322423</t>
    <phoneticPr fontId="3" type="noConversion"/>
  </si>
  <si>
    <t>2006-2-CP-06272</t>
    <phoneticPr fontId="3" type="noConversion"/>
  </si>
  <si>
    <t>王利新</t>
    <phoneticPr fontId="3" type="noConversion"/>
  </si>
  <si>
    <t>11010619701105062X</t>
    <phoneticPr fontId="3" type="noConversion"/>
  </si>
  <si>
    <t>4层3单元</t>
    <phoneticPr fontId="3" type="noConversion"/>
  </si>
  <si>
    <t>0402号</t>
    <phoneticPr fontId="3" type="noConversion"/>
  </si>
  <si>
    <t>91302006091121</t>
    <phoneticPr fontId="3" type="noConversion"/>
  </si>
  <si>
    <t>九</t>
    <phoneticPr fontId="3" type="noConversion"/>
  </si>
  <si>
    <t>2006-2-CP-06302</t>
    <phoneticPr fontId="3" type="noConversion"/>
  </si>
  <si>
    <t>陈晓庆</t>
    <phoneticPr fontId="3" type="noConversion"/>
  </si>
  <si>
    <t>230421198010013124</t>
    <phoneticPr fontId="3" type="noConversion"/>
  </si>
  <si>
    <t>13651328047</t>
    <phoneticPr fontId="3" type="noConversion"/>
  </si>
  <si>
    <t>2层5单元</t>
    <phoneticPr fontId="3" type="noConversion"/>
  </si>
  <si>
    <t>91302006091159</t>
    <phoneticPr fontId="3" type="noConversion"/>
  </si>
  <si>
    <t>323749</t>
    <phoneticPr fontId="3" type="noConversion"/>
  </si>
  <si>
    <t>2006-2-CP-06426</t>
    <phoneticPr fontId="3" type="noConversion"/>
  </si>
  <si>
    <t>宋宏杰</t>
    <phoneticPr fontId="3" type="noConversion"/>
  </si>
  <si>
    <t>220202197102070648</t>
    <phoneticPr fontId="3" type="noConversion"/>
  </si>
  <si>
    <t>13683382720</t>
    <phoneticPr fontId="3" type="noConversion"/>
  </si>
  <si>
    <t>91302006091345</t>
    <phoneticPr fontId="3" type="noConversion"/>
  </si>
  <si>
    <t>287440</t>
    <phoneticPr fontId="3" type="noConversion"/>
  </si>
  <si>
    <t>2006-2-CP-06602</t>
    <phoneticPr fontId="3" type="noConversion"/>
  </si>
  <si>
    <t>席建国</t>
    <phoneticPr fontId="3" type="noConversion"/>
  </si>
  <si>
    <t>110225196409305557</t>
    <phoneticPr fontId="3" type="noConversion"/>
  </si>
  <si>
    <t>13381265870</t>
    <phoneticPr fontId="3" type="noConversion"/>
  </si>
  <si>
    <t>花乡造甲村鸿业兴园P1、P7、2、3号楼</t>
    <phoneticPr fontId="3" type="noConversion"/>
  </si>
  <si>
    <t>4层2号楼</t>
    <phoneticPr fontId="3" type="noConversion"/>
  </si>
  <si>
    <t>0606号</t>
    <phoneticPr fontId="3" type="noConversion"/>
  </si>
  <si>
    <t>91302006091630</t>
    <phoneticPr fontId="3" type="noConversion"/>
  </si>
  <si>
    <t>315183</t>
    <phoneticPr fontId="3" type="noConversion"/>
  </si>
  <si>
    <t>2006-2-CP-07482</t>
    <phoneticPr fontId="3" type="noConversion"/>
  </si>
  <si>
    <t>赵昕</t>
    <phoneticPr fontId="3" type="noConversion"/>
  </si>
  <si>
    <t>110104197505282022</t>
    <phoneticPr fontId="3" type="noConversion"/>
  </si>
  <si>
    <t>13621000570</t>
    <phoneticPr fontId="3" type="noConversion"/>
  </si>
  <si>
    <t>10层1单元</t>
    <phoneticPr fontId="3" type="noConversion"/>
  </si>
  <si>
    <t>91302006100854</t>
    <phoneticPr fontId="3" type="noConversion"/>
  </si>
  <si>
    <t>347011</t>
    <phoneticPr fontId="3" type="noConversion"/>
  </si>
  <si>
    <t>2006-2-CP-08088</t>
    <phoneticPr fontId="3" type="noConversion"/>
  </si>
  <si>
    <t>冯力</t>
    <phoneticPr fontId="3" type="noConversion"/>
  </si>
  <si>
    <t>120105196906022137</t>
    <phoneticPr fontId="3" type="noConversion"/>
  </si>
  <si>
    <t>13261368877</t>
    <phoneticPr fontId="3" type="noConversion"/>
  </si>
  <si>
    <t>11层3单元</t>
    <phoneticPr fontId="3" type="noConversion"/>
  </si>
  <si>
    <t>91302006110110</t>
    <phoneticPr fontId="3" type="noConversion"/>
  </si>
  <si>
    <t>350293</t>
    <phoneticPr fontId="3" type="noConversion"/>
  </si>
  <si>
    <t>2006-2-CP-08711-U</t>
    <phoneticPr fontId="3" type="noConversion"/>
  </si>
  <si>
    <t>杨春雨</t>
    <phoneticPr fontId="3" type="noConversion"/>
  </si>
  <si>
    <t>232131198204194224</t>
    <phoneticPr fontId="3" type="noConversion"/>
  </si>
  <si>
    <t>13811546800</t>
    <phoneticPr fontId="3" type="noConversion"/>
  </si>
  <si>
    <t>程卓</t>
    <phoneticPr fontId="3" type="noConversion"/>
  </si>
  <si>
    <t>十二</t>
    <phoneticPr fontId="3" type="noConversion"/>
  </si>
  <si>
    <t>2006-2-CP-10611</t>
    <phoneticPr fontId="3" type="noConversion"/>
  </si>
  <si>
    <t>谷宏韬</t>
    <phoneticPr fontId="3" type="noConversion"/>
  </si>
  <si>
    <t>110107196805050631</t>
    <phoneticPr fontId="3" type="noConversion"/>
  </si>
  <si>
    <t>13701034035</t>
    <phoneticPr fontId="3" type="noConversion"/>
  </si>
  <si>
    <t>12层4单元</t>
    <phoneticPr fontId="3" type="noConversion"/>
  </si>
  <si>
    <t>二室一厅二卫一厨</t>
    <phoneticPr fontId="3" type="noConversion"/>
  </si>
  <si>
    <t>91302006121908</t>
    <phoneticPr fontId="3" type="noConversion"/>
  </si>
  <si>
    <t>基本完工</t>
    <phoneticPr fontId="3" type="noConversion"/>
  </si>
  <si>
    <t>390481</t>
    <phoneticPr fontId="3" type="noConversion"/>
  </si>
  <si>
    <t>怡海花园D组团丰台区花乡四合庄怡海号地块怡海花园</t>
    <phoneticPr fontId="3" type="noConversion"/>
  </si>
  <si>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</si>
  <si>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</si>
  <si>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</si>
  <si>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</si>
  <si>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</si>
  <si>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</si>
  <si>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</si>
  <si>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</si>
  <si>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</si>
  <si>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</si>
  <si>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</si>
  <si>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</si>
  <si>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</si>
  <si>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</si>
  <si>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</si>
  <si>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</si>
  <si>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</si>
  <si>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</si>
  <si>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</si>
  <si>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</si>
  <si>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</si>
  <si>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</si>
  <si>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</si>
  <si>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</si>
  <si>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</si>
  <si>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</si>
  <si>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</si>
  <si>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</si>
  <si>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</si>
  <si>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</si>
  <si>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</si>
  <si>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</si>
  <si>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</si>
  <si>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</si>
  <si>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</si>
  <si>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</si>
  <si>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</si>
  <si>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</si>
  <si>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</si>
  <si>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</si>
  <si>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</si>
  <si>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</si>
  <si>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</si>
  <si>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</si>
  <si>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</si>
  <si>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</si>
  <si>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</si>
  <si>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</si>
  <si>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3" type="noConversion"/>
  </si>
  <si>
    <t>07-0172</t>
  </si>
  <si>
    <t xml:space="preserve">鸿业兴园 </t>
    <phoneticPr fontId="3" type="noConversion"/>
  </si>
  <si>
    <t>6#</t>
    <phoneticPr fontId="3" type="noConversion"/>
  </si>
  <si>
    <t>北京鸿基世业房地产开发有限公司</t>
    <phoneticPr fontId="3" type="noConversion"/>
  </si>
  <si>
    <t>钢混</t>
    <phoneticPr fontId="3" type="noConversion"/>
  </si>
  <si>
    <t>京丰国用（2004出）第002137号</t>
    <phoneticPr fontId="3" type="noConversion"/>
  </si>
  <si>
    <t>丰台区花乡造甲村</t>
    <phoneticPr fontId="3" type="noConversion"/>
  </si>
  <si>
    <t>住宅、商业、地下车库、配套</t>
    <phoneticPr fontId="3" type="noConversion"/>
  </si>
  <si>
    <t>康辛路</t>
    <phoneticPr fontId="3" type="noConversion"/>
  </si>
  <si>
    <t>康辛东路</t>
    <phoneticPr fontId="3" type="noConversion"/>
  </si>
  <si>
    <t>康辛北路</t>
    <phoneticPr fontId="3" type="noConversion"/>
  </si>
  <si>
    <t>四合庄西路</t>
    <phoneticPr fontId="3" type="noConversion"/>
  </si>
  <si>
    <t>2004规地字0119号</t>
    <phoneticPr fontId="3" type="noConversion"/>
  </si>
  <si>
    <t>2005规（丰）建字0113号</t>
    <phoneticPr fontId="3" type="noConversion"/>
  </si>
  <si>
    <t>07（建）2005·0047</t>
    <phoneticPr fontId="3" type="noConversion"/>
  </si>
  <si>
    <t>京房售证字（2005）523号</t>
    <phoneticPr fontId="3" type="noConversion"/>
  </si>
  <si>
    <t>已封顶</t>
    <phoneticPr fontId="3" type="noConversion"/>
  </si>
  <si>
    <t>裴蓓</t>
    <phoneticPr fontId="3" type="noConversion"/>
  </si>
  <si>
    <t>封顶调查</t>
    <phoneticPr fontId="3" type="noConversion"/>
  </si>
  <si>
    <t>暂定资质</t>
    <phoneticPr fontId="3" type="noConversion"/>
  </si>
  <si>
    <t>房地产项目开发，销售商品房</t>
    <phoneticPr fontId="3" type="noConversion"/>
  </si>
  <si>
    <t>7#</t>
    <phoneticPr fontId="3" type="noConversion"/>
  </si>
  <si>
    <t>住宅、商业、地下车库、配套</t>
    <phoneticPr fontId="3" type="noConversion"/>
  </si>
  <si>
    <t>2004规（丰）建字0346号</t>
    <phoneticPr fontId="3" type="noConversion"/>
  </si>
  <si>
    <t>07（建）2005·0013</t>
    <phoneticPr fontId="3" type="noConversion"/>
  </si>
  <si>
    <t>京房售证字（2005）119号</t>
    <phoneticPr fontId="3" type="noConversion"/>
  </si>
  <si>
    <t>鸿基花园小区7#、9#住宅楼</t>
    <phoneticPr fontId="3" type="noConversion"/>
  </si>
  <si>
    <t>封顶调查</t>
    <phoneticPr fontId="3" type="noConversion"/>
  </si>
  <si>
    <t>三</t>
    <phoneticPr fontId="3" type="noConversion"/>
  </si>
  <si>
    <t>花乡四合庄怡海花园A组团六期A区A1住宅楼等4项</t>
    <phoneticPr fontId="134" type="noConversion"/>
  </si>
  <si>
    <t>07-0053</t>
  </si>
  <si>
    <t>怡海花园A组团（抵押）</t>
    <phoneticPr fontId="3" type="noConversion"/>
  </si>
  <si>
    <t>六期A区A2</t>
    <phoneticPr fontId="3" type="noConversion"/>
  </si>
  <si>
    <t>钢筋混凝土</t>
    <phoneticPr fontId="3" type="noConversion"/>
  </si>
  <si>
    <t>26（局部25层）</t>
    <phoneticPr fontId="3" type="noConversion"/>
  </si>
  <si>
    <t>京市丰港澳台国用（2004出）字第10325号</t>
    <phoneticPr fontId="3" type="noConversion"/>
  </si>
  <si>
    <t>丰台区花乡四合庄怡海花园A组团</t>
    <phoneticPr fontId="3" type="noConversion"/>
  </si>
  <si>
    <t>住宅、配套</t>
    <phoneticPr fontId="3" type="noConversion"/>
  </si>
  <si>
    <t>（95）市规地字0081</t>
    <phoneticPr fontId="3" type="noConversion"/>
  </si>
  <si>
    <t>2004规（丰）建字0109号</t>
    <phoneticPr fontId="3" type="noConversion"/>
  </si>
  <si>
    <t>00（建）2005·0129</t>
    <phoneticPr fontId="3" type="noConversion"/>
  </si>
  <si>
    <t>京房售证字（2005）459号</t>
    <phoneticPr fontId="3" type="noConversion"/>
  </si>
  <si>
    <t>A1、A2</t>
    <phoneticPr fontId="3" type="noConversion"/>
  </si>
  <si>
    <t>封顶</t>
    <phoneticPr fontId="3" type="noConversion"/>
  </si>
  <si>
    <t>邓晓澜</t>
    <phoneticPr fontId="3" type="noConversion"/>
  </si>
  <si>
    <t>陈颖</t>
    <phoneticPr fontId="3" type="noConversion"/>
  </si>
  <si>
    <t>工程进度</t>
    <phoneticPr fontId="3" type="noConversion"/>
  </si>
  <si>
    <t>抵押</t>
  </si>
  <si>
    <t>已封顶</t>
    <phoneticPr fontId="3" type="noConversion"/>
  </si>
  <si>
    <t>18/26</t>
    <phoneticPr fontId="24" type="noConversion"/>
  </si>
  <si>
    <t>14/16</t>
    <phoneticPr fontId="24" type="noConversion"/>
  </si>
  <si>
    <t>5/16</t>
    <phoneticPr fontId="24" type="noConversion"/>
  </si>
  <si>
    <t>居室</t>
  </si>
  <si>
    <t>厨房</t>
  </si>
  <si>
    <t>卫生间</t>
  </si>
  <si>
    <t>公共部分</t>
  </si>
  <si>
    <t>录入、修改时间</t>
  </si>
  <si>
    <t>序号</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</si>
  <si>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</si>
  <si>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</si>
  <si>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</si>
  <si>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</si>
  <si>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</si>
  <si>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</si>
  <si>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</si>
  <si>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</si>
  <si>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</si>
  <si>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</si>
  <si>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</si>
  <si>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</si>
  <si>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</si>
  <si>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</si>
  <si>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</si>
  <si>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</si>
  <si>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</si>
  <si>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</si>
  <si>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</si>
  <si>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</si>
  <si>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</si>
  <si>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</si>
  <si>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</si>
  <si>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</si>
  <si>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</si>
  <si>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</si>
  <si>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</si>
  <si>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</si>
  <si>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</si>
  <si>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</si>
  <si>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</si>
  <si>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</si>
  <si>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年</t>
  </si>
  <si>
    <t>修改类型</t>
  </si>
  <si>
    <t>怡海花园A团组</t>
    <phoneticPr fontId="3" type="noConversion"/>
  </si>
  <si>
    <t>丰台区</t>
    <phoneticPr fontId="3" type="noConversion"/>
  </si>
  <si>
    <t>A1、A2</t>
    <phoneticPr fontId="3" type="noConversion"/>
  </si>
  <si>
    <t>初装修</t>
    <phoneticPr fontId="3" type="noConversion"/>
  </si>
  <si>
    <t>外墙涂料</t>
    <phoneticPr fontId="3" type="noConversion"/>
  </si>
  <si>
    <t>外窗：铝合金窗；户门：三防门</t>
    <phoneticPr fontId="174" type="noConversion"/>
  </si>
  <si>
    <t>刮耐水腻子</t>
  </si>
  <si>
    <t>水泥沙浆</t>
    <phoneticPr fontId="3" type="noConversion"/>
  </si>
  <si>
    <t>水泥沙浆</t>
    <phoneticPr fontId="3" type="noConversion"/>
  </si>
  <si>
    <t>水泥地面</t>
  </si>
  <si>
    <t>无</t>
    <phoneticPr fontId="3" type="noConversion"/>
  </si>
  <si>
    <t>无</t>
    <phoneticPr fontId="3" type="noConversion"/>
  </si>
  <si>
    <t>管道天然气</t>
    <phoneticPr fontId="174" type="noConversion"/>
  </si>
  <si>
    <t>小区集中供暖</t>
    <phoneticPr fontId="3" type="noConversion"/>
  </si>
  <si>
    <t>预留电话线、有线电视、网络接口</t>
    <phoneticPr fontId="3" type="noConversion"/>
  </si>
  <si>
    <t>小区双路供电</t>
  </si>
  <si>
    <t>市政供水</t>
  </si>
  <si>
    <t>消防栓</t>
    <phoneticPr fontId="3" type="noConversion"/>
  </si>
  <si>
    <t>3部电梯</t>
    <phoneticPr fontId="3" type="noConversion"/>
  </si>
  <si>
    <t>每个单元设对讲系统，保安值勤</t>
    <phoneticPr fontId="3" type="noConversion"/>
  </si>
  <si>
    <t>地下停车</t>
    <phoneticPr fontId="3" type="noConversion"/>
  </si>
  <si>
    <t>提供规范物业管理</t>
    <phoneticPr fontId="3" type="noConversion"/>
  </si>
  <si>
    <t>标准居住区</t>
    <phoneticPr fontId="174" type="noConversion"/>
  </si>
  <si>
    <t xml:space="preserve">市级、区级、小区级√、街区级    </t>
  </si>
  <si>
    <t>城市主干道√、城市次干道、支路</t>
    <phoneticPr fontId="3" type="noConversion"/>
  </si>
  <si>
    <t>有354、353、351、905等公交线路经过</t>
  </si>
  <si>
    <t>商店√、学校√、托幼√、医疗√、办公、综合服务√、邮电、变配电站√、水泵房√、锅炉房√、煤气站、天然气站√</t>
    <phoneticPr fontId="3" type="noConversion"/>
  </si>
  <si>
    <t>天然气√、煤气</t>
    <phoneticPr fontId="3" type="noConversion"/>
  </si>
  <si>
    <t>邓晓澜</t>
    <phoneticPr fontId="3" type="noConversion"/>
  </si>
  <si>
    <t>二</t>
    <phoneticPr fontId="3" type="noConversion"/>
  </si>
  <si>
    <t>怡海花园A团组</t>
    <phoneticPr fontId="3" type="noConversion"/>
  </si>
  <si>
    <t>A1、A2</t>
    <phoneticPr fontId="3" type="noConversion"/>
  </si>
  <si>
    <t>精装修</t>
    <phoneticPr fontId="3" type="noConversion"/>
  </si>
  <si>
    <t>外窗：铝合金窗；户门：三防门</t>
    <phoneticPr fontId="174" type="noConversion"/>
  </si>
  <si>
    <t>涂料</t>
    <phoneticPr fontId="3" type="noConversion"/>
  </si>
  <si>
    <t>铝扣板吊顶</t>
    <phoneticPr fontId="3" type="noConversion"/>
  </si>
  <si>
    <t>涂料</t>
    <phoneticPr fontId="3" type="noConversion"/>
  </si>
  <si>
    <t>瓷砖</t>
    <phoneticPr fontId="3" type="noConversion"/>
  </si>
  <si>
    <t>瓷砖</t>
    <phoneticPr fontId="3" type="noConversion"/>
  </si>
  <si>
    <t>木地板</t>
    <phoneticPr fontId="3" type="noConversion"/>
  </si>
  <si>
    <t>地砖</t>
    <phoneticPr fontId="3" type="noConversion"/>
  </si>
  <si>
    <t>地砖</t>
    <phoneticPr fontId="3" type="noConversion"/>
  </si>
  <si>
    <t>橱柜、抽油烟机、燃气灶、洗菜池</t>
    <phoneticPr fontId="3" type="noConversion"/>
  </si>
  <si>
    <t>座便器、面盆</t>
    <phoneticPr fontId="3" type="noConversion"/>
  </si>
  <si>
    <t>管道天然气</t>
    <phoneticPr fontId="174" type="noConversion"/>
  </si>
  <si>
    <t>预留电话线、有线电视、网络接口</t>
    <phoneticPr fontId="3" type="noConversion"/>
  </si>
  <si>
    <t>每个单元设对讲系统，保安值勤</t>
    <phoneticPr fontId="3" type="noConversion"/>
  </si>
  <si>
    <t>城市主干道√、城市次干道、支路</t>
    <phoneticPr fontId="3" type="noConversion"/>
  </si>
  <si>
    <t>天然气√、煤气</t>
    <phoneticPr fontId="3" type="noConversion"/>
  </si>
  <si>
    <t xml:space="preserve">鸿业兴园 </t>
    <phoneticPr fontId="3" type="noConversion"/>
  </si>
  <si>
    <t>丰台区</t>
    <phoneticPr fontId="3" type="noConversion"/>
  </si>
  <si>
    <t>6#</t>
    <phoneticPr fontId="3" type="noConversion"/>
  </si>
  <si>
    <t>不上人屋面</t>
    <phoneticPr fontId="3" type="noConversion"/>
  </si>
  <si>
    <t>墙砖</t>
    <phoneticPr fontId="3" type="noConversion"/>
  </si>
  <si>
    <t>外窗：塑钢窗；户门：防盗门</t>
    <phoneticPr fontId="174" type="noConversion"/>
  </si>
  <si>
    <t>PVC吊顶</t>
    <phoneticPr fontId="3" type="noConversion"/>
  </si>
  <si>
    <t>瓷砖</t>
    <phoneticPr fontId="3" type="noConversion"/>
  </si>
  <si>
    <t>木门</t>
    <phoneticPr fontId="3" type="noConversion"/>
  </si>
  <si>
    <t>洗菜池、橱柜、灶具、抽油烟机</t>
    <phoneticPr fontId="3" type="noConversion"/>
  </si>
  <si>
    <t>座便器、浴缸</t>
    <phoneticPr fontId="3" type="noConversion"/>
  </si>
  <si>
    <t>地砖地面，墙砖墙面</t>
    <phoneticPr fontId="3" type="noConversion"/>
  </si>
  <si>
    <t>独立供暖</t>
    <phoneticPr fontId="3" type="noConversion"/>
  </si>
  <si>
    <t>程控电话、有线电视</t>
    <phoneticPr fontId="3" type="noConversion"/>
  </si>
  <si>
    <t>市政供电</t>
    <phoneticPr fontId="3" type="noConversion"/>
  </si>
  <si>
    <t>市政供水</t>
    <phoneticPr fontId="3" type="noConversion"/>
  </si>
  <si>
    <t>电表、气表磁卡计量</t>
    <phoneticPr fontId="3" type="noConversion"/>
  </si>
  <si>
    <t>消防栓</t>
    <phoneticPr fontId="3" type="noConversion"/>
  </si>
  <si>
    <t>中外合资电梯</t>
    <phoneticPr fontId="3" type="noConversion"/>
  </si>
  <si>
    <t>门禁系统、小区周界防范系统，电子巡更系统</t>
    <phoneticPr fontId="3" type="noConversion"/>
  </si>
  <si>
    <t>地下车库、专用停车场位</t>
    <phoneticPr fontId="3" type="noConversion"/>
  </si>
  <si>
    <t xml:space="preserve">市级、区级、小区级、街区级√   </t>
    <phoneticPr fontId="3" type="noConversion"/>
  </si>
  <si>
    <t>城市主干道、城市次干道√、支路</t>
    <phoneticPr fontId="3" type="noConversion"/>
  </si>
  <si>
    <t>有691、692、特3路等公交线路经过</t>
    <phoneticPr fontId="174" type="noConversion"/>
  </si>
  <si>
    <t>利用周围设施</t>
  </si>
  <si>
    <t>高鹏</t>
    <phoneticPr fontId="3" type="noConversion"/>
  </si>
  <si>
    <t>二</t>
    <phoneticPr fontId="3" type="noConversion"/>
  </si>
  <si>
    <t>北京市丰台区新华街三里2号楼8层807号</t>
    <phoneticPr fontId="3" type="noConversion"/>
  </si>
  <si>
    <t>8/28</t>
    <phoneticPr fontId="24" type="noConversion"/>
  </si>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</sst>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804]General"/>
    <numFmt numFmtId="199" formatCode="0.00;[Red]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b/>
      <sz val="9"/>
      <color indexed="81"/>
      <name val="Times New Roman"/>
      <family val="1"/>
    </font>
    <font>
      <sz val="10"/>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theme="6" tint="0.79998168889431442"/>
        <bgColor indexed="64"/>
      </patternFill>
    </fill>
    <fill>
      <patternFill patternType="solid">
        <fgColor indexed="4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xf numFmtId="0" fontId="174" fillId="0" borderId="0"/>
  </cellStyleXfs>
  <cellXfs count="39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lignment horizontal="center"/>
    </xf>
    <xf numFmtId="183" fontId="80" fillId="22" borderId="1" xfId="0" applyNumberFormat="1"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49" fontId="19" fillId="0" borderId="1" xfId="19" applyNumberFormat="1" applyFont="1" applyFill="1" applyBorder="1" applyAlignment="1">
      <alignment horizontal="left"/>
    </xf>
    <xf numFmtId="176" fontId="19" fillId="0" borderId="1" xfId="0" applyNumberFormat="1" applyFont="1" applyFill="1" applyBorder="1" applyAlignment="1">
      <alignment horizontal="right"/>
    </xf>
    <xf numFmtId="0" fontId="19" fillId="0" borderId="1" xfId="0" applyFont="1" applyFill="1" applyBorder="1" applyAlignment="1">
      <alignment horizontal="left"/>
    </xf>
    <xf numFmtId="185" fontId="19" fillId="0" borderId="1" xfId="0" applyNumberFormat="1" applyFont="1" applyFill="1" applyBorder="1" applyAlignment="1">
      <alignment horizontal="right"/>
    </xf>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0" fontId="19" fillId="0" borderId="1" xfId="0" applyFont="1" applyFill="1" applyBorder="1" applyAlignment="1" applyProtection="1">
      <protection locked="0"/>
    </xf>
    <xf numFmtId="0" fontId="19" fillId="0" borderId="1" xfId="0" applyFont="1" applyFill="1" applyBorder="1" applyAlignment="1" applyProtection="1">
      <alignment horizontal="center"/>
    </xf>
    <xf numFmtId="198" fontId="19" fillId="0" borderId="1" xfId="0" applyNumberFormat="1" applyFont="1" applyFill="1" applyBorder="1" applyAlignment="1">
      <alignment horizontal="left"/>
    </xf>
    <xf numFmtId="0" fontId="19" fillId="0" borderId="1" xfId="0" applyFont="1" applyFill="1" applyBorder="1" applyAlignment="1">
      <alignment horizontal="center"/>
    </xf>
    <xf numFmtId="49" fontId="19" fillId="0" borderId="1" xfId="0" applyNumberFormat="1" applyFont="1" applyFill="1" applyBorder="1" applyAlignment="1" applyProtection="1">
      <protection locked="0"/>
    </xf>
    <xf numFmtId="197"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0" fontId="19" fillId="0" borderId="1" xfId="0" applyFont="1" applyFill="1" applyBorder="1" applyAlignment="1" applyProtection="1">
      <alignment horizontal="center"/>
      <protection locked="0"/>
    </xf>
    <xf numFmtId="31" fontId="19" fillId="0" borderId="1" xfId="0" applyNumberFormat="1" applyFont="1" applyFill="1" applyBorder="1" applyAlignment="1"/>
    <xf numFmtId="31" fontId="19" fillId="0" borderId="1" xfId="0" applyNumberFormat="1" applyFont="1" applyFill="1" applyBorder="1" applyAlignment="1" applyProtection="1">
      <protection locked="0"/>
    </xf>
    <xf numFmtId="0" fontId="19" fillId="0" borderId="0" xfId="0" applyFont="1" applyFill="1" applyBorder="1" applyAlignment="1"/>
    <xf numFmtId="0" fontId="19" fillId="0" borderId="0" xfId="0" applyFont="1" applyFill="1" applyBorder="1" applyAlignment="1" applyProtection="1">
      <protection locked="0"/>
    </xf>
    <xf numFmtId="0" fontId="19" fillId="0" borderId="1" xfId="0" applyFont="1" applyFill="1" applyBorder="1" applyAlignment="1" applyProtection="1">
      <alignment horizontal="left"/>
    </xf>
    <xf numFmtId="183" fontId="19" fillId="0" borderId="1" xfId="0" applyNumberFormat="1" applyFont="1" applyFill="1" applyBorder="1" applyAlignment="1" applyProtection="1">
      <protection locked="0"/>
    </xf>
    <xf numFmtId="0" fontId="19" fillId="0" borderId="1" xfId="0" applyFont="1" applyFill="1" applyBorder="1" applyAlignment="1">
      <alignment horizontal="right"/>
    </xf>
    <xf numFmtId="9" fontId="19" fillId="0" borderId="1" xfId="0" applyNumberFormat="1" applyFont="1" applyFill="1" applyBorder="1" applyAlignment="1"/>
    <xf numFmtId="31" fontId="19" fillId="0" borderId="1" xfId="0" applyNumberFormat="1" applyFont="1" applyFill="1" applyBorder="1" applyAlignment="1">
      <alignment horizontal="right"/>
    </xf>
    <xf numFmtId="49" fontId="19" fillId="0" borderId="1" xfId="0" applyNumberFormat="1" applyFont="1" applyFill="1" applyBorder="1" applyAlignment="1">
      <alignment horizontal="left"/>
    </xf>
    <xf numFmtId="196" fontId="19" fillId="0" borderId="1" xfId="0" applyNumberFormat="1" applyFont="1" applyFill="1" applyBorder="1" applyAlignment="1"/>
    <xf numFmtId="31" fontId="19" fillId="0" borderId="1" xfId="0" applyNumberFormat="1" applyFont="1" applyFill="1" applyBorder="1" applyAlignment="1">
      <alignment horizontal="left"/>
    </xf>
    <xf numFmtId="2" fontId="19" fillId="0" borderId="1" xfId="0" applyNumberFormat="1" applyFont="1" applyFill="1" applyBorder="1" applyAlignment="1">
      <alignment horizontal="right"/>
    </xf>
    <xf numFmtId="183" fontId="19" fillId="0" borderId="1" xfId="0" applyNumberFormat="1" applyFont="1" applyFill="1" applyBorder="1" applyAlignment="1">
      <alignment horizontal="right"/>
    </xf>
    <xf numFmtId="196" fontId="19" fillId="0" borderId="1" xfId="0" applyNumberFormat="1" applyFont="1" applyFill="1" applyBorder="1" applyAlignment="1" applyProtection="1">
      <alignment horizontal="right"/>
    </xf>
    <xf numFmtId="31" fontId="19" fillId="0" borderId="1" xfId="0" applyNumberFormat="1" applyFont="1" applyFill="1" applyBorder="1" applyAlignment="1" applyProtection="1"/>
    <xf numFmtId="1" fontId="19" fillId="0" borderId="1" xfId="0" applyNumberFormat="1" applyFont="1" applyFill="1" applyBorder="1" applyAlignment="1">
      <alignment horizontal="center"/>
    </xf>
    <xf numFmtId="0" fontId="77" fillId="0" borderId="1" xfId="0" applyFont="1" applyFill="1" applyBorder="1" applyAlignment="1" applyProtection="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0" fontId="80" fillId="22" borderId="1" xfId="0" applyFont="1" applyFill="1" applyBorder="1" applyAlignment="1" applyProtection="1">
      <alignment horizontal="center"/>
      <protection locked="0"/>
    </xf>
    <xf numFmtId="49" fontId="19" fillId="22" borderId="1" xfId="0" applyNumberFormat="1" applyFont="1" applyFill="1" applyBorder="1" applyAlignment="1" applyProtection="1">
      <alignment horizontal="left"/>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left"/>
      <protection locked="0"/>
    </xf>
    <xf numFmtId="0" fontId="19" fillId="22" borderId="1" xfId="0" applyFont="1" applyFill="1" applyBorder="1" applyAlignment="1" applyProtection="1">
      <alignment horizontal="right"/>
      <protection locked="0"/>
    </xf>
    <xf numFmtId="196" fontId="19" fillId="22" borderId="1" xfId="0" applyNumberFormat="1" applyFont="1" applyFill="1" applyBorder="1" applyAlignment="1" applyProtection="1">
      <alignment horizontal="left"/>
      <protection locked="0"/>
    </xf>
    <xf numFmtId="196" fontId="19" fillId="22" borderId="1" xfId="0" applyNumberFormat="1" applyFont="1" applyFill="1" applyBorder="1" applyAlignment="1" applyProtection="1">
      <alignment horizontal="right"/>
      <protection locked="0"/>
    </xf>
    <xf numFmtId="183" fontId="19" fillId="22" borderId="1" xfId="0" applyNumberFormat="1" applyFont="1" applyFill="1" applyBorder="1" applyAlignment="1" applyProtection="1">
      <protection locked="0"/>
    </xf>
    <xf numFmtId="49" fontId="19" fillId="22" borderId="1" xfId="0" applyNumberFormat="1" applyFont="1" applyFill="1" applyBorder="1" applyAlignment="1" applyProtection="1">
      <protection locked="0"/>
    </xf>
    <xf numFmtId="197" fontId="19" fillId="22" borderId="1" xfId="0" applyNumberFormat="1" applyFont="1" applyFill="1" applyBorder="1" applyAlignment="1" applyProtection="1">
      <protection locked="0"/>
    </xf>
    <xf numFmtId="179" fontId="19" fillId="22" borderId="1" xfId="0" applyNumberFormat="1" applyFont="1" applyFill="1" applyBorder="1" applyAlignment="1" applyProtection="1">
      <protection locked="0"/>
    </xf>
    <xf numFmtId="31" fontId="19" fillId="22" borderId="1" xfId="0" applyNumberFormat="1" applyFont="1" applyFill="1" applyBorder="1" applyAlignment="1" applyProtection="1">
      <protection locked="0"/>
    </xf>
    <xf numFmtId="183" fontId="176" fillId="22" borderId="1" xfId="0" applyNumberFormat="1" applyFont="1" applyFill="1" applyBorder="1" applyAlignment="1" applyProtection="1">
      <alignment horizontal="center"/>
      <protection locked="0"/>
    </xf>
    <xf numFmtId="0" fontId="176" fillId="22" borderId="1" xfId="0" applyFont="1" applyFill="1" applyBorder="1" applyAlignment="1" applyProtection="1">
      <alignment horizontal="center"/>
      <protection locked="0"/>
    </xf>
    <xf numFmtId="46" fontId="80" fillId="22" borderId="1" xfId="0" applyNumberFormat="1" applyFont="1" applyFill="1" applyBorder="1" applyAlignment="1" applyProtection="1">
      <alignment horizontal="center"/>
      <protection locked="0"/>
    </xf>
    <xf numFmtId="197" fontId="80" fillId="22" borderId="1" xfId="0" applyNumberFormat="1" applyFont="1" applyFill="1" applyBorder="1" applyAlignment="1" applyProtection="1">
      <alignment horizontal="center"/>
      <protection locked="0"/>
    </xf>
    <xf numFmtId="179" fontId="80" fillId="22" borderId="1" xfId="0" applyNumberFormat="1" applyFont="1" applyFill="1" applyBorder="1" applyAlignment="1" applyProtection="1">
      <alignment horizontal="center"/>
      <protection locked="0"/>
    </xf>
    <xf numFmtId="183" fontId="19" fillId="0" borderId="1" xfId="0" applyNumberFormat="1" applyFont="1" applyFill="1" applyBorder="1" applyAlignment="1"/>
    <xf numFmtId="197" fontId="19" fillId="0" borderId="1" xfId="0" applyNumberFormat="1" applyFont="1" applyFill="1" applyBorder="1" applyAlignment="1"/>
    <xf numFmtId="179" fontId="19" fillId="0" borderId="1" xfId="0" applyNumberFormat="1" applyFont="1" applyFill="1" applyBorder="1" applyAlignment="1"/>
    <xf numFmtId="0" fontId="77" fillId="0" borderId="0" xfId="0" applyFont="1" applyFill="1" applyBorder="1" applyAlignment="1"/>
    <xf numFmtId="196" fontId="19" fillId="0" borderId="1" xfId="0" applyNumberFormat="1" applyFont="1" applyFill="1" applyBorder="1" applyAlignment="1">
      <alignment horizontal="right"/>
    </xf>
    <xf numFmtId="0" fontId="77" fillId="0" borderId="1" xfId="0" applyFont="1" applyFill="1" applyBorder="1" applyAlignment="1">
      <alignment horizontal="left"/>
    </xf>
    <xf numFmtId="0" fontId="19" fillId="0" borderId="1" xfId="0" applyFont="1" applyFill="1" applyBorder="1" applyAlignment="1" applyProtection="1">
      <alignment horizontal="left"/>
      <protection locked="0"/>
    </xf>
    <xf numFmtId="197" fontId="19" fillId="0" borderId="1" xfId="0" applyNumberFormat="1" applyFont="1" applyFill="1" applyBorder="1" applyAlignment="1" applyProtection="1">
      <alignment horizontal="left"/>
      <protection locked="0"/>
    </xf>
    <xf numFmtId="197" fontId="19" fillId="0" borderId="1" xfId="0" applyNumberFormat="1" applyFont="1" applyFill="1" applyBorder="1" applyAlignment="1" applyProtection="1">
      <alignment horizontal="right"/>
      <protection locked="0"/>
    </xf>
    <xf numFmtId="31" fontId="19" fillId="0" borderId="1" xfId="0" applyNumberFormat="1" applyFont="1" applyFill="1" applyBorder="1" applyAlignment="1" applyProtection="1">
      <alignment horizontal="right"/>
      <protection locked="0"/>
    </xf>
    <xf numFmtId="0" fontId="77" fillId="0" borderId="1" xfId="0" applyFont="1" applyFill="1" applyBorder="1" applyAlignment="1"/>
    <xf numFmtId="0" fontId="0" fillId="0" borderId="0" xfId="0" applyFill="1" applyBorder="1" applyAlignment="1"/>
    <xf numFmtId="31" fontId="19" fillId="0" borderId="1" xfId="0" applyNumberFormat="1" applyFont="1" applyFill="1" applyBorder="1" applyAlignment="1" applyProtection="1">
      <alignment horizontal="right"/>
    </xf>
    <xf numFmtId="44" fontId="19" fillId="0" borderId="1" xfId="19" applyFont="1" applyFill="1" applyBorder="1" applyAlignment="1">
      <alignment horizontal="left"/>
    </xf>
    <xf numFmtId="197" fontId="19" fillId="0" borderId="1" xfId="0" applyNumberFormat="1" applyFont="1" applyFill="1" applyBorder="1" applyAlignment="1" applyProtection="1"/>
    <xf numFmtId="49" fontId="19" fillId="0" borderId="1" xfId="0" applyNumberFormat="1" applyFont="1" applyFill="1" applyBorder="1" applyAlignment="1">
      <alignment horizontal="right"/>
    </xf>
    <xf numFmtId="1" fontId="19" fillId="0" borderId="1" xfId="0" applyNumberFormat="1" applyFont="1" applyFill="1" applyBorder="1" applyAlignment="1"/>
    <xf numFmtId="0" fontId="19" fillId="0" borderId="1" xfId="20" applyFont="1" applyFill="1" applyBorder="1" applyAlignment="1">
      <alignment horizontal="left" wrapText="1"/>
    </xf>
    <xf numFmtId="58" fontId="19" fillId="0" borderId="1" xfId="0" applyNumberFormat="1" applyFont="1" applyFill="1" applyBorder="1" applyAlignment="1">
      <alignment horizontal="left"/>
    </xf>
    <xf numFmtId="49" fontId="19" fillId="0" borderId="1" xfId="0" applyNumberFormat="1" applyFont="1" applyFill="1" applyBorder="1" applyAlignment="1" applyProtection="1"/>
    <xf numFmtId="177" fontId="19" fillId="0" borderId="1" xfId="0" applyNumberFormat="1" applyFont="1" applyFill="1" applyBorder="1" applyAlignment="1" applyProtection="1"/>
    <xf numFmtId="57" fontId="19" fillId="0" borderId="1" xfId="0" applyNumberFormat="1" applyFont="1" applyFill="1" applyBorder="1" applyAlignment="1"/>
    <xf numFmtId="1" fontId="19" fillId="0" borderId="1" xfId="0" applyNumberFormat="1" applyFont="1" applyFill="1" applyBorder="1" applyAlignment="1">
      <alignment horizontal="right"/>
    </xf>
    <xf numFmtId="197" fontId="19" fillId="0" borderId="1" xfId="0" applyNumberFormat="1" applyFont="1" applyFill="1" applyBorder="1" applyAlignment="1" applyProtection="1">
      <alignment horizontal="left"/>
    </xf>
    <xf numFmtId="2" fontId="19" fillId="0" borderId="0" xfId="0" applyNumberFormat="1" applyFont="1" applyFill="1" applyBorder="1" applyAlignment="1">
      <alignment horizontal="right"/>
    </xf>
    <xf numFmtId="12" fontId="19" fillId="0" borderId="1" xfId="0" applyNumberFormat="1" applyFont="1" applyFill="1" applyBorder="1" applyAlignment="1" applyProtection="1"/>
    <xf numFmtId="0" fontId="19" fillId="23" borderId="1" xfId="0" applyFont="1" applyFill="1" applyBorder="1" applyAlignment="1"/>
    <xf numFmtId="49" fontId="19" fillId="23" borderId="1" xfId="0" applyNumberFormat="1" applyFont="1" applyFill="1" applyBorder="1" applyAlignment="1"/>
    <xf numFmtId="0" fontId="19" fillId="23" borderId="1" xfId="0" applyFont="1" applyFill="1" applyBorder="1" applyAlignment="1" applyProtection="1">
      <alignment horizontal="left"/>
    </xf>
    <xf numFmtId="0" fontId="19" fillId="23" borderId="1" xfId="0" applyFont="1" applyFill="1" applyBorder="1" applyAlignment="1">
      <alignment horizontal="left"/>
    </xf>
    <xf numFmtId="1" fontId="19" fillId="23" borderId="1" xfId="0" applyNumberFormat="1" applyFont="1" applyFill="1" applyBorder="1" applyAlignment="1">
      <alignment horizontal="center"/>
    </xf>
    <xf numFmtId="2" fontId="19" fillId="23" borderId="1" xfId="0" applyNumberFormat="1" applyFont="1" applyFill="1" applyBorder="1" applyAlignment="1">
      <alignment horizontal="right"/>
    </xf>
    <xf numFmtId="196" fontId="19" fillId="23" borderId="1" xfId="0" applyNumberFormat="1" applyFont="1" applyFill="1" applyBorder="1" applyAlignment="1"/>
    <xf numFmtId="9" fontId="19" fillId="23" borderId="1" xfId="0" applyNumberFormat="1" applyFont="1" applyFill="1" applyBorder="1" applyAlignment="1"/>
    <xf numFmtId="2" fontId="19" fillId="23" borderId="1" xfId="0" applyNumberFormat="1" applyFont="1" applyFill="1" applyBorder="1" applyAlignment="1" applyProtection="1">
      <alignment horizontal="right"/>
    </xf>
    <xf numFmtId="196" fontId="19" fillId="23" borderId="1" xfId="0" applyNumberFormat="1" applyFont="1" applyFill="1" applyBorder="1" applyAlignment="1">
      <alignment horizontal="right"/>
    </xf>
    <xf numFmtId="0" fontId="19" fillId="23" borderId="1" xfId="0" applyFont="1" applyFill="1" applyBorder="1" applyAlignment="1" applyProtection="1">
      <protection locked="0"/>
    </xf>
    <xf numFmtId="0" fontId="19" fillId="23" borderId="1" xfId="0" applyFont="1" applyFill="1" applyBorder="1" applyAlignment="1" applyProtection="1"/>
    <xf numFmtId="0" fontId="19" fillId="23" borderId="1" xfId="0" applyFont="1" applyFill="1" applyBorder="1" applyAlignment="1">
      <alignment horizontal="center"/>
    </xf>
    <xf numFmtId="0" fontId="19" fillId="23" borderId="1" xfId="0" applyFont="1" applyFill="1" applyBorder="1" applyAlignment="1" applyProtection="1">
      <alignment horizontal="center"/>
    </xf>
    <xf numFmtId="31" fontId="19" fillId="23" borderId="1" xfId="0" applyNumberFormat="1" applyFont="1" applyFill="1" applyBorder="1" applyAlignment="1" applyProtection="1"/>
    <xf numFmtId="198" fontId="19" fillId="23" borderId="1" xfId="0" applyNumberFormat="1" applyFont="1" applyFill="1" applyBorder="1" applyAlignment="1">
      <alignment horizontal="left"/>
    </xf>
    <xf numFmtId="49" fontId="19" fillId="23" borderId="1" xfId="0" applyNumberFormat="1" applyFont="1" applyFill="1" applyBorder="1" applyAlignment="1" applyProtection="1">
      <protection locked="0"/>
    </xf>
    <xf numFmtId="0" fontId="19" fillId="23" borderId="1" xfId="0" applyFont="1" applyFill="1" applyBorder="1" applyAlignment="1" applyProtection="1">
      <alignment horizontal="left"/>
      <protection locked="0"/>
    </xf>
    <xf numFmtId="197" fontId="19" fillId="23" borderId="1" xfId="0" applyNumberFormat="1" applyFont="1" applyFill="1" applyBorder="1" applyAlignment="1" applyProtection="1">
      <alignment horizontal="left"/>
      <protection locked="0"/>
    </xf>
    <xf numFmtId="197" fontId="19" fillId="23" borderId="1" xfId="0" applyNumberFormat="1" applyFont="1" applyFill="1" applyBorder="1" applyAlignment="1" applyProtection="1">
      <alignment horizontal="right"/>
      <protection locked="0"/>
    </xf>
    <xf numFmtId="179" fontId="19" fillId="23" borderId="1" xfId="0" applyNumberFormat="1" applyFont="1" applyFill="1" applyBorder="1" applyAlignment="1" applyProtection="1">
      <protection locked="0"/>
    </xf>
    <xf numFmtId="31" fontId="19" fillId="23" borderId="1" xfId="0" applyNumberFormat="1" applyFont="1" applyFill="1" applyBorder="1" applyAlignment="1" applyProtection="1">
      <alignment horizontal="right"/>
      <protection locked="0"/>
    </xf>
    <xf numFmtId="0" fontId="19" fillId="23" borderId="1" xfId="0" applyFont="1" applyFill="1" applyBorder="1" applyAlignment="1" applyProtection="1">
      <alignment horizontal="center"/>
      <protection locked="0"/>
    </xf>
    <xf numFmtId="183" fontId="19" fillId="23" borderId="1" xfId="0" applyNumberFormat="1" applyFont="1" applyFill="1" applyBorder="1" applyAlignment="1" applyProtection="1">
      <protection locked="0"/>
    </xf>
    <xf numFmtId="0" fontId="77" fillId="23" borderId="0" xfId="0" applyFont="1" applyFill="1" applyBorder="1" applyAlignment="1"/>
    <xf numFmtId="0" fontId="19" fillId="23" borderId="0" xfId="0" applyFont="1" applyFill="1" applyBorder="1" applyAlignment="1"/>
    <xf numFmtId="0" fontId="77" fillId="23" borderId="1" xfId="0" applyFont="1" applyFill="1" applyBorder="1" applyAlignment="1" applyProtection="1">
      <protection locked="0"/>
    </xf>
    <xf numFmtId="0" fontId="77" fillId="23" borderId="1" xfId="0" applyFont="1" applyFill="1" applyBorder="1" applyAlignment="1"/>
    <xf numFmtId="183" fontId="19" fillId="23" borderId="1" xfId="0" applyNumberFormat="1" applyFont="1" applyFill="1" applyBorder="1" applyAlignment="1"/>
    <xf numFmtId="197" fontId="19" fillId="23" borderId="1" xfId="0" applyNumberFormat="1" applyFont="1" applyFill="1" applyBorder="1" applyAlignment="1"/>
    <xf numFmtId="179" fontId="19" fillId="23" borderId="1" xfId="0" applyNumberFormat="1" applyFont="1" applyFill="1" applyBorder="1" applyAlignment="1"/>
    <xf numFmtId="31" fontId="19" fillId="23" borderId="1" xfId="0" applyNumberFormat="1" applyFont="1" applyFill="1" applyBorder="1" applyAlignment="1"/>
    <xf numFmtId="0" fontId="19" fillId="23" borderId="1" xfId="0" applyFont="1" applyFill="1" applyBorder="1" applyAlignment="1">
      <alignment horizontal="right"/>
    </xf>
    <xf numFmtId="0" fontId="0" fillId="23" borderId="0" xfId="0" applyFill="1" applyBorder="1" applyAlignment="1"/>
    <xf numFmtId="0" fontId="19" fillId="7" borderId="1" xfId="0" applyFont="1" applyFill="1" applyBorder="1" applyAlignment="1"/>
    <xf numFmtId="49" fontId="19" fillId="7" borderId="1" xfId="0" applyNumberFormat="1" applyFont="1" applyFill="1" applyBorder="1" applyAlignment="1"/>
    <xf numFmtId="0" fontId="19" fillId="7" borderId="1" xfId="0" applyFont="1" applyFill="1" applyBorder="1" applyAlignment="1" applyProtection="1">
      <alignment horizontal="left"/>
    </xf>
    <xf numFmtId="0" fontId="19" fillId="7" borderId="1" xfId="0" applyFont="1" applyFill="1" applyBorder="1" applyAlignment="1">
      <alignment horizontal="left"/>
    </xf>
    <xf numFmtId="1" fontId="19" fillId="7" borderId="1" xfId="0" applyNumberFormat="1" applyFont="1" applyFill="1" applyBorder="1" applyAlignment="1">
      <alignment horizontal="center"/>
    </xf>
    <xf numFmtId="2" fontId="19" fillId="7" borderId="1" xfId="0" applyNumberFormat="1" applyFont="1" applyFill="1" applyBorder="1" applyAlignment="1">
      <alignment horizontal="right"/>
    </xf>
    <xf numFmtId="196" fontId="19" fillId="7" borderId="1" xfId="0" applyNumberFormat="1" applyFont="1" applyFill="1" applyBorder="1" applyAlignment="1"/>
    <xf numFmtId="9" fontId="19" fillId="7" borderId="1" xfId="0" applyNumberFormat="1" applyFont="1" applyFill="1" applyBorder="1" applyAlignment="1"/>
    <xf numFmtId="2" fontId="19" fillId="7" borderId="1" xfId="0" applyNumberFormat="1" applyFont="1" applyFill="1" applyBorder="1" applyAlignment="1" applyProtection="1">
      <alignment horizontal="right"/>
    </xf>
    <xf numFmtId="196" fontId="19" fillId="7" borderId="1" xfId="0" applyNumberFormat="1" applyFont="1" applyFill="1" applyBorder="1" applyAlignment="1">
      <alignment horizontal="right"/>
    </xf>
    <xf numFmtId="0" fontId="19" fillId="7" borderId="1" xfId="0" applyFont="1" applyFill="1" applyBorder="1" applyAlignment="1" applyProtection="1">
      <protection locked="0"/>
    </xf>
    <xf numFmtId="0" fontId="19" fillId="7" borderId="1" xfId="0" applyFont="1" applyFill="1" applyBorder="1" applyAlignment="1" applyProtection="1"/>
    <xf numFmtId="0" fontId="19" fillId="7" borderId="1" xfId="0" applyFont="1" applyFill="1" applyBorder="1" applyAlignment="1">
      <alignment horizontal="center"/>
    </xf>
    <xf numFmtId="0" fontId="19" fillId="7" borderId="1" xfId="0" applyFont="1" applyFill="1" applyBorder="1" applyAlignment="1" applyProtection="1">
      <alignment horizontal="center"/>
    </xf>
    <xf numFmtId="31" fontId="19" fillId="7" borderId="1" xfId="0" applyNumberFormat="1" applyFont="1" applyFill="1" applyBorder="1" applyAlignment="1" applyProtection="1"/>
    <xf numFmtId="198" fontId="19" fillId="7" borderId="1" xfId="0" applyNumberFormat="1" applyFont="1" applyFill="1" applyBorder="1" applyAlignment="1">
      <alignment horizontal="left"/>
    </xf>
    <xf numFmtId="49" fontId="19" fillId="7" borderId="1" xfId="0" applyNumberFormat="1" applyFont="1" applyFill="1" applyBorder="1" applyAlignment="1" applyProtection="1">
      <protection locked="0"/>
    </xf>
    <xf numFmtId="0" fontId="19" fillId="7" borderId="1" xfId="0" applyFont="1" applyFill="1" applyBorder="1" applyAlignment="1" applyProtection="1">
      <alignment horizontal="left"/>
      <protection locked="0"/>
    </xf>
    <xf numFmtId="197" fontId="19" fillId="7" borderId="1" xfId="0" applyNumberFormat="1" applyFont="1" applyFill="1" applyBorder="1" applyAlignment="1" applyProtection="1">
      <alignment horizontal="left"/>
      <protection locked="0"/>
    </xf>
    <xf numFmtId="197" fontId="19" fillId="7" borderId="1" xfId="0" applyNumberFormat="1" applyFont="1" applyFill="1" applyBorder="1" applyAlignment="1" applyProtection="1">
      <alignment horizontal="right"/>
      <protection locked="0"/>
    </xf>
    <xf numFmtId="179" fontId="19" fillId="7" borderId="1" xfId="0" applyNumberFormat="1" applyFont="1" applyFill="1" applyBorder="1" applyAlignment="1" applyProtection="1">
      <protection locked="0"/>
    </xf>
    <xf numFmtId="31" fontId="19" fillId="7" borderId="1" xfId="0" applyNumberFormat="1" applyFont="1" applyFill="1" applyBorder="1" applyAlignment="1" applyProtection="1">
      <alignment horizontal="right"/>
      <protection locked="0"/>
    </xf>
    <xf numFmtId="0" fontId="19" fillId="7" borderId="1" xfId="0" applyFont="1" applyFill="1" applyBorder="1" applyAlignment="1" applyProtection="1">
      <alignment horizontal="center"/>
      <protection locked="0"/>
    </xf>
    <xf numFmtId="183" fontId="19" fillId="7" borderId="1" xfId="0" applyNumberFormat="1" applyFont="1" applyFill="1" applyBorder="1" applyAlignment="1" applyProtection="1">
      <protection locked="0"/>
    </xf>
    <xf numFmtId="0" fontId="77" fillId="7" borderId="0" xfId="0" applyFont="1" applyFill="1" applyBorder="1" applyAlignment="1"/>
    <xf numFmtId="0" fontId="19" fillId="7" borderId="0" xfId="0" applyFont="1" applyFill="1" applyBorder="1" applyAlignment="1"/>
    <xf numFmtId="178" fontId="80" fillId="22" borderId="1" xfId="0" applyNumberFormat="1" applyFont="1" applyFill="1" applyBorder="1" applyAlignment="1">
      <alignment horizontal="center"/>
    </xf>
    <xf numFmtId="31" fontId="80" fillId="22" borderId="1" xfId="0" applyNumberFormat="1" applyFont="1" applyFill="1" applyBorder="1" applyAlignment="1">
      <alignment horizontal="center"/>
    </xf>
    <xf numFmtId="0" fontId="176" fillId="22" borderId="1" xfId="0" applyFont="1" applyFill="1" applyBorder="1" applyAlignment="1">
      <alignment horizontal="center"/>
    </xf>
    <xf numFmtId="31" fontId="176" fillId="22" borderId="1" xfId="0" applyNumberFormat="1" applyFont="1" applyFill="1" applyBorder="1" applyAlignment="1">
      <alignment horizontal="center"/>
    </xf>
    <xf numFmtId="0" fontId="19" fillId="0" borderId="0" xfId="0" applyFont="1" applyFill="1" applyBorder="1" applyAlignment="1">
      <alignment horizontal="left"/>
    </xf>
    <xf numFmtId="49" fontId="19" fillId="24" borderId="1" xfId="0" applyNumberFormat="1" applyFont="1" applyFill="1" applyBorder="1" applyAlignment="1" applyProtection="1">
      <alignment horizontal="left"/>
    </xf>
    <xf numFmtId="0" fontId="19" fillId="24" borderId="1" xfId="0" applyFont="1" applyFill="1" applyBorder="1" applyAlignment="1" applyProtection="1">
      <alignment horizontal="left"/>
    </xf>
    <xf numFmtId="0" fontId="19" fillId="24" borderId="1" xfId="0" applyFont="1" applyFill="1" applyBorder="1" applyAlignment="1" applyProtection="1">
      <alignment horizontal="center"/>
    </xf>
    <xf numFmtId="0" fontId="19" fillId="24" borderId="1" xfId="0" applyFont="1" applyFill="1" applyBorder="1" applyAlignment="1"/>
    <xf numFmtId="0" fontId="19" fillId="24" borderId="1" xfId="0" applyFont="1" applyFill="1" applyBorder="1" applyAlignment="1" applyProtection="1"/>
    <xf numFmtId="178" fontId="184" fillId="24" borderId="1" xfId="0" applyNumberFormat="1" applyFont="1" applyFill="1" applyBorder="1" applyAlignment="1" applyProtection="1">
      <alignment horizontal="left"/>
      <protection locked="0"/>
    </xf>
    <xf numFmtId="31" fontId="19" fillId="24" borderId="1" xfId="0" applyNumberFormat="1" applyFont="1" applyFill="1" applyBorder="1" applyAlignment="1" applyProtection="1">
      <alignment horizontal="left"/>
    </xf>
    <xf numFmtId="31" fontId="19" fillId="24" borderId="1" xfId="0" applyNumberFormat="1" applyFont="1" applyFill="1" applyBorder="1" applyAlignment="1"/>
    <xf numFmtId="49" fontId="184" fillId="24" borderId="1" xfId="0" applyNumberFormat="1" applyFont="1" applyFill="1" applyBorder="1" applyAlignment="1" applyProtection="1">
      <alignment horizontal="left"/>
    </xf>
    <xf numFmtId="31" fontId="184" fillId="24" borderId="1" xfId="0" applyNumberFormat="1" applyFont="1" applyFill="1" applyBorder="1" applyAlignment="1" applyProtection="1">
      <alignment horizontal="left"/>
    </xf>
    <xf numFmtId="199" fontId="19" fillId="24" borderId="1" xfId="0" applyNumberFormat="1" applyFont="1" applyFill="1" applyBorder="1" applyAlignment="1" applyProtection="1"/>
    <xf numFmtId="31" fontId="19" fillId="24" borderId="1" xfId="0" applyNumberFormat="1" applyFont="1" applyFill="1" applyBorder="1" applyAlignment="1" applyProtection="1"/>
    <xf numFmtId="199" fontId="19" fillId="24" borderId="1" xfId="0" applyNumberFormat="1" applyFont="1" applyFill="1" applyBorder="1" applyAlignment="1" applyProtection="1">
      <alignment horizontal="left"/>
    </xf>
    <xf numFmtId="31" fontId="19" fillId="24" borderId="1" xfId="0" applyNumberFormat="1" applyFont="1" applyFill="1" applyBorder="1" applyAlignment="1">
      <alignment horizontal="center"/>
    </xf>
    <xf numFmtId="0" fontId="184" fillId="24" borderId="1" xfId="0" applyFont="1" applyFill="1" applyBorder="1" applyAlignment="1">
      <alignment horizontal="left"/>
    </xf>
    <xf numFmtId="0" fontId="184" fillId="24" borderId="1" xfId="0" applyFont="1" applyFill="1" applyBorder="1" applyAlignment="1"/>
    <xf numFmtId="0" fontId="184" fillId="24" borderId="1" xfId="0" applyFont="1" applyFill="1" applyBorder="1" applyAlignment="1">
      <alignment horizontal="right"/>
    </xf>
    <xf numFmtId="31" fontId="184" fillId="24" borderId="1" xfId="0" applyNumberFormat="1" applyFont="1" applyFill="1" applyBorder="1" applyAlignment="1">
      <alignment horizontal="left"/>
    </xf>
    <xf numFmtId="0" fontId="19" fillId="24" borderId="1" xfId="0" applyFont="1" applyFill="1" applyBorder="1" applyAlignment="1">
      <alignment horizontal="left"/>
    </xf>
    <xf numFmtId="0" fontId="184" fillId="24" borderId="1" xfId="0" applyFont="1" applyFill="1" applyBorder="1" applyAlignment="1" applyProtection="1"/>
    <xf numFmtId="31" fontId="184" fillId="24" borderId="1" xfId="0" applyNumberFormat="1" applyFont="1" applyFill="1" applyBorder="1" applyAlignment="1" applyProtection="1"/>
    <xf numFmtId="0" fontId="19" fillId="24" borderId="1" xfId="0" applyFont="1" applyFill="1" applyBorder="1" applyAlignment="1">
      <alignment horizontal="right"/>
    </xf>
    <xf numFmtId="9" fontId="80" fillId="22" borderId="1" xfId="0" applyNumberFormat="1" applyFont="1" applyFill="1" applyBorder="1" applyAlignment="1">
      <alignment horizontal="center"/>
    </xf>
    <xf numFmtId="0" fontId="19" fillId="0" borderId="0" xfId="0" applyFont="1" applyAlignment="1"/>
    <xf numFmtId="0" fontId="80" fillId="22" borderId="13" xfId="0" applyFont="1" applyFill="1" applyBorder="1" applyAlignment="1">
      <alignment horizontal="center"/>
    </xf>
    <xf numFmtId="9" fontId="80" fillId="22" borderId="13" xfId="0" applyNumberFormat="1" applyFont="1" applyFill="1" applyBorder="1" applyAlignment="1">
      <alignment horizontal="center"/>
    </xf>
    <xf numFmtId="0" fontId="19" fillId="24" borderId="1" xfId="0" applyNumberFormat="1" applyFont="1" applyFill="1" applyBorder="1" applyAlignment="1"/>
    <xf numFmtId="49" fontId="19" fillId="24" borderId="1" xfId="0" applyNumberFormat="1" applyFont="1" applyFill="1" applyBorder="1" applyAlignment="1"/>
    <xf numFmtId="9" fontId="19" fillId="24" borderId="1" xfId="0" applyNumberFormat="1" applyFont="1" applyFill="1" applyBorder="1" applyAlignment="1"/>
    <xf numFmtId="0" fontId="44" fillId="9" borderId="5" xfId="0" applyFont="1" applyFill="1" applyBorder="1" applyAlignment="1" applyProtection="1">
      <alignment horizontal="center" vertical="center" wrapText="1"/>
    </xf>
    <xf numFmtId="0" fontId="51" fillId="9" borderId="23" xfId="0" applyNumberFormat="1" applyFont="1" applyFill="1" applyBorder="1" applyAlignment="1" applyProtection="1">
      <alignment horizontal="center" vertical="center" wrapText="1"/>
      <protection locked="0"/>
    </xf>
    <xf numFmtId="0" fontId="51" fillId="9" borderId="24" xfId="0" applyNumberFormat="1" applyFont="1" applyFill="1" applyBorder="1" applyAlignment="1" applyProtection="1">
      <alignment horizontal="center" vertical="center" wrapText="1"/>
    </xf>
    <xf numFmtId="49" fontId="51" fillId="9" borderId="23" xfId="0" applyNumberFormat="1" applyFont="1" applyFill="1" applyBorder="1" applyAlignment="1" applyProtection="1">
      <alignment horizontal="center" vertical="center" wrapText="1"/>
      <protection locked="0"/>
    </xf>
    <xf numFmtId="49" fontId="51" fillId="9" borderId="3" xfId="0" applyNumberFormat="1" applyFont="1" applyFill="1" applyBorder="1" applyAlignment="1" applyProtection="1">
      <alignment horizontal="center" vertical="center" wrapText="1"/>
      <protection locked="0"/>
    </xf>
    <xf numFmtId="49" fontId="128" fillId="9"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80" fillId="22" borderId="1" xfId="0" applyFont="1" applyFill="1" applyBorder="1" applyAlignment="1" applyProtection="1">
      <alignment horizontal="center"/>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20"/>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103;&#26412;&#27979;&#31639;&#8212;&#8212;&#22522;&#20934;&#22320;&#20215;&#26032;&#21326;&#34903;&#19977;&#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227255</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估价对象为北京市房地产，为所有。根据《国有土地使用证》[]，估价对象（分摊）出让国有建设用地使用权面积为0平方米，建筑面积为88.22平方米。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估价对象为北京市房地产,属开发建设的，该项目尚在开发建设中。根据《国有土地使用证》[]，估价对象（分摊）出让国有建设用地使用权面积为0平方米，规划建筑面积为88.22平方米。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2006年7月18日</v>
      </c>
    </row>
    <row r="13" spans="1:2" s="1203" customFormat="1">
      <c r="A13" s="1201" t="s">
        <v>529</v>
      </c>
      <c r="B13" s="1202" t="str">
        <f>'预评函-1'!A18</f>
        <v>本次估价的“房地产价值”是指在正常市场情况下，在价值时点2006年7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88.22</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92"/>
      <c r="B54" s="1554" t="s">
        <v>385</v>
      </c>
      <c r="C54" s="1551" t="s">
        <v>583</v>
      </c>
    </row>
    <row r="55" spans="1:4">
      <c r="A55" s="3692"/>
      <c r="B55" s="1554" t="s">
        <v>386</v>
      </c>
      <c r="C55" s="1551" t="s">
        <v>584</v>
      </c>
    </row>
    <row r="56" spans="1:4">
      <c r="A56" s="3692"/>
      <c r="B56" s="1554" t="s">
        <v>387</v>
      </c>
      <c r="C56" s="1551" t="s">
        <v>588</v>
      </c>
    </row>
    <row r="57" spans="1:4">
      <c r="A57" s="36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693" t="s">
        <v>2581</v>
      </c>
      <c r="J2" s="3693"/>
      <c r="K2" s="3693"/>
      <c r="L2" s="3693"/>
      <c r="M2" s="3693"/>
      <c r="N2" s="3693"/>
      <c r="O2" s="3693"/>
      <c r="P2" s="3693"/>
      <c r="Q2" s="3693"/>
      <c r="R2" s="3693"/>
    </row>
    <row r="3" spans="1:18">
      <c r="A3" s="3020" t="s">
        <v>2502</v>
      </c>
      <c r="B3" s="3021">
        <f>项目基本情况!D3</f>
        <v>38916</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20.43</v>
      </c>
      <c r="D5" s="3025">
        <f>IF(ISERROR(ROUND(POWER(1+E5,A5-C5)*(POWER(1+E5,C5)-1)/(POWER(1+E5,A5)-1),3)),0,ROUND(POWER(1+E5,A5-C5)*(POWER(1+E5,C5)-1)/(POWER(1+E5,A5)-1),4))</f>
        <v>0.69630000000000003</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30.44</v>
      </c>
      <c r="D6" s="3025">
        <f>IF(ISERROR(ROUND(POWER(1+E6,A6-C6)*(POWER(1+E6,C6)-1)/(POWER(1+E6,A6)-1),3)),0,ROUND(POWER(1+E6,A6-C6)*(POWER(1+E6,C6)-1)/(POWER(1+E6,A6)-1),4))</f>
        <v>0.81110000000000004</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50.45</v>
      </c>
      <c r="D7" s="3025">
        <f>IF(ISERROR(ROUND(POWER(1+E7,A7-C7)*(POWER(1+E7,C7)-1)/(POWER(1+E7,A7)-1),3)),0,ROUND(POWER(1+E7,A7-C7)*(POWER(1+E7,C7)-1)/(POWER(1+E7,A7)-1),4))</f>
        <v>0.92090000000000005</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694" t="str">
        <f>IF(B10="北京市","北京市",C10)&amp;F10&amp;IF(结果表!G1="在建","出让国有建设用地使用权及在建建筑物",IF(结果表!G1="土地","出让国有建设用地使用权",))&amp;B9&amp;"预评估"</f>
        <v>北京市房地产市场价值预评估</v>
      </c>
      <c r="C1" s="3695"/>
      <c r="D1" s="3695"/>
      <c r="E1" s="3695"/>
      <c r="F1" s="3695"/>
      <c r="G1" s="3695"/>
      <c r="H1" s="3695"/>
      <c r="I1" s="369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38916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697"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698"/>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64589</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704"/>
      <c r="C16" s="3705"/>
      <c r="D16" s="3706"/>
      <c r="E16" s="2413" t="s">
        <v>2194</v>
      </c>
      <c r="F16" s="3707"/>
      <c r="G16" s="3708"/>
      <c r="H16" s="3708"/>
      <c r="I16" s="3709"/>
      <c r="J16" s="2439"/>
      <c r="K16" s="2617"/>
      <c r="L16" s="2451"/>
      <c r="M16" s="2451"/>
      <c r="N16" s="2509"/>
      <c r="O16" s="2451"/>
      <c r="P16" s="2509"/>
      <c r="Q16" s="2439"/>
      <c r="R16" s="2439"/>
    </row>
    <row r="17" spans="1:28">
      <c r="A17" s="313" t="s">
        <v>2195</v>
      </c>
      <c r="B17" s="302" t="s">
        <v>2196</v>
      </c>
      <c r="C17" s="8">
        <f>'数据-汇总表'!E3</f>
        <v>88.22</v>
      </c>
      <c r="D17" s="2322" t="s">
        <v>2197</v>
      </c>
      <c r="E17" s="3710" t="s">
        <v>2198</v>
      </c>
      <c r="F17" s="3711"/>
      <c r="G17" s="3711"/>
      <c r="H17" s="3711"/>
      <c r="I17" s="3712"/>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713" t="s">
        <v>2202</v>
      </c>
      <c r="F18" s="3714"/>
      <c r="G18" s="3714"/>
      <c r="H18" s="3714"/>
      <c r="I18" s="3715"/>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700" t="s">
        <v>2206</v>
      </c>
      <c r="C20" s="3701"/>
      <c r="D20" s="3702" t="s">
        <v>2207</v>
      </c>
      <c r="E20" s="3703"/>
      <c r="F20" s="2647" t="s">
        <v>1056</v>
      </c>
      <c r="G20" s="2664"/>
      <c r="H20" s="2664"/>
      <c r="I20" s="2664"/>
      <c r="J20" s="2439"/>
      <c r="K20" s="369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6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6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71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71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71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718"/>
      <c r="B30" s="302" t="s">
        <v>2218</v>
      </c>
      <c r="C30" s="3719"/>
      <c r="D30" s="3720"/>
      <c r="E30" s="2664"/>
      <c r="F30" s="2664"/>
      <c r="G30" s="2664"/>
      <c r="H30" s="2664"/>
      <c r="I30" s="2664"/>
      <c r="J30" s="2439"/>
      <c r="K30" s="2616"/>
      <c r="L30" s="2613"/>
      <c r="M30" s="2613"/>
      <c r="N30" s="2439"/>
      <c r="O30" s="2450"/>
      <c r="P30" s="2439"/>
      <c r="Q30" s="2439"/>
      <c r="R30" s="2439"/>
      <c r="S30" s="2439"/>
      <c r="T30" s="2439"/>
      <c r="U30" s="2439"/>
      <c r="V30" s="2439"/>
    </row>
    <row r="31" spans="1:28">
      <c r="A31" s="372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7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7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716" t="s">
        <v>2228</v>
      </c>
      <c r="T34" s="2428" t="str">
        <f>NUMBERSTRING(7-K34,1)&amp;"通"</f>
        <v>七通</v>
      </c>
      <c r="U34" s="2439"/>
      <c r="V34" s="2439"/>
    </row>
    <row r="35" spans="1:30">
      <c r="A35" s="2429"/>
      <c r="B35" s="3723" t="s">
        <v>2229</v>
      </c>
      <c r="C35" s="3723"/>
      <c r="D35" s="3723"/>
      <c r="E35" s="37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71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88.22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88.22</v>
      </c>
      <c r="H5" s="13">
        <f t="shared" ref="H5:AT5" si="0">SUM(H13:H656)</f>
        <v>88.22</v>
      </c>
      <c r="I5" s="13">
        <f t="shared" si="0"/>
        <v>88.22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88.22</v>
      </c>
      <c r="BA5" s="15">
        <f t="shared" si="1"/>
        <v>88.22</v>
      </c>
      <c r="BB5" s="15">
        <f t="shared" si="1"/>
        <v>88.22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88.22</v>
      </c>
      <c r="H13" s="17">
        <f>SUMIF(I$12:AB$12,"总值",I13:AB13)</f>
        <v>88.22</v>
      </c>
      <c r="I13" s="1626">
        <v>88.22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88.22</v>
      </c>
      <c r="BA13" s="13">
        <f>SUM(BB13:BK13)</f>
        <v>88.22</v>
      </c>
      <c r="BB13" s="13">
        <f>IF($D13="是",I13-J13,0)</f>
        <v>88.22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0" sqref="H4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733" t="s">
        <v>1131</v>
      </c>
      <c r="B2" s="3733"/>
      <c r="C2" s="3733"/>
      <c r="D2" s="796" t="s">
        <v>1107</v>
      </c>
      <c r="E2" s="1639" t="s">
        <v>1108</v>
      </c>
      <c r="F2" s="2659"/>
      <c r="G2" s="2650"/>
      <c r="H2" s="2651"/>
      <c r="I2" s="2325" t="s">
        <v>1132</v>
      </c>
      <c r="J2" s="2659"/>
      <c r="K2" s="2659"/>
      <c r="L2" s="2659"/>
      <c r="M2" s="2659"/>
      <c r="N2" s="2661"/>
      <c r="O2" s="2659"/>
      <c r="P2" s="2659"/>
    </row>
    <row r="3" spans="1:16" ht="15" thickBot="1">
      <c r="A3" s="3734" t="s">
        <v>1105</v>
      </c>
      <c r="B3" s="3734"/>
      <c r="C3" s="3734"/>
      <c r="D3" s="43">
        <f>'数据-基础表'!AY6</f>
        <v>0</v>
      </c>
      <c r="E3" s="43">
        <f>'数据-基础表'!AZ5</f>
        <v>88.22</v>
      </c>
      <c r="F3" s="2659"/>
      <c r="G3" s="1145"/>
      <c r="H3" s="1026" t="s">
        <v>1106</v>
      </c>
      <c r="I3" s="855" t="e">
        <f>ROUND('数据-基础表'!B3/'数据-基础表'!A3,2)</f>
        <v>#DIV/0!</v>
      </c>
      <c r="J3" s="2659"/>
      <c r="K3" s="2659"/>
      <c r="L3" s="2659"/>
      <c r="M3" s="2659"/>
      <c r="N3" s="2661"/>
      <c r="O3" s="2659"/>
      <c r="P3" s="2659"/>
    </row>
    <row r="4" spans="1:16" ht="14.4">
      <c r="A4" s="3735"/>
      <c r="B4" s="3736"/>
      <c r="C4" s="373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738" t="s">
        <v>1110</v>
      </c>
      <c r="C5" s="3738"/>
      <c r="D5" s="45">
        <f>ROUND($D$3*E5/$E$3,2)</f>
        <v>0</v>
      </c>
      <c r="E5" s="46">
        <f>SUMIF('数据-基础表'!$11:$11,"住宅",'数据-基础表'!$5:$5)</f>
        <v>88.22</v>
      </c>
      <c r="F5" s="2659"/>
      <c r="G5" s="1145"/>
      <c r="H5" s="1026" t="s">
        <v>1106</v>
      </c>
      <c r="I5" s="855" t="e">
        <f>ROUND(E31/D31,2)</f>
        <v>#DIV/0!</v>
      </c>
      <c r="J5" s="2659"/>
      <c r="K5" s="2659"/>
      <c r="L5" s="2659"/>
      <c r="M5" s="2659"/>
      <c r="N5" s="2659"/>
      <c r="O5" s="2659"/>
      <c r="P5" s="2659"/>
    </row>
    <row r="6" spans="1:16" ht="15" thickBot="1">
      <c r="A6" s="1644"/>
      <c r="B6" s="3738" t="s">
        <v>1111</v>
      </c>
      <c r="C6" s="3738"/>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730"/>
      <c r="B7" s="3731"/>
      <c r="C7" s="3732"/>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88.22</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88.22</v>
      </c>
      <c r="F16" s="2659"/>
      <c r="G16" s="2660"/>
      <c r="H16" s="1648" t="s">
        <v>1135</v>
      </c>
      <c r="I16" s="1649"/>
      <c r="J16" s="1139"/>
      <c r="K16" s="3727" t="s">
        <v>1135</v>
      </c>
      <c r="L16" s="3728"/>
      <c r="M16" s="3728"/>
      <c r="N16" s="3728"/>
      <c r="O16" s="3728"/>
      <c r="P16" s="3729"/>
    </row>
    <row r="17" spans="1:19" ht="14.4">
      <c r="A17" s="1650" t="s">
        <v>1136</v>
      </c>
      <c r="B17" s="1651" t="s">
        <v>1137</v>
      </c>
      <c r="C17" s="1652" t="s">
        <v>1138</v>
      </c>
      <c r="D17" s="1653" t="s">
        <v>1126</v>
      </c>
      <c r="E17" s="1654" t="s">
        <v>1127</v>
      </c>
      <c r="F17" s="1655"/>
      <c r="G17" s="1656"/>
      <c r="H17" s="1657" t="s">
        <v>1139</v>
      </c>
      <c r="I17" s="1658" t="s">
        <v>1124</v>
      </c>
      <c r="J17" s="1139"/>
      <c r="K17" s="3724" t="s">
        <v>1140</v>
      </c>
      <c r="L17" s="3725"/>
      <c r="M17" s="3726"/>
      <c r="N17" s="3724" t="s">
        <v>1141</v>
      </c>
      <c r="O17" s="3725"/>
      <c r="P17" s="3726"/>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88.22</v>
      </c>
      <c r="F19" s="2795">
        <f>'数据-基础表'!I13</f>
        <v>88.22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88.22</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88.22</v>
      </c>
      <c r="F27" s="1140">
        <f>IF(SUM(F19:F26)=E8,SUM(F19:F26),"地上面积有误")</f>
        <v>88.22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88.22</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88.22</v>
      </c>
      <c r="F31" s="677">
        <f>F27+F30</f>
        <v>88.22</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88.22</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6" sqref="Q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38916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64589</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88.22</v>
      </c>
      <c r="L6" s="733">
        <v>1700</v>
      </c>
      <c r="M6" s="67">
        <f t="shared" ref="M6:M14" si="0">ROUND(K6*L6/10000,0)</f>
        <v>15</v>
      </c>
      <c r="N6" s="3455">
        <v>1</v>
      </c>
      <c r="O6" s="67" t="str">
        <f>IF($N$5="成新度","——",ROUND(M6*N6,0))</f>
        <v>——</v>
      </c>
      <c r="P6" s="68" t="str">
        <f>IF($N$5="成新度","——",M6-O6)</f>
        <v>——</v>
      </c>
      <c r="Q6" s="734">
        <v>0.12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149974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88.22</v>
      </c>
      <c r="L16" s="93">
        <f>ROUND(M16*10000/SUM(K6:K14),0)</f>
        <v>1700</v>
      </c>
      <c r="M16" s="93">
        <f>SUM(M6:M14)</f>
        <v>15</v>
      </c>
      <c r="N16" s="94">
        <f>ROUND(SUMPRODUCT(M6:M14,N6:N14)/M16,3)</f>
        <v>1</v>
      </c>
      <c r="O16" s="93">
        <f>SUM(O6:O14)</f>
        <v>0</v>
      </c>
      <c r="P16" s="93">
        <f>SUM(P6:P14)</f>
        <v>0</v>
      </c>
      <c r="Q16" s="95">
        <f>ROUND(SUMPRODUCT(Q6:Q13,K6:K13)/SUMPRODUCT((Q6:Q13&gt;0)*(K6:K13)),2)</f>
        <v>0.12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f>1-(2011-2006)/60</f>
        <v>0.91666666666666663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2.2499999999999999E-2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6.0299999999999999E-2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739" t="s">
        <v>2286</v>
      </c>
      <c r="B1" s="3740"/>
      <c r="C1" s="3740"/>
      <c r="D1" s="3740"/>
      <c r="E1" s="3740"/>
      <c r="F1" s="3740"/>
      <c r="G1" s="37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88.22</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38916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54</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88.22</v>
      </c>
      <c r="C14" s="2518"/>
      <c r="D14" s="2518">
        <f ca="1">结果表!G19</f>
        <v>54</v>
      </c>
      <c r="E14" s="2518">
        <f ca="1">ROUND(D14*10000/B14,0)</f>
        <v>6121</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M21" sqref="M21"/>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808" t="str">
        <f>项目基本情况!S2</f>
        <v>北京市房地产</v>
      </c>
      <c r="B2" s="3809"/>
      <c r="C2" s="3809"/>
      <c r="D2" s="3809"/>
      <c r="E2" s="3809"/>
      <c r="F2" s="3809"/>
      <c r="G2" s="3809"/>
      <c r="H2" s="3809"/>
      <c r="I2" s="3810"/>
    </row>
    <row r="3" spans="1:12" ht="13.2">
      <c r="A3" s="3812" t="s">
        <v>1264</v>
      </c>
      <c r="B3" s="3813"/>
      <c r="C3" s="3813"/>
      <c r="D3" s="3813"/>
      <c r="E3" s="3813"/>
      <c r="F3" s="3813"/>
      <c r="G3" s="3813"/>
      <c r="H3" s="3813"/>
      <c r="I3" s="3813"/>
    </row>
    <row r="4" spans="1:12" ht="14.4">
      <c r="A4" s="1754" t="s">
        <v>1265</v>
      </c>
      <c r="B4" s="1755" t="s">
        <v>1266</v>
      </c>
      <c r="C4" s="1756" t="s">
        <v>3420</v>
      </c>
      <c r="D4" s="1756" t="s">
        <v>3421</v>
      </c>
      <c r="E4" s="3817" t="s">
        <v>1267</v>
      </c>
      <c r="F4" s="3818"/>
      <c r="G4" s="3818"/>
      <c r="H4" s="3818"/>
      <c r="I4" s="381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756" t="s">
        <v>1268</v>
      </c>
      <c r="B5" s="3811">
        <v>25</v>
      </c>
      <c r="C5" s="3814">
        <v>5</v>
      </c>
      <c r="D5" s="3802">
        <f>10-C5</f>
        <v>5</v>
      </c>
      <c r="E5" s="131" t="s">
        <v>1269</v>
      </c>
      <c r="F5" s="1757"/>
      <c r="G5" s="1757"/>
      <c r="H5" s="1757"/>
      <c r="I5" s="1373"/>
    </row>
    <row r="6" spans="1:12" ht="13.2">
      <c r="A6" s="3756"/>
      <c r="B6" s="3811"/>
      <c r="C6" s="3816"/>
      <c r="D6" s="3802"/>
      <c r="E6" s="131" t="s">
        <v>1270</v>
      </c>
      <c r="F6" s="1757"/>
      <c r="G6" s="1757"/>
      <c r="H6" s="1757"/>
      <c r="I6" s="1373"/>
    </row>
    <row r="7" spans="1:12" ht="13.2">
      <c r="A7" s="3756"/>
      <c r="B7" s="3811"/>
      <c r="C7" s="3815"/>
      <c r="D7" s="3802"/>
      <c r="E7" s="131" t="s">
        <v>1271</v>
      </c>
      <c r="F7" s="1757"/>
      <c r="G7" s="1757"/>
      <c r="H7" s="1757"/>
      <c r="I7" s="1373"/>
    </row>
    <row r="8" spans="1:12" ht="13.2">
      <c r="A8" s="3756" t="s">
        <v>1272</v>
      </c>
      <c r="B8" s="3811">
        <v>15</v>
      </c>
      <c r="C8" s="3814"/>
      <c r="D8" s="3802"/>
      <c r="E8" s="131" t="s">
        <v>1273</v>
      </c>
      <c r="F8" s="1757"/>
      <c r="G8" s="1757"/>
      <c r="H8" s="1757"/>
      <c r="I8" s="1373"/>
    </row>
    <row r="9" spans="1:12" ht="13.2">
      <c r="A9" s="3756"/>
      <c r="B9" s="3811"/>
      <c r="C9" s="3815"/>
      <c r="D9" s="3802"/>
      <c r="E9" s="131" t="s">
        <v>1274</v>
      </c>
      <c r="F9" s="1757"/>
      <c r="G9" s="1757"/>
      <c r="H9" s="1757"/>
      <c r="I9" s="1373"/>
    </row>
    <row r="10" spans="1:12" ht="13.2">
      <c r="A10" s="3756" t="s">
        <v>1275</v>
      </c>
      <c r="B10" s="3811">
        <v>15</v>
      </c>
      <c r="C10" s="3814"/>
      <c r="D10" s="3802"/>
      <c r="E10" s="131" t="s">
        <v>1276</v>
      </c>
      <c r="F10" s="1757"/>
      <c r="G10" s="1757"/>
      <c r="H10" s="1757"/>
      <c r="I10" s="1373"/>
    </row>
    <row r="11" spans="1:12" ht="13.2">
      <c r="A11" s="3756"/>
      <c r="B11" s="3811"/>
      <c r="C11" s="3815"/>
      <c r="D11" s="3802"/>
      <c r="E11" s="131" t="s">
        <v>1277</v>
      </c>
      <c r="F11" s="1757"/>
      <c r="G11" s="1757"/>
      <c r="H11" s="1757"/>
      <c r="I11" s="1373"/>
    </row>
    <row r="12" spans="1:12" ht="13.2">
      <c r="A12" s="3756" t="s">
        <v>1278</v>
      </c>
      <c r="B12" s="3811">
        <v>15</v>
      </c>
      <c r="C12" s="3814"/>
      <c r="D12" s="3802"/>
      <c r="E12" s="131" t="s">
        <v>1279</v>
      </c>
      <c r="F12" s="1757"/>
      <c r="G12" s="1757"/>
      <c r="H12" s="1757"/>
      <c r="I12" s="1373"/>
    </row>
    <row r="13" spans="1:12" ht="13.2">
      <c r="A13" s="3756"/>
      <c r="B13" s="3811"/>
      <c r="C13" s="3815"/>
      <c r="D13" s="3802"/>
      <c r="E13" s="131" t="s">
        <v>1280</v>
      </c>
      <c r="F13" s="1757"/>
      <c r="G13" s="1757"/>
      <c r="H13" s="1757"/>
      <c r="I13" s="1373"/>
    </row>
    <row r="14" spans="1:12" ht="13.2">
      <c r="A14" s="3756" t="s">
        <v>1281</v>
      </c>
      <c r="B14" s="3811">
        <v>30</v>
      </c>
      <c r="C14" s="3814"/>
      <c r="D14" s="3802"/>
      <c r="E14" s="131" t="s">
        <v>1282</v>
      </c>
      <c r="F14" s="1757"/>
      <c r="G14" s="1757"/>
      <c r="H14" s="1757"/>
      <c r="I14" s="1373"/>
    </row>
    <row r="15" spans="1:12" ht="13.2">
      <c r="A15" s="3756"/>
      <c r="B15" s="3811"/>
      <c r="C15" s="3816"/>
      <c r="D15" s="3802"/>
      <c r="E15" s="131" t="s">
        <v>1283</v>
      </c>
      <c r="F15" s="1757"/>
      <c r="G15" s="1757"/>
      <c r="H15" s="1757"/>
      <c r="I15" s="1373"/>
    </row>
    <row r="16" spans="1:12" ht="13.2">
      <c r="A16" s="3756"/>
      <c r="B16" s="3811"/>
      <c r="C16" s="3815"/>
      <c r="D16" s="3802"/>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833" t="s">
        <v>2131</v>
      </c>
      <c r="F18" s="3834"/>
      <c r="G18" s="3834"/>
      <c r="H18" s="3834"/>
      <c r="I18" s="3834"/>
      <c r="K18" s="302" t="s">
        <v>1289</v>
      </c>
      <c r="L18" s="302">
        <f>IF(C1="",'数据-汇总表'!E3,SUMIF(项目类型,C1,'数据-汇总表'!E17:E26)+SUMIF(项目类型,C1,'数据-汇总表'!I17:I26))</f>
        <v>88.22</v>
      </c>
      <c r="M18" s="302">
        <f>IF(C1="",'数据-汇总表'!E3,SUMIF(项目类型,C1,'数据-汇总表'!E17:E26))</f>
        <v>88.22</v>
      </c>
    </row>
    <row r="19" spans="1:36" ht="14.4">
      <c r="A19" s="1761" t="s">
        <v>1290</v>
      </c>
      <c r="B19" s="1762" t="s">
        <v>1291</v>
      </c>
      <c r="C19" s="134">
        <f ca="1">SUMIF(INDIRECT("'"&amp;C4&amp;"'"&amp;"!A:A"),结果表!B19,INDIRECT("'"&amp;C4&amp;"'"&amp;"!B:B"))</f>
        <v>53.143700000000003</v>
      </c>
      <c r="D19" s="135">
        <f ca="1">SUMIF(INDIRECT("'"&amp;D4&amp;"'"&amp;"!A:A"),结果表!B19,INDIRECT("'"&amp;D4&amp;"'"&amp;"!B:B"))</f>
        <v>54.811199999999999</v>
      </c>
      <c r="E19" s="1761" t="s">
        <v>1292</v>
      </c>
      <c r="F19" s="1762" t="s">
        <v>1291</v>
      </c>
      <c r="G19" s="136">
        <f ca="1">ROUND(C19*$C$18+D19*$D$18,0)</f>
        <v>54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6024</v>
      </c>
      <c r="D20" s="138">
        <f ca="1">SUMIF(INDIRECT("'"&amp;D4&amp;"'"&amp;"!A:A"),结果表!B20,INDIRECT("'"&amp;D4&amp;"'"&amp;"!B:B"))</f>
        <v>6213</v>
      </c>
      <c r="E20" s="1764"/>
      <c r="F20" s="1026" t="s">
        <v>1295</v>
      </c>
      <c r="G20" s="139">
        <f ca="1">ROUND(C20*$C$18+D20*$D$18,0)</f>
        <v>6119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3.1377190523053544E-2</v>
      </c>
      <c r="E22" s="129"/>
      <c r="F22" s="129"/>
      <c r="G22" s="129"/>
      <c r="H22" s="129"/>
      <c r="I22" s="129"/>
    </row>
    <row r="23" spans="1:36" ht="13.8" thickBot="1">
      <c r="A23" s="1747"/>
      <c r="B23" s="1747"/>
      <c r="C23" s="1747"/>
      <c r="D23" s="1747"/>
      <c r="E23" s="129"/>
      <c r="F23" s="129"/>
      <c r="G23" s="129"/>
      <c r="H23" s="129"/>
      <c r="I23" s="129"/>
    </row>
    <row r="24" spans="1:36" ht="14.4">
      <c r="A24" s="3826" t="s">
        <v>1299</v>
      </c>
      <c r="B24" s="1762" t="s">
        <v>1291</v>
      </c>
      <c r="C24" s="136">
        <f>IF(B30=0,0,D30)</f>
        <v>0</v>
      </c>
      <c r="D24" s="1769"/>
      <c r="E24" s="129"/>
      <c r="F24" s="129"/>
      <c r="G24" s="129"/>
      <c r="H24" s="129"/>
      <c r="I24" s="129"/>
    </row>
    <row r="25" spans="1:36" ht="14.4">
      <c r="A25" s="382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6119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803" t="s">
        <v>1312</v>
      </c>
      <c r="B36" s="1787" t="s">
        <v>1313</v>
      </c>
      <c r="C36" s="145"/>
      <c r="D36" s="1788"/>
      <c r="E36" s="1789"/>
      <c r="F36" s="1790"/>
      <c r="G36" s="129"/>
      <c r="H36" s="129"/>
      <c r="I36" s="129"/>
    </row>
    <row r="37" spans="1:15" ht="15" thickBot="1">
      <c r="A37" s="3804"/>
      <c r="B37" s="1674" t="s">
        <v>1314</v>
      </c>
      <c r="C37" s="147"/>
      <c r="D37" s="1139"/>
      <c r="E37" s="1139"/>
      <c r="F37" s="1790"/>
      <c r="G37" s="129"/>
      <c r="H37" s="129"/>
      <c r="I37" s="129"/>
    </row>
    <row r="38" spans="1:15" ht="15" thickBot="1">
      <c r="A38" s="380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823" t="s">
        <v>1326</v>
      </c>
      <c r="B45" s="3824"/>
      <c r="C45" s="3825"/>
      <c r="D45" s="155" t="e">
        <f ca="1">ROUND(H101*F45,0)</f>
        <v>#REF!</v>
      </c>
      <c r="E45" s="156" t="s">
        <v>1327</v>
      </c>
      <c r="F45" s="157">
        <v>1</v>
      </c>
      <c r="G45" s="158" t="s">
        <v>1328</v>
      </c>
      <c r="H45" s="129"/>
      <c r="I45" s="129"/>
      <c r="J45" s="3743" t="s">
        <v>1329</v>
      </c>
      <c r="K45" s="3743"/>
      <c r="L45" s="3743"/>
      <c r="M45" s="3743"/>
      <c r="N45" s="3743"/>
      <c r="O45" s="3743"/>
    </row>
    <row r="46" spans="1:15" ht="14.25" customHeight="1">
      <c r="A46" s="3820" t="s">
        <v>1330</v>
      </c>
      <c r="B46" s="3821"/>
      <c r="C46" s="3821"/>
      <c r="D46" s="3821"/>
      <c r="E46" s="3821"/>
      <c r="F46" s="3821"/>
      <c r="G46" s="3822"/>
      <c r="H46" s="1806"/>
      <c r="I46" s="159"/>
      <c r="J46" s="2523">
        <v>1</v>
      </c>
      <c r="K46" s="3744" t="s">
        <v>1331</v>
      </c>
      <c r="L46" s="3744"/>
      <c r="M46" s="3745"/>
      <c r="N46" s="3745"/>
      <c r="O46" s="3745"/>
    </row>
    <row r="47" spans="1:15" ht="12" customHeight="1">
      <c r="A47" s="160" t="s">
        <v>1332</v>
      </c>
      <c r="B47" s="161"/>
      <c r="C47" s="162"/>
      <c r="D47" s="1087" t="s">
        <v>1333</v>
      </c>
      <c r="E47" s="302" t="s">
        <v>1334</v>
      </c>
      <c r="F47" s="163" t="s">
        <v>1335</v>
      </c>
      <c r="G47" s="2546" t="s">
        <v>1336</v>
      </c>
      <c r="H47" s="2547"/>
      <c r="I47" s="159"/>
      <c r="J47" s="2523">
        <v>2</v>
      </c>
      <c r="K47" s="3744" t="s">
        <v>1337</v>
      </c>
      <c r="L47" s="3744"/>
      <c r="M47" s="3746">
        <f>'数据-取费表'!B2</f>
        <v>38916</v>
      </c>
      <c r="N47" s="3746"/>
      <c r="O47" s="3746"/>
    </row>
    <row r="48" spans="1:15" ht="26.4">
      <c r="A48" s="3806" t="s">
        <v>1338</v>
      </c>
      <c r="B48" s="3807"/>
      <c r="C48" s="380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44" t="s">
        <v>1340</v>
      </c>
      <c r="L48" s="3744"/>
      <c r="M48" s="3747" t="e">
        <f ca="1">H101</f>
        <v>#REF!</v>
      </c>
      <c r="N48" s="3747"/>
      <c r="O48" s="3747"/>
    </row>
    <row r="49" spans="1:35" ht="25.5" customHeight="1">
      <c r="A49" s="2333" t="s">
        <v>1341</v>
      </c>
      <c r="B49" s="3792" t="s">
        <v>1342</v>
      </c>
      <c r="C49" s="3792"/>
      <c r="D49" s="1590">
        <v>0</v>
      </c>
      <c r="E49" s="324" t="s">
        <v>1343</v>
      </c>
      <c r="F49" s="2424" t="s">
        <v>28</v>
      </c>
      <c r="G49" s="3775"/>
      <c r="H49" s="2310" t="s">
        <v>2134</v>
      </c>
      <c r="I49" s="2311"/>
      <c r="J49" s="2523">
        <v>4</v>
      </c>
      <c r="K49" s="3744" t="str">
        <f>IF(项目基本情况!E8="房地产抵押价值","房地产抵押价值","抵押担保权已注销时的房地产抵押价值")</f>
        <v>抵押担保权已注销时的房地产抵押价值</v>
      </c>
      <c r="L49" s="3744"/>
      <c r="M49" s="3747" t="str">
        <f>IF(项目基本情况!E8="房地产抵押价值",H107,H109)</f>
        <v>——</v>
      </c>
      <c r="N49" s="3747"/>
      <c r="O49" s="3747"/>
    </row>
    <row r="50" spans="1:35" ht="25.5" customHeight="1">
      <c r="A50" s="2551"/>
      <c r="B50" s="3792" t="s">
        <v>1344</v>
      </c>
      <c r="C50" s="3792"/>
      <c r="D50" s="2552"/>
      <c r="E50" s="332"/>
      <c r="F50" s="2424"/>
      <c r="G50" s="3776"/>
      <c r="H50" s="2312" t="s">
        <v>2135</v>
      </c>
      <c r="I50" s="2311"/>
      <c r="J50" s="3743" t="s">
        <v>1345</v>
      </c>
      <c r="K50" s="3743"/>
      <c r="L50" s="3743"/>
      <c r="M50" s="3743"/>
      <c r="N50" s="3743"/>
      <c r="O50" s="3743"/>
    </row>
    <row r="51" spans="1:35" ht="20.399999999999999" customHeight="1">
      <c r="A51" s="2553"/>
      <c r="B51" s="3792" t="s">
        <v>1346</v>
      </c>
      <c r="C51" s="3792"/>
      <c r="D51" s="1087"/>
      <c r="E51" s="327"/>
      <c r="F51" s="2424"/>
      <c r="G51" s="3777"/>
      <c r="H51" s="2312" t="s">
        <v>2136</v>
      </c>
      <c r="I51" s="2311"/>
      <c r="J51" s="2524" t="s">
        <v>1347</v>
      </c>
      <c r="K51" s="3744" t="s">
        <v>1348</v>
      </c>
      <c r="L51" s="3744"/>
      <c r="M51" s="2524" t="s">
        <v>1349</v>
      </c>
      <c r="N51" s="2524" t="s">
        <v>1350</v>
      </c>
      <c r="O51" s="2524" t="s">
        <v>1351</v>
      </c>
    </row>
    <row r="52" spans="1:35" ht="24" customHeight="1">
      <c r="A52" s="2335" t="s">
        <v>1352</v>
      </c>
      <c r="B52" s="3792" t="s">
        <v>1353</v>
      </c>
      <c r="C52" s="3792"/>
      <c r="D52" s="1087" t="e">
        <f ca="1">ROUND(D45*'数据-取费表'!B41/(1+'数据-取费表'!C42),0)</f>
        <v>#REF!</v>
      </c>
      <c r="E52" s="2334" t="s">
        <v>1354</v>
      </c>
      <c r="F52" s="2554">
        <f>'数据-取费表'!B41</f>
        <v>5.6000000000000001E-2</v>
      </c>
      <c r="G52" s="2555"/>
      <c r="H52" s="2544"/>
      <c r="I52" s="1807"/>
      <c r="J52" s="2523">
        <v>1</v>
      </c>
      <c r="K52" s="3769" t="s">
        <v>1355</v>
      </c>
      <c r="L52" s="3769"/>
      <c r="M52" s="2525" t="b">
        <f>D48</f>
        <v>0</v>
      </c>
      <c r="N52" s="2523" t="str">
        <f>E48</f>
        <v>销售额×税（费）率</v>
      </c>
      <c r="O52" s="2526">
        <f>F48</f>
        <v>5.6000000000000001E-2</v>
      </c>
    </row>
    <row r="53" spans="1:35" ht="12" customHeight="1">
      <c r="A53" s="2335" t="s">
        <v>1356</v>
      </c>
      <c r="B53" s="3793" t="s">
        <v>2291</v>
      </c>
      <c r="C53" s="3794"/>
      <c r="D53" s="1087" t="e">
        <f ca="1">ROUND(D45*'数据-取费表'!B41/(1+'数据-取费表'!C42),0)</f>
        <v>#REF!</v>
      </c>
      <c r="E53" s="2334" t="s">
        <v>1354</v>
      </c>
      <c r="F53" s="2554">
        <f>'数据-取费表'!B41</f>
        <v>5.6000000000000001E-2</v>
      </c>
      <c r="G53" s="2555"/>
      <c r="H53" s="2544"/>
      <c r="I53" s="1807"/>
      <c r="J53" s="2523">
        <v>2</v>
      </c>
      <c r="K53" s="3769" t="s">
        <v>1357</v>
      </c>
      <c r="L53" s="3769"/>
      <c r="M53" s="2525" t="e">
        <f t="shared" ref="M53:O54" ca="1" si="0">D55</f>
        <v>#REF!</v>
      </c>
      <c r="N53" s="2523" t="str">
        <f t="shared" si="0"/>
        <v>销售额×税（费）率</v>
      </c>
      <c r="O53" s="2526" t="str">
        <f t="shared" si="0"/>
        <v>免征</v>
      </c>
    </row>
    <row r="54" spans="1:35" ht="12" customHeight="1">
      <c r="A54" s="2335" t="s">
        <v>1358</v>
      </c>
      <c r="B54" s="3793" t="s">
        <v>2292</v>
      </c>
      <c r="C54" s="3794"/>
      <c r="D54" s="1087" t="e">
        <f ca="1">C68</f>
        <v>#REF!</v>
      </c>
      <c r="E54" s="327" t="s">
        <v>1359</v>
      </c>
      <c r="F54" s="2554">
        <f>'数据-取费表'!B41</f>
        <v>5.6000000000000001E-2</v>
      </c>
      <c r="G54" s="2555"/>
      <c r="H54" s="2556"/>
      <c r="I54" s="1807"/>
      <c r="J54" s="2523">
        <v>3</v>
      </c>
      <c r="K54" s="3769" t="s">
        <v>1360</v>
      </c>
      <c r="L54" s="3769"/>
      <c r="M54" s="2525" t="e">
        <f t="shared" ca="1" si="0"/>
        <v>#REF!</v>
      </c>
      <c r="N54" s="2523" t="str">
        <f t="shared" si="0"/>
        <v>增值额×税（费）率</v>
      </c>
      <c r="O54" s="2527" t="str">
        <f t="shared" si="0"/>
        <v>免征</v>
      </c>
    </row>
    <row r="55" spans="1:35" ht="24" customHeight="1">
      <c r="A55" s="3829" t="s">
        <v>1361</v>
      </c>
      <c r="B55" s="3807"/>
      <c r="C55" s="3807"/>
      <c r="D55" s="2324" t="e">
        <f ca="1">IF(H55="个人住宅",0,ROUND(D45*I55,0))</f>
        <v>#REF!</v>
      </c>
      <c r="E55" s="2334" t="s">
        <v>1362</v>
      </c>
      <c r="F55" s="2554" t="str">
        <f>IF(H55="正常",I55,"免征")</f>
        <v>免征</v>
      </c>
      <c r="G55" s="2555"/>
      <c r="H55" s="2550"/>
      <c r="I55" s="165">
        <f>'数据-取费表'!B49</f>
        <v>5.0000000000000001E-4</v>
      </c>
      <c r="J55" s="2523">
        <f>IF(H59="非个人房产","",4)</f>
        <v>4</v>
      </c>
      <c r="K55" s="3769" t="str">
        <f>IF(H59="非个人房产","——","个人所得税")</f>
        <v>个人所得税</v>
      </c>
      <c r="L55" s="3769"/>
      <c r="M55" s="2528" t="e">
        <f ca="1">D59</f>
        <v>#REF!</v>
      </c>
      <c r="N55" s="2040" t="str">
        <f>E59</f>
        <v>差额计税</v>
      </c>
      <c r="O55" s="2529">
        <f>F59</f>
        <v>0.01</v>
      </c>
    </row>
    <row r="56" spans="1:35" ht="25.2">
      <c r="A56" s="3829" t="s">
        <v>1363</v>
      </c>
      <c r="B56" s="3807"/>
      <c r="C56" s="3807"/>
      <c r="D56" s="2324" t="e">
        <f ca="1">IF(H56="个人住宅",D57,D58)</f>
        <v>#REF!</v>
      </c>
      <c r="E56" s="2334" t="s">
        <v>1364</v>
      </c>
      <c r="F56" s="2554" t="str">
        <f>IF(H56="正常",F58,"免征")</f>
        <v>免征</v>
      </c>
      <c r="G56" s="2557" t="s">
        <v>1365</v>
      </c>
      <c r="H56" s="2558"/>
      <c r="I56" s="1808"/>
      <c r="J56" s="2523" t="str">
        <f>IF(项目基本情况!K6="上海银行",IF(J55="",4,J55+1),"")</f>
        <v/>
      </c>
      <c r="K56" s="3750" t="str">
        <f>IF(项目基本情况!K6="上海银行","其他处置费用","")</f>
        <v/>
      </c>
      <c r="L56" s="3751"/>
      <c r="M56" s="2525" t="str">
        <f>IF(项目基本情况!K6="上海银行",M69,"")</f>
        <v/>
      </c>
      <c r="N56" s="3750" t="str">
        <f>IF(项目基本情况!K6="上海银行","包含处置中涉及的律师、诉讼、拍卖、评估等费用","")</f>
        <v/>
      </c>
      <c r="O56" s="3753"/>
    </row>
    <row r="57" spans="1:35" ht="13.2">
      <c r="A57" s="2335" t="s">
        <v>1341</v>
      </c>
      <c r="B57" s="3793" t="s">
        <v>1366</v>
      </c>
      <c r="C57" s="3794"/>
      <c r="D57" s="1590">
        <v>0</v>
      </c>
      <c r="E57" s="324" t="s">
        <v>1343</v>
      </c>
      <c r="F57" s="302"/>
      <c r="G57" s="2555"/>
      <c r="H57" s="2559"/>
      <c r="I57" s="1808"/>
      <c r="J57" s="3769">
        <f>IF(AND(J55="",J56=""),4,IF(项目基本情况!K6="上海银行",结果表!J56+1,结果表!J55+1))</f>
        <v>5</v>
      </c>
      <c r="K57" s="3769" t="s">
        <v>1367</v>
      </c>
      <c r="L57" s="2530" t="s">
        <v>1368</v>
      </c>
      <c r="M57" s="2531"/>
      <c r="N57" s="2532">
        <f ca="1">SUMIF(M52:M56,"&lt;9e307")</f>
        <v>0</v>
      </c>
      <c r="O57" s="2533"/>
      <c r="P57" s="2690" t="e">
        <f ca="1">N57/M49</f>
        <v>#VALUE!</v>
      </c>
    </row>
    <row r="58" spans="1:35" ht="25.2">
      <c r="A58" s="2335" t="s">
        <v>1352</v>
      </c>
      <c r="B58" s="3793" t="s">
        <v>1369</v>
      </c>
      <c r="C58" s="3792"/>
      <c r="D58" s="2324" t="e">
        <f ca="1">IF(H58="转让取得",C81,C97)</f>
        <v>#REF!</v>
      </c>
      <c r="E58" s="2334" t="s">
        <v>1364</v>
      </c>
      <c r="F58" s="302" t="s">
        <v>28</v>
      </c>
      <c r="G58" s="2555"/>
      <c r="H58" s="2558"/>
      <c r="I58" s="1808"/>
      <c r="J58" s="3769"/>
      <c r="K58" s="3769"/>
      <c r="L58" s="2530" t="s">
        <v>1370</v>
      </c>
      <c r="M58" s="2534"/>
      <c r="N58" s="2535" t="str">
        <f ca="1">NUMBERSTRING(INT(N57*10000),2)&amp;"元整"</f>
        <v>零元整</v>
      </c>
      <c r="O58" s="2536"/>
    </row>
    <row r="59" spans="1:35" ht="24.6" thickBot="1">
      <c r="A59" s="3773" t="s">
        <v>1371</v>
      </c>
      <c r="B59" s="3774"/>
      <c r="C59" s="377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71">
        <f>J57+1</f>
        <v>6</v>
      </c>
      <c r="K59" s="3769" t="s">
        <v>1372</v>
      </c>
      <c r="L59" s="2523" t="s">
        <v>1368</v>
      </c>
      <c r="M59" s="2537"/>
      <c r="N59" s="2538" t="e">
        <f ca="1">M49-N57</f>
        <v>#VALUE!</v>
      </c>
      <c r="O59" s="2539"/>
    </row>
    <row r="60" spans="1:35" ht="12" customHeight="1">
      <c r="A60" s="1809"/>
      <c r="B60" s="1747"/>
      <c r="C60" s="1747"/>
      <c r="D60" s="1747"/>
      <c r="E60" s="1578"/>
      <c r="F60" s="1808"/>
      <c r="G60" s="1808"/>
      <c r="H60" s="1810"/>
      <c r="I60" s="129"/>
      <c r="J60" s="3772"/>
      <c r="K60" s="3769"/>
      <c r="L60" s="2530" t="s">
        <v>1370</v>
      </c>
      <c r="M60" s="2534"/>
      <c r="N60" s="2535" t="e">
        <f ca="1">NUMBERSTRING(INT(N59*10000),2)&amp;"元整"</f>
        <v>#VALUE!</v>
      </c>
      <c r="O60" s="2536"/>
    </row>
    <row r="61" spans="1:35" ht="13.8" thickBot="1">
      <c r="A61" s="3828" t="s">
        <v>1373</v>
      </c>
      <c r="B61" s="3828"/>
      <c r="C61" s="3828"/>
      <c r="D61" s="3828"/>
      <c r="E61" s="3828"/>
      <c r="F61" s="1808"/>
      <c r="G61" s="1808"/>
      <c r="H61" s="1810"/>
      <c r="I61" s="129"/>
      <c r="J61" s="2523">
        <f>J59+1</f>
        <v>7</v>
      </c>
      <c r="K61" s="3769" t="s">
        <v>1374</v>
      </c>
      <c r="L61" s="3769"/>
      <c r="M61" s="2540"/>
      <c r="N61" s="2541" t="e">
        <f ca="1">ROUND(N59*10000/'数据-汇总表'!E3,0)</f>
        <v>#VALUE!</v>
      </c>
      <c r="O61" s="2542"/>
    </row>
    <row r="62" spans="1:35" ht="13.2">
      <c r="A62" s="3788" t="s">
        <v>1375</v>
      </c>
      <c r="B62" s="3789"/>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75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5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5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5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5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5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5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96" t="s">
        <v>1394</v>
      </c>
      <c r="B70" s="3797"/>
      <c r="C70" s="3797"/>
      <c r="D70" s="3797"/>
      <c r="E70" s="3797"/>
      <c r="F70" s="3797"/>
      <c r="G70" s="3797"/>
      <c r="H70" s="37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88" t="s">
        <v>1375</v>
      </c>
      <c r="B71" s="37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93" t="s">
        <v>1402</v>
      </c>
      <c r="F76" s="3792"/>
      <c r="G76" s="3792"/>
      <c r="H76" s="37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85" t="s">
        <v>1406</v>
      </c>
      <c r="F78" s="3786"/>
      <c r="G78" s="3786"/>
      <c r="H78" s="37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96" t="s">
        <v>1410</v>
      </c>
      <c r="B83" s="3797"/>
      <c r="C83" s="3797"/>
      <c r="D83" s="3797"/>
      <c r="E83" s="3797"/>
      <c r="F83" s="3797"/>
      <c r="G83" s="3797"/>
      <c r="H83" s="37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88" t="s">
        <v>1375</v>
      </c>
      <c r="B84" s="37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54" t="s">
        <v>2129</v>
      </c>
      <c r="H90" s="37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85" t="s">
        <v>1419</v>
      </c>
      <c r="F91" s="3786"/>
      <c r="G91" s="37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85" t="s">
        <v>1422</v>
      </c>
      <c r="F92" s="3786"/>
      <c r="G92" s="3786"/>
      <c r="H92" s="37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85" t="s">
        <v>1406</v>
      </c>
      <c r="F93" s="3786"/>
      <c r="G93" s="3786"/>
      <c r="H93" s="37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830" t="s">
        <v>1426</v>
      </c>
      <c r="F94" s="3831"/>
      <c r="G94" s="3831"/>
      <c r="H94" s="38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35" t="s">
        <v>1428</v>
      </c>
      <c r="B100" s="3736"/>
      <c r="C100" s="3736"/>
      <c r="D100" s="3770"/>
      <c r="E100" s="3736" t="s">
        <v>1429</v>
      </c>
      <c r="F100" s="3736"/>
      <c r="G100" s="3736"/>
      <c r="H100" s="3770"/>
      <c r="I100" s="129"/>
    </row>
    <row r="101" spans="1:35" ht="18.75" customHeight="1">
      <c r="A101" s="3778" t="s">
        <v>1430</v>
      </c>
      <c r="B101" s="3779"/>
      <c r="C101" s="2585" t="str">
        <f>C4</f>
        <v>比较法-住宅</v>
      </c>
      <c r="D101" s="2586" t="str">
        <f>D4</f>
        <v>成本法 (元)</v>
      </c>
      <c r="E101" s="3748" t="s">
        <v>1431</v>
      </c>
      <c r="F101" s="3749"/>
      <c r="G101" s="1827" t="s">
        <v>1432</v>
      </c>
      <c r="H101" s="2595" t="e">
        <f ca="1">H118</f>
        <v>#REF!</v>
      </c>
      <c r="I101" s="129"/>
    </row>
    <row r="102" spans="1:35" ht="18.75" customHeight="1">
      <c r="A102" s="3780" t="s">
        <v>1433</v>
      </c>
      <c r="B102" s="2584" t="s">
        <v>1432</v>
      </c>
      <c r="C102" s="2585">
        <f ca="1">IF(D32="楼面单价",ROUND(C19,0),C19)</f>
        <v>53.143700000000003</v>
      </c>
      <c r="D102" s="2586">
        <f ca="1">IF(D32="楼面单价",ROUND(D19,0),D19)</f>
        <v>54.811199999999999</v>
      </c>
      <c r="E102" s="3748"/>
      <c r="F102" s="3749"/>
      <c r="G102" s="1827" t="s">
        <v>1434</v>
      </c>
      <c r="H102" s="2555" t="e">
        <f ca="1">I118</f>
        <v>#REF!</v>
      </c>
      <c r="I102" s="129"/>
    </row>
    <row r="103" spans="1:35" ht="42.75" customHeight="1">
      <c r="A103" s="3780"/>
      <c r="B103" s="2584" t="s">
        <v>1434</v>
      </c>
      <c r="C103" s="2587">
        <f ca="1">C20</f>
        <v>6024</v>
      </c>
      <c r="D103" s="2588">
        <f ca="1">D20</f>
        <v>6213</v>
      </c>
      <c r="E103" s="3741" t="s">
        <v>1435</v>
      </c>
      <c r="F103" s="3742"/>
      <c r="G103" s="1828" t="s">
        <v>1436</v>
      </c>
      <c r="H103" s="2595">
        <f>IF(D36="正常操作",H104+H105+H106,H105+H106)</f>
        <v>0</v>
      </c>
      <c r="I103" s="129"/>
    </row>
    <row r="104" spans="1:35" ht="18.75" customHeight="1">
      <c r="A104" s="378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9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81" t="str">
        <f>IF(项目基本情况!E8="已注销","——","3.房地产抵押价值")</f>
        <v>3.房地产抵押价值</v>
      </c>
      <c r="F107" s="3749"/>
      <c r="G107" s="1827" t="s">
        <v>1432</v>
      </c>
      <c r="H107" s="2595" t="e">
        <f ca="1">IF(E107="——","——",H101-H103)</f>
        <v>#REF!</v>
      </c>
      <c r="I107" s="129"/>
    </row>
    <row r="108" spans="1:35" ht="18.75" customHeight="1">
      <c r="A108" s="129"/>
      <c r="B108" s="129"/>
      <c r="C108" s="129"/>
      <c r="D108" s="129"/>
      <c r="E108" s="3781"/>
      <c r="F108" s="3749"/>
      <c r="G108" s="1827" t="s">
        <v>1434</v>
      </c>
      <c r="H108" s="2555">
        <f ca="1">IF(H107=H101,H102,ROUND(H107*10000/'数据-汇总表'!E3,0))</f>
        <v>0</v>
      </c>
      <c r="I108" s="129"/>
    </row>
    <row r="109" spans="1:35" ht="18.75" customHeight="1">
      <c r="A109" s="129"/>
      <c r="B109" s="129"/>
      <c r="C109" s="129"/>
      <c r="D109" s="129"/>
      <c r="E109" s="3781" t="str">
        <f>IF(项目基本情况!E8="已注销及未注销","4.抵押担保权已注销时的房地产抵押价值",IF(项目基本情况!E8="已注销","3.抵押担保权已注销时的房地产抵押价值","——"))</f>
        <v>——</v>
      </c>
      <c r="F109" s="3749"/>
      <c r="G109" s="1827" t="s">
        <v>1432</v>
      </c>
      <c r="H109" s="2598" t="str">
        <f>IF(E109="——","——",H101-H105-H106)</f>
        <v>——</v>
      </c>
      <c r="I109" s="129"/>
    </row>
    <row r="110" spans="1:35" ht="18.75" customHeight="1">
      <c r="A110" s="129"/>
      <c r="B110" s="129"/>
      <c r="C110" s="129"/>
      <c r="D110" s="129"/>
      <c r="E110" s="3781"/>
      <c r="F110" s="3749"/>
      <c r="G110" s="1827" t="s">
        <v>1434</v>
      </c>
      <c r="H110" s="2555" t="str">
        <f>IF(H109="——","——",ROUND(H109*10000/'数据-汇总表'!E3,0))</f>
        <v>——</v>
      </c>
      <c r="I110" s="129"/>
    </row>
    <row r="111" spans="1:35" ht="18.75" customHeight="1">
      <c r="A111" s="129"/>
      <c r="B111" s="129"/>
      <c r="C111" s="129"/>
      <c r="D111" s="129"/>
      <c r="E111" s="3782" t="str">
        <f>IF(项目基本情况!E9="抵押净值",IF(OR(项目基本情况!E8="已注销",项目基本情况!E8="房地产抵押价值"),"4.抵押净值","5.抵押净值"),"——")</f>
        <v>——</v>
      </c>
      <c r="F111" s="3768"/>
      <c r="G111" s="1827" t="s">
        <v>1432</v>
      </c>
      <c r="H111" s="2595" t="str">
        <f>IF(E111="——","——",N59)</f>
        <v>——</v>
      </c>
      <c r="I111" s="129"/>
    </row>
    <row r="112" spans="1:35" ht="18.75" customHeight="1" thickBot="1">
      <c r="A112" s="129"/>
      <c r="B112" s="129"/>
      <c r="C112" s="129"/>
      <c r="D112" s="129"/>
      <c r="E112" s="3783"/>
      <c r="F112" s="3784"/>
      <c r="G112" s="1830" t="s">
        <v>1434</v>
      </c>
      <c r="H112" s="2599" t="str">
        <f>IF(E111="——","——",N61)</f>
        <v>——</v>
      </c>
      <c r="I112" s="129"/>
    </row>
    <row r="113" spans="1:27" ht="18.75" customHeight="1">
      <c r="A113" s="129"/>
      <c r="B113" s="129"/>
      <c r="C113" s="129"/>
      <c r="D113" s="129"/>
      <c r="E113" s="3791" t="s">
        <v>1440</v>
      </c>
      <c r="F113" s="3791"/>
      <c r="G113" s="3791"/>
      <c r="H113" s="3791"/>
      <c r="I113" s="129"/>
    </row>
    <row r="114" spans="1:27" ht="3.75" customHeight="1">
      <c r="A114" s="1747"/>
      <c r="B114" s="1747"/>
      <c r="C114" s="1747"/>
      <c r="D114" s="1747"/>
      <c r="E114" s="1809"/>
      <c r="F114" s="1809"/>
      <c r="G114" s="1809"/>
      <c r="H114" s="1809"/>
      <c r="I114" s="1747"/>
    </row>
    <row r="115" spans="1:27" ht="18.75" customHeight="1">
      <c r="A115" s="3799" t="s">
        <v>1442</v>
      </c>
      <c r="B115" s="3800"/>
      <c r="C115" s="3800"/>
      <c r="D115" s="3800"/>
      <c r="E115" s="3800"/>
      <c r="F115" s="3800"/>
      <c r="G115" s="3800"/>
      <c r="H115" s="3800"/>
      <c r="I115" s="3801"/>
    </row>
    <row r="116" spans="1:27" ht="27" customHeight="1">
      <c r="A116" s="3756" t="s">
        <v>1443</v>
      </c>
      <c r="B116" s="3760" t="s">
        <v>1444</v>
      </c>
      <c r="C116" s="3760" t="s">
        <v>1445</v>
      </c>
      <c r="D116" s="3766" t="s">
        <v>1446</v>
      </c>
      <c r="E116" s="3767"/>
      <c r="F116" s="3798" t="s">
        <v>1447</v>
      </c>
      <c r="G116" s="3798"/>
      <c r="H116" s="3756" t="s">
        <v>1448</v>
      </c>
      <c r="I116" s="3756"/>
    </row>
    <row r="117" spans="1:27" ht="18.75" customHeight="1">
      <c r="A117" s="3756"/>
      <c r="B117" s="3761"/>
      <c r="C117" s="376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88.22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56" t="s">
        <v>1452</v>
      </c>
      <c r="B119" s="3756"/>
      <c r="C119" s="3756"/>
      <c r="D119" s="3762" t="e">
        <f ca="1">NUMBERSTRING(INT(D118*10000),2)&amp;"元整"</f>
        <v>#REF!</v>
      </c>
      <c r="E119" s="3763"/>
      <c r="F119" s="3762" t="e">
        <f ca="1">NUMBERSTRING(INT(F118*10000),2)&amp;"元整"</f>
        <v>#REF!</v>
      </c>
      <c r="G119" s="3763"/>
      <c r="H119" s="3762" t="e">
        <f ca="1">NUMBERSTRING(INT(H118*10000),2)&amp;"元整"</f>
        <v>#REF!</v>
      </c>
      <c r="I119" s="3763"/>
    </row>
    <row r="120" spans="1:27" ht="18.75" customHeight="1">
      <c r="A120" s="3757" t="str">
        <f>IF(项目基本情况!B9="房地产市场价值","",MID(E103,3,LEN(E103)-2))</f>
        <v/>
      </c>
      <c r="B120" s="3758"/>
      <c r="C120" s="3759"/>
      <c r="D120" s="3757">
        <f>H103</f>
        <v>0</v>
      </c>
      <c r="E120" s="3758"/>
      <c r="F120" s="3758"/>
      <c r="G120" s="3758"/>
      <c r="H120" s="3758"/>
      <c r="I120" s="375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62" t="s">
        <v>1452</v>
      </c>
      <c r="B121" s="3764"/>
      <c r="C121" s="3763"/>
      <c r="D121" s="3762" t="str">
        <f>IF(D120=0,"零元整",NUMBERSTRING(INT(D120*10000),2)&amp;"元整")</f>
        <v>零元整</v>
      </c>
      <c r="E121" s="3764"/>
      <c r="F121" s="3764"/>
      <c r="G121" s="3764"/>
      <c r="H121" s="3764"/>
      <c r="I121" s="3763"/>
      <c r="AA121" s="725"/>
    </row>
    <row r="122" spans="1:27" ht="18.75" customHeight="1">
      <c r="A122" s="3768" t="str">
        <f>IF(项目基本情况!B9="房地产市场价值","",MID(E107,3,LEN(E107)-2))</f>
        <v/>
      </c>
      <c r="B122" s="3768"/>
      <c r="C122" s="3768"/>
      <c r="D122" s="3757" t="e">
        <f ca="1">H107</f>
        <v>#REF!</v>
      </c>
      <c r="E122" s="3758"/>
      <c r="F122" s="3758"/>
      <c r="G122" s="3758"/>
      <c r="H122" s="3758"/>
      <c r="I122" s="3759"/>
      <c r="AA122" s="725"/>
    </row>
    <row r="123" spans="1:27" ht="18.75" customHeight="1">
      <c r="A123" s="3756" t="s">
        <v>1452</v>
      </c>
      <c r="B123" s="3756"/>
      <c r="C123" s="3756"/>
      <c r="D123" s="3762" t="e">
        <f ca="1">NUMBERSTRING(INT(D122*10000),2)&amp;"元整"</f>
        <v>#REF!</v>
      </c>
      <c r="E123" s="3764"/>
      <c r="F123" s="3764"/>
      <c r="G123" s="3764"/>
      <c r="H123" s="3764"/>
      <c r="I123" s="3763"/>
      <c r="AA123" s="725"/>
    </row>
    <row r="124" spans="1:27" ht="18.75" customHeight="1">
      <c r="A124" s="3768" t="str">
        <f>IF(项目基本情况!B9="房地产市场价值","",MID(E109,3,LEN(E109)-2))</f>
        <v/>
      </c>
      <c r="B124" s="3768"/>
      <c r="C124" s="3768"/>
      <c r="D124" s="3757" t="str">
        <f>H109</f>
        <v>——</v>
      </c>
      <c r="E124" s="3758"/>
      <c r="F124" s="3758"/>
      <c r="G124" s="3758"/>
      <c r="H124" s="3758"/>
      <c r="I124" s="3759"/>
      <c r="AA124" s="725"/>
    </row>
    <row r="125" spans="1:27" ht="18.75" customHeight="1">
      <c r="A125" s="3756" t="s">
        <v>1452</v>
      </c>
      <c r="B125" s="3756"/>
      <c r="C125" s="3756"/>
      <c r="D125" s="3762" t="e">
        <f>NUMBERSTRING(INT(D124*10000),2)&amp;"元整"</f>
        <v>#VALUE!</v>
      </c>
      <c r="E125" s="3764"/>
      <c r="F125" s="3764"/>
      <c r="G125" s="3764"/>
      <c r="H125" s="3764"/>
      <c r="I125" s="3763"/>
      <c r="AA125" s="725"/>
    </row>
    <row r="126" spans="1:27" ht="18.75" customHeight="1">
      <c r="A126" s="3768" t="str">
        <f>IF(项目基本情况!B9="房地产市场价值","",MID(E111,3,LEN(E111)-2))</f>
        <v/>
      </c>
      <c r="B126" s="3768"/>
      <c r="C126" s="3768"/>
      <c r="D126" s="3757" t="str">
        <f>H111</f>
        <v>——</v>
      </c>
      <c r="E126" s="3758"/>
      <c r="F126" s="3758"/>
      <c r="G126" s="3758"/>
      <c r="H126" s="3758"/>
      <c r="I126" s="3759"/>
      <c r="AA126" s="725"/>
    </row>
    <row r="127" spans="1:27" ht="18.75" customHeight="1">
      <c r="A127" s="3756" t="s">
        <v>1452</v>
      </c>
      <c r="B127" s="3756"/>
      <c r="C127" s="3756"/>
      <c r="D127" s="3762" t="e">
        <f>NUMBERSTRING(INT(D126*10000),2)&amp;"元整"</f>
        <v>#VALUE!</v>
      </c>
      <c r="E127" s="3764"/>
      <c r="F127" s="3764"/>
      <c r="G127" s="3764"/>
      <c r="H127" s="3764"/>
      <c r="I127" s="3763"/>
      <c r="AA127" s="725"/>
    </row>
    <row r="128" spans="1:27" ht="21.75" customHeight="1">
      <c r="A128" s="3765" t="s">
        <v>1453</v>
      </c>
      <c r="B128" s="3765"/>
      <c r="C128" s="3765"/>
      <c r="D128" s="3765"/>
      <c r="E128" s="3765"/>
      <c r="F128" s="3765"/>
      <c r="G128" s="3765"/>
      <c r="H128" s="3765"/>
      <c r="I128" s="37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2834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88.22</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88.22</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6.0299999999999999E-2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1.1999999999999999E-3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1.1999999999999999E-3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2</v>
      </c>
      <c r="D37" s="217">
        <f ca="1">D19</f>
        <v>88.22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6.0299999999999999E-2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835" t="s">
        <v>1544</v>
      </c>
    </row>
    <row r="43" spans="1:7" ht="13.5" customHeight="1">
      <c r="A43" s="780" t="s">
        <v>347</v>
      </c>
      <c r="B43" s="215" t="s">
        <v>1545</v>
      </c>
      <c r="C43" s="238">
        <f ca="1">ROUND(IF('数据-取费表'!B22&lt;=1,C39*F22*'数据-取费表'!B21/2,C39*(POWER((1+F22),'数据-取费表'!B21/2)-1)),0)</f>
        <v>0</v>
      </c>
      <c r="D43" s="238"/>
      <c r="E43" s="238"/>
      <c r="F43" s="239"/>
      <c r="G43" s="3836"/>
    </row>
    <row r="44" spans="1:7" ht="13.5" customHeight="1">
      <c r="A44" s="780" t="s">
        <v>348</v>
      </c>
      <c r="B44" s="215" t="s">
        <v>1546</v>
      </c>
      <c r="C44" s="238">
        <f ca="1">ROUND(IF('数据-取费表'!B22&lt;=1,C40*F22*'数据-取费表'!B21/2,C40*(POWER((1+F22),'数据-取费表'!B21/2)-1)),4)</f>
        <v>5.9999999999999995E-4</v>
      </c>
      <c r="D44" s="238"/>
      <c r="E44" s="238"/>
      <c r="F44" s="239"/>
      <c r="G44" s="3837"/>
    </row>
    <row r="45" spans="1:7" s="214" customFormat="1" ht="13.5" customHeight="1">
      <c r="A45" s="255" t="s">
        <v>1547</v>
      </c>
      <c r="B45" s="244" t="s">
        <v>1513</v>
      </c>
      <c r="C45" s="245">
        <f ca="1">C46</f>
        <v>2</v>
      </c>
      <c r="D45" s="235">
        <f ca="1">C47</f>
        <v>1.1999999999999999E-3</v>
      </c>
      <c r="E45" s="236" t="s">
        <v>1539</v>
      </c>
      <c r="F45" s="246">
        <f ca="1">F27</f>
        <v>0.12</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1.1999999999999999E-3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23</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23</v>
      </c>
      <c r="D51" s="232"/>
      <c r="E51" s="232"/>
      <c r="F51" s="264"/>
      <c r="G51" s="234" t="s">
        <v>1560</v>
      </c>
    </row>
    <row r="52" spans="1:7" s="208" customFormat="1" ht="16.8" thickBot="1">
      <c r="A52" s="265" t="s">
        <v>1561</v>
      </c>
      <c r="B52" s="266"/>
      <c r="C52" s="267">
        <f ca="1">C31+C51</f>
        <v>25</v>
      </c>
      <c r="D52" s="266"/>
      <c r="E52" s="266"/>
      <c r="F52" s="266"/>
      <c r="G52" s="268"/>
    </row>
    <row r="55" spans="1:7" ht="15">
      <c r="B55" s="270" t="s">
        <v>1562</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52" t="str">
        <f>项目基本情况!B1</f>
        <v>北京市房地产市场价值预评估</v>
      </c>
      <c r="C37" s="3652"/>
      <c r="D37" s="3652"/>
      <c r="E37" s="3652"/>
      <c r="F37" s="3652"/>
      <c r="G37" s="3652"/>
      <c r="H37" s="3652"/>
      <c r="I37" s="36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54.811199999999999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6213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234186</v>
      </c>
      <c r="D5" s="211" t="s">
        <v>1469</v>
      </c>
      <c r="E5" s="212" t="s">
        <v>1470</v>
      </c>
      <c r="F5" s="212" t="s">
        <v>1471</v>
      </c>
      <c r="G5" s="213"/>
    </row>
    <row r="6" spans="1:8" s="214" customFormat="1" ht="13.5" customHeight="1">
      <c r="A6" s="778" t="s">
        <v>1472</v>
      </c>
      <c r="B6" s="215" t="s">
        <v>1473</v>
      </c>
      <c r="C6" s="216">
        <f>'[2]2002基准地价'!$E$18</f>
        <v>227255</v>
      </c>
      <c r="D6" s="217"/>
      <c r="E6" s="218"/>
      <c r="F6" s="218"/>
      <c r="G6" s="219"/>
    </row>
    <row r="7" spans="1:8" s="214" customFormat="1" ht="13.5" customHeight="1">
      <c r="A7" s="778" t="s">
        <v>1474</v>
      </c>
      <c r="B7" s="215" t="s">
        <v>1475</v>
      </c>
      <c r="C7" s="220">
        <f>ROUND(C6*F7,0)</f>
        <v>6931</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14115</v>
      </c>
      <c r="D9" s="845">
        <f ca="1">IF(B1="",'数据-汇总表'!E5,IF(INDIRECT("'数据-取费表'!c"&amp;$G$1)="住宅",INDIRECT("'数据-取费表'!k"&amp;$G$1),0))</f>
        <v>88.22</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88.22</v>
      </c>
      <c r="E19" s="211">
        <f>'数据-取费表'!B31</f>
        <v>200</v>
      </c>
      <c r="F19" s="231"/>
      <c r="G19" s="1856" t="s">
        <v>3422</v>
      </c>
    </row>
    <row r="20" spans="1:7" s="214" customFormat="1" ht="13.5" customHeight="1">
      <c r="A20" s="255" t="s">
        <v>1574</v>
      </c>
      <c r="B20" s="210" t="s">
        <v>1575</v>
      </c>
      <c r="C20" s="232">
        <f>ROUND((C5+C19)*F20,0)</f>
        <v>2342</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29235</v>
      </c>
      <c r="D22" s="235">
        <f ca="1">C26</f>
        <v>5.9999999999999995E-4</v>
      </c>
      <c r="E22" s="236" t="s">
        <v>1579</v>
      </c>
      <c r="F22" s="237">
        <f ca="1">'数据-取费表'!B40</f>
        <v>6.0299999999999999E-2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29094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28383</v>
      </c>
      <c r="D27" s="235">
        <f ca="1">C29</f>
        <v>1.1999999999999999E-3</v>
      </c>
      <c r="E27" s="236" t="s">
        <v>1514</v>
      </c>
      <c r="F27" s="246">
        <f ca="1">IF(B1="",'数据-取费表'!Q16,INDIRECT("'数据-取费表'!q"&amp;$G$1))</f>
        <v>0.12</v>
      </c>
      <c r="G27" s="247" t="s">
        <v>1515</v>
      </c>
    </row>
    <row r="28" spans="1:7" s="214" customFormat="1" ht="13.5" customHeight="1">
      <c r="A28" s="780" t="s">
        <v>346</v>
      </c>
      <c r="B28" s="248" t="s">
        <v>1516</v>
      </c>
      <c r="C28" s="249">
        <f ca="1">ROUND((C5+C19+C20)*F27,0)</f>
        <v>28383</v>
      </c>
      <c r="D28" s="235"/>
      <c r="E28" s="236"/>
      <c r="F28" s="246"/>
      <c r="G28" s="247"/>
    </row>
    <row r="29" spans="1:7" s="214" customFormat="1" ht="13.5" customHeight="1">
      <c r="A29" s="780" t="s">
        <v>347</v>
      </c>
      <c r="B29" s="248" t="s">
        <v>1517</v>
      </c>
      <c r="C29" s="238">
        <f ca="1">ROUND(C21*F27,4)</f>
        <v>1.1999999999999999E-3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315540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181866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149974</v>
      </c>
      <c r="D34" s="217"/>
      <c r="E34" s="220"/>
      <c r="F34" s="257"/>
      <c r="G34" s="219"/>
    </row>
    <row r="35" spans="1:7" ht="13.5" customHeight="1">
      <c r="A35" s="780" t="s">
        <v>351</v>
      </c>
      <c r="B35" s="215" t="s">
        <v>1527</v>
      </c>
      <c r="C35" s="220">
        <f ca="1">ROUND(C34*F35,0)</f>
        <v>4499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7499</v>
      </c>
      <c r="D36" s="220"/>
      <c r="E36" s="220"/>
      <c r="F36" s="259">
        <f>'数据-取费表'!B34</f>
        <v>0.05</v>
      </c>
      <c r="G36" s="260" t="s">
        <v>1530</v>
      </c>
    </row>
    <row r="37" spans="1:7" s="258" customFormat="1" ht="13.5" customHeight="1">
      <c r="A37" s="780" t="s">
        <v>353</v>
      </c>
      <c r="B37" s="215" t="s">
        <v>1531</v>
      </c>
      <c r="C37" s="249">
        <f ca="1">ROUND(E37*D37,0)</f>
        <v>17644</v>
      </c>
      <c r="D37" s="217">
        <f ca="1">D19</f>
        <v>88.22</v>
      </c>
      <c r="E37" s="249">
        <f>'数据-取费表'!B35</f>
        <v>200</v>
      </c>
      <c r="F37" s="259"/>
      <c r="G37" s="261"/>
    </row>
    <row r="38" spans="1:7" ht="13.5" customHeight="1">
      <c r="A38" s="780" t="s">
        <v>354</v>
      </c>
      <c r="B38" s="215" t="s">
        <v>1533</v>
      </c>
      <c r="C38" s="220">
        <f ca="1">ROUND(C34*F38,0)</f>
        <v>2250</v>
      </c>
      <c r="D38" s="220"/>
      <c r="E38" s="220"/>
      <c r="F38" s="259">
        <f>'数据-取费表'!B36</f>
        <v>1.4999999999999999E-2</v>
      </c>
      <c r="G38" s="219" t="s">
        <v>1528</v>
      </c>
    </row>
    <row r="39" spans="1:7" s="214" customFormat="1" ht="13.5" customHeight="1">
      <c r="A39" s="255" t="s">
        <v>1534</v>
      </c>
      <c r="B39" s="210" t="s">
        <v>1535</v>
      </c>
      <c r="C39" s="232">
        <f ca="1">ROUND(C33*F20,0)</f>
        <v>1819</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11077</v>
      </c>
      <c r="D41" s="235">
        <f ca="1">C44</f>
        <v>5.9999999999999995E-4</v>
      </c>
      <c r="E41" s="236" t="s">
        <v>1539</v>
      </c>
      <c r="F41" s="237">
        <f ca="1">F22</f>
        <v>6.0299999999999999E-2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10967</v>
      </c>
      <c r="D42" s="238"/>
      <c r="E42" s="238"/>
      <c r="F42" s="239"/>
      <c r="G42" s="3835" t="s">
        <v>1591</v>
      </c>
    </row>
    <row r="43" spans="1:7" ht="13.5" customHeight="1">
      <c r="A43" s="780" t="s">
        <v>347</v>
      </c>
      <c r="B43" s="215" t="s">
        <v>1545</v>
      </c>
      <c r="C43" s="238">
        <f ca="1">ROUND(IF('数据-取费表'!B22&lt;=1,C39*F22*'数据-取费表'!B20/2,C39*(POWER((1+F22),'数据-取费表'!B20/2)-1)),0)</f>
        <v>110</v>
      </c>
      <c r="D43" s="238"/>
      <c r="E43" s="238"/>
      <c r="F43" s="239"/>
      <c r="G43" s="3836"/>
    </row>
    <row r="44" spans="1:7" ht="13.5" customHeight="1">
      <c r="A44" s="780" t="s">
        <v>348</v>
      </c>
      <c r="B44" s="215" t="s">
        <v>1546</v>
      </c>
      <c r="C44" s="238">
        <f ca="1">ROUND(IF('数据-取费表'!B22&lt;=1,C40*F22*'数据-取费表'!B20/2,C40*(POWER((1+F22),'数据-取费表'!B20/2)-1)),4)</f>
        <v>5.9999999999999995E-4</v>
      </c>
      <c r="D44" s="238"/>
      <c r="E44" s="238"/>
      <c r="F44" s="239"/>
      <c r="G44" s="3837"/>
    </row>
    <row r="45" spans="1:7" s="214" customFormat="1" ht="13.5" customHeight="1">
      <c r="A45" s="255" t="s">
        <v>1547</v>
      </c>
      <c r="B45" s="244" t="s">
        <v>1513</v>
      </c>
      <c r="C45" s="245">
        <f ca="1">C46</f>
        <v>22042</v>
      </c>
      <c r="D45" s="235">
        <f ca="1">C47</f>
        <v>1.1999999999999999E-3</v>
      </c>
      <c r="E45" s="236" t="s">
        <v>1539</v>
      </c>
      <c r="F45" s="246">
        <f ca="1">F27</f>
        <v>0.12</v>
      </c>
      <c r="G45" s="247" t="s">
        <v>1548</v>
      </c>
    </row>
    <row r="46" spans="1:7" s="214" customFormat="1" ht="13.5" customHeight="1">
      <c r="A46" s="780" t="s">
        <v>346</v>
      </c>
      <c r="B46" s="248" t="s">
        <v>1549</v>
      </c>
      <c r="C46" s="249">
        <f ca="1">ROUND((C33+C39)*F27,0)</f>
        <v>22042</v>
      </c>
      <c r="D46" s="263"/>
      <c r="E46" s="236"/>
      <c r="F46" s="246"/>
      <c r="G46" s="247"/>
    </row>
    <row r="47" spans="1:7" s="214" customFormat="1" ht="13.5" customHeight="1">
      <c r="A47" s="780" t="s">
        <v>347</v>
      </c>
      <c r="B47" s="248" t="s">
        <v>1550</v>
      </c>
      <c r="C47" s="238">
        <f ca="1">ROUND(C40*F27,4)</f>
        <v>1.1999999999999999E-3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232572</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232572</v>
      </c>
      <c r="D51" s="232"/>
      <c r="E51" s="232"/>
      <c r="F51" s="264"/>
      <c r="G51" s="234" t="s">
        <v>1560</v>
      </c>
    </row>
    <row r="52" spans="1:7" s="208" customFormat="1" ht="16.8" thickBot="1">
      <c r="A52" s="265" t="s">
        <v>1561</v>
      </c>
      <c r="B52" s="266"/>
      <c r="C52" s="267">
        <f ca="1">C31+C51</f>
        <v>548112</v>
      </c>
      <c r="D52" s="266"/>
      <c r="E52" s="266"/>
      <c r="F52" s="266"/>
      <c r="G52" s="268"/>
    </row>
    <row r="55" spans="1:7" ht="15">
      <c r="B55" s="270" t="s">
        <v>1562</v>
      </c>
      <c r="C55" s="271"/>
    </row>
    <row r="56" spans="1:7">
      <c r="B56" s="273" t="s">
        <v>802</v>
      </c>
      <c r="C56" s="275">
        <f ca="1">1-C57</f>
        <v>0.57600000000000007</v>
      </c>
    </row>
    <row r="57" spans="1:7">
      <c r="B57" s="273" t="s">
        <v>803</v>
      </c>
      <c r="C57" s="274">
        <f ca="1">ROUND(C51/C52,3)</f>
        <v>0.42399999999999999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-113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88.22</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88.22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88.22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88.22</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6.0299999999999999E-2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40" t="s">
        <v>694</v>
      </c>
      <c r="C6" s="1074">
        <f ca="1">ROUND(F6*F8*F7*(1-F9)/10000,0)</f>
        <v>0</v>
      </c>
      <c r="D6" s="155" t="s">
        <v>2109</v>
      </c>
      <c r="E6" s="302" t="s">
        <v>696</v>
      </c>
      <c r="F6" s="303">
        <f ca="1">INDIRECT("'数据-取费表'!u"&amp;$G$1)</f>
        <v>0</v>
      </c>
      <c r="G6" s="1384"/>
      <c r="H6" s="1069" t="s">
        <v>398</v>
      </c>
      <c r="I6" s="3840" t="s">
        <v>694</v>
      </c>
      <c r="J6" s="301">
        <f ca="1">ROUND(M6*M8*M7*(1-M9)/10000,0)</f>
        <v>0</v>
      </c>
      <c r="K6" s="155" t="s">
        <v>2108</v>
      </c>
      <c r="L6" s="302" t="s">
        <v>696</v>
      </c>
      <c r="M6" s="303">
        <f ca="1">INDIRECT("'数据-取费表'!z"&amp;$G$1)</f>
        <v>0</v>
      </c>
    </row>
    <row r="7" spans="1:37" ht="18" customHeight="1">
      <c r="A7" s="1073"/>
      <c r="B7" s="3841"/>
      <c r="C7" s="1075"/>
      <c r="D7" s="307"/>
      <c r="E7" s="1076" t="s">
        <v>697</v>
      </c>
      <c r="F7" s="303">
        <f ca="1">IF(INDIRECT("'数据-取费表'!ah"&amp;$G$1)="",INDIRECT("'数据-取费表'!k"&amp;$G$1),INDIRECT("'数据-取费表'!ah"&amp;$G$1))</f>
        <v>0</v>
      </c>
      <c r="G7" s="1384"/>
      <c r="H7" s="304"/>
      <c r="I7" s="3841"/>
      <c r="J7" s="306"/>
      <c r="K7" s="307"/>
      <c r="L7" s="302" t="s">
        <v>697</v>
      </c>
      <c r="M7" s="303">
        <f ca="1">F7</f>
        <v>0</v>
      </c>
    </row>
    <row r="8" spans="1:37" ht="18" customHeight="1">
      <c r="A8" s="304"/>
      <c r="B8" s="3841"/>
      <c r="C8" s="306"/>
      <c r="D8" s="307"/>
      <c r="E8" s="302" t="s">
        <v>698</v>
      </c>
      <c r="F8" s="303">
        <f ca="1">INDIRECT("'数据-取费表'!ai"&amp;$G$1)</f>
        <v>0</v>
      </c>
      <c r="G8" s="1384"/>
      <c r="H8" s="304"/>
      <c r="I8" s="3841"/>
      <c r="J8" s="306"/>
      <c r="K8" s="307"/>
      <c r="L8" s="302" t="s">
        <v>698</v>
      </c>
      <c r="M8" s="303">
        <f ca="1">INDIRECT("'数据-取费表'!ai"&amp;$G$1)</f>
        <v>0</v>
      </c>
    </row>
    <row r="9" spans="1:37" ht="18" customHeight="1">
      <c r="A9" s="304"/>
      <c r="B9" s="3842"/>
      <c r="C9" s="306"/>
      <c r="D9" s="307"/>
      <c r="E9" s="302" t="s">
        <v>699</v>
      </c>
      <c r="F9" s="312">
        <f ca="1">INDIRECT("'数据-取费表'!w"&amp;$G$1)</f>
        <v>0</v>
      </c>
      <c r="G9" s="1384"/>
      <c r="H9" s="304"/>
      <c r="I9" s="38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6.0299999999999999E-2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38" t="s">
        <v>837</v>
      </c>
      <c r="L53" s="383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40" t="s">
        <v>694</v>
      </c>
      <c r="C6" s="1074">
        <f ca="1">ROUND(F6*F8*F7*(1-F9),0)</f>
        <v>0</v>
      </c>
      <c r="D6" s="155" t="s">
        <v>2106</v>
      </c>
      <c r="E6" s="302" t="s">
        <v>696</v>
      </c>
      <c r="F6" s="303">
        <f ca="1">INDIRECT("'数据-取费表'!u"&amp;$G$1)</f>
        <v>0</v>
      </c>
      <c r="G6" s="1384"/>
      <c r="H6" s="1069" t="s">
        <v>398</v>
      </c>
      <c r="I6" s="3840" t="s">
        <v>694</v>
      </c>
      <c r="J6" s="301">
        <f ca="1">ROUND(M6*M8*M7*(1-M9),0)</f>
        <v>0</v>
      </c>
      <c r="K6" s="1376" t="s">
        <v>2107</v>
      </c>
      <c r="L6" s="302" t="s">
        <v>696</v>
      </c>
      <c r="M6" s="303">
        <f ca="1">INDIRECT("'数据-取费表'!z"&amp;$G$1)</f>
        <v>0</v>
      </c>
    </row>
    <row r="7" spans="1:37" ht="18" customHeight="1">
      <c r="A7" s="1073"/>
      <c r="B7" s="3841"/>
      <c r="C7" s="1075"/>
      <c r="D7" s="307"/>
      <c r="E7" s="1076" t="s">
        <v>697</v>
      </c>
      <c r="F7" s="303">
        <f ca="1">IF(INDIRECT("'数据-取费表'!ah"&amp;$G$1)="",INDIRECT("'数据-取费表'!k"&amp;$G$1),INDIRECT("'数据-取费表'!ah"&amp;$G$1))</f>
        <v>0</v>
      </c>
      <c r="G7" s="1384"/>
      <c r="H7" s="304"/>
      <c r="I7" s="3841"/>
      <c r="J7" s="306"/>
      <c r="K7" s="307"/>
      <c r="L7" s="302" t="s">
        <v>697</v>
      </c>
      <c r="M7" s="303">
        <f ca="1">F7</f>
        <v>0</v>
      </c>
    </row>
    <row r="8" spans="1:37" ht="18" customHeight="1">
      <c r="A8" s="304"/>
      <c r="B8" s="3841"/>
      <c r="C8" s="306"/>
      <c r="D8" s="307"/>
      <c r="E8" s="302" t="s">
        <v>698</v>
      </c>
      <c r="F8" s="303">
        <f ca="1">INDIRECT("'数据-取费表'!ai"&amp;$G$1)</f>
        <v>0</v>
      </c>
      <c r="G8" s="1384"/>
      <c r="H8" s="304"/>
      <c r="I8" s="3841"/>
      <c r="J8" s="306"/>
      <c r="K8" s="307"/>
      <c r="L8" s="302" t="s">
        <v>698</v>
      </c>
      <c r="M8" s="303">
        <f ca="1">INDIRECT("'数据-取费表'!ai"&amp;$G$1)</f>
        <v>0</v>
      </c>
    </row>
    <row r="9" spans="1:37" ht="18" customHeight="1">
      <c r="A9" s="304"/>
      <c r="B9" s="3842"/>
      <c r="C9" s="306"/>
      <c r="D9" s="307"/>
      <c r="E9" s="302" t="s">
        <v>699</v>
      </c>
      <c r="F9" s="312">
        <f ca="1">INDIRECT("'数据-取费表'!w"&amp;$G$1)</f>
        <v>0</v>
      </c>
      <c r="G9" s="1384"/>
      <c r="H9" s="304"/>
      <c r="I9" s="38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6.0299999999999999E-2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38" t="s">
        <v>837</v>
      </c>
      <c r="L53" s="383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843" t="s">
        <v>2318</v>
      </c>
      <c r="K2" s="3844"/>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845" t="s">
        <v>2328</v>
      </c>
      <c r="K3" s="3846"/>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845" t="s">
        <v>2330</v>
      </c>
      <c r="K4" s="3846"/>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847" t="s">
        <v>2334</v>
      </c>
      <c r="B6" s="3848"/>
      <c r="C6" s="3849"/>
      <c r="D6" s="2870"/>
      <c r="E6" s="2871"/>
      <c r="F6" s="2872"/>
      <c r="G6" s="2873"/>
      <c r="H6" s="2848"/>
      <c r="I6" s="2849"/>
      <c r="J6" s="3850">
        <v>1</v>
      </c>
      <c r="K6" s="3851"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850"/>
      <c r="K7" s="3852"/>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854" t="s">
        <v>2348</v>
      </c>
      <c r="C8" s="3855"/>
      <c r="D8" s="2889" t="s">
        <v>2349</v>
      </c>
      <c r="E8" s="2890" t="s">
        <v>2350</v>
      </c>
      <c r="F8" s="2891" t="s">
        <v>2351</v>
      </c>
      <c r="G8" s="2892"/>
      <c r="H8" s="2848"/>
      <c r="I8" s="2849"/>
      <c r="J8" s="3850"/>
      <c r="K8" s="3852"/>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854" t="s">
        <v>2354</v>
      </c>
      <c r="C9" s="3855"/>
      <c r="D9" s="2889">
        <f>ROUND(D6*E9,0)</f>
        <v>0</v>
      </c>
      <c r="E9" s="2893"/>
      <c r="F9" s="2894" t="s">
        <v>2355</v>
      </c>
      <c r="G9" s="2873"/>
      <c r="H9" s="2848"/>
      <c r="I9" s="2849"/>
      <c r="J9" s="3850"/>
      <c r="K9" s="3852"/>
      <c r="L9" s="2883" t="s">
        <v>2356</v>
      </c>
      <c r="M9" s="2884"/>
      <c r="N9" s="2860"/>
      <c r="O9" s="2885"/>
      <c r="P9" s="2885"/>
      <c r="Q9" s="2886">
        <v>365</v>
      </c>
      <c r="R9" s="2887">
        <f t="shared" si="0"/>
        <v>0</v>
      </c>
      <c r="S9" s="2841"/>
      <c r="T9" s="2841"/>
      <c r="U9" s="2841"/>
      <c r="V9" s="2849"/>
    </row>
    <row r="10" spans="1:22" s="2853" customFormat="1" ht="13.2" customHeight="1">
      <c r="A10" s="2888">
        <v>2</v>
      </c>
      <c r="B10" s="3854" t="s">
        <v>2357</v>
      </c>
      <c r="C10" s="3855"/>
      <c r="D10" s="2889">
        <f>ROUND(D6*E10,0)</f>
        <v>0</v>
      </c>
      <c r="E10" s="2893"/>
      <c r="F10" s="2894" t="s">
        <v>2358</v>
      </c>
      <c r="G10" s="2873"/>
      <c r="H10" s="2848"/>
      <c r="I10" s="2849"/>
      <c r="J10" s="3850"/>
      <c r="K10" s="3852"/>
      <c r="L10" s="2883" t="s">
        <v>2359</v>
      </c>
      <c r="M10" s="2884"/>
      <c r="N10" s="2860"/>
      <c r="O10" s="2885"/>
      <c r="P10" s="2885"/>
      <c r="Q10" s="2886">
        <v>365</v>
      </c>
      <c r="R10" s="2887">
        <f t="shared" si="0"/>
        <v>0</v>
      </c>
      <c r="S10" s="2841"/>
      <c r="T10" s="2841"/>
      <c r="U10" s="2841"/>
      <c r="V10" s="2849"/>
    </row>
    <row r="11" spans="1:22" s="2853" customFormat="1" ht="13.2" customHeight="1">
      <c r="A11" s="2888">
        <v>3</v>
      </c>
      <c r="B11" s="3854" t="s">
        <v>2360</v>
      </c>
      <c r="C11" s="3855"/>
      <c r="D11" s="2889">
        <f>D12+D14+D15+D16</f>
        <v>0</v>
      </c>
      <c r="E11" s="2895" t="e">
        <f>D11/D6</f>
        <v>#DIV/0!</v>
      </c>
      <c r="F11" s="2891"/>
      <c r="G11" s="2892"/>
      <c r="H11" s="2848"/>
      <c r="I11" s="2849"/>
      <c r="J11" s="3850"/>
      <c r="K11" s="3852"/>
      <c r="L11" s="2883" t="s">
        <v>2361</v>
      </c>
      <c r="M11" s="2884"/>
      <c r="N11" s="2860"/>
      <c r="O11" s="2885"/>
      <c r="P11" s="2885"/>
      <c r="Q11" s="2886">
        <v>365</v>
      </c>
      <c r="R11" s="2887">
        <f t="shared" si="0"/>
        <v>0</v>
      </c>
      <c r="S11" s="2841"/>
      <c r="T11" s="2841"/>
      <c r="U11" s="2841"/>
      <c r="V11" s="2849"/>
    </row>
    <row r="12" spans="1:22" s="2853" customFormat="1" ht="13.2" customHeight="1">
      <c r="A12" s="2896" t="s">
        <v>2362</v>
      </c>
      <c r="B12" s="3856" t="s">
        <v>2363</v>
      </c>
      <c r="C12" s="3857"/>
      <c r="D12" s="2897">
        <f>ROUND(D13*1.2%*(1-30%),0)</f>
        <v>0</v>
      </c>
      <c r="E12" s="2898">
        <v>1.2E-2</v>
      </c>
      <c r="F12" s="2891" t="s">
        <v>2364</v>
      </c>
      <c r="G12" s="2892"/>
      <c r="H12" s="2848"/>
      <c r="I12" s="2849"/>
      <c r="J12" s="3850"/>
      <c r="K12" s="3852"/>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850"/>
      <c r="K13" s="3852"/>
      <c r="L13" s="2883" t="s">
        <v>2367</v>
      </c>
      <c r="M13" s="2884"/>
      <c r="N13" s="2860"/>
      <c r="O13" s="2885"/>
      <c r="P13" s="2885"/>
      <c r="Q13" s="2886">
        <v>365</v>
      </c>
      <c r="R13" s="2887">
        <f t="shared" si="0"/>
        <v>0</v>
      </c>
      <c r="S13" s="2841"/>
      <c r="T13" s="2841"/>
      <c r="U13" s="2841"/>
      <c r="V13" s="2849"/>
    </row>
    <row r="14" spans="1:22" s="2853" customFormat="1" ht="13.2" customHeight="1">
      <c r="A14" s="2896" t="s">
        <v>2368</v>
      </c>
      <c r="B14" s="3856" t="s">
        <v>2369</v>
      </c>
      <c r="C14" s="3857"/>
      <c r="D14" s="2897">
        <f>ROUND(E14*B5/10000,0)</f>
        <v>0</v>
      </c>
      <c r="E14" s="2886"/>
      <c r="F14" s="2891" t="s">
        <v>2370</v>
      </c>
      <c r="G14" s="2892"/>
      <c r="H14" s="2848"/>
      <c r="I14" s="2849"/>
      <c r="J14" s="3850"/>
      <c r="K14" s="3853"/>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856" t="s">
        <v>2373</v>
      </c>
      <c r="C15" s="3857"/>
      <c r="D15" s="2897">
        <f>ROUND(D6*E15,0)</f>
        <v>0</v>
      </c>
      <c r="E15" s="2898">
        <v>5.5E-2</v>
      </c>
      <c r="F15" s="2891" t="s">
        <v>2374</v>
      </c>
      <c r="G15" s="2873"/>
      <c r="H15" s="2848"/>
      <c r="I15" s="2849"/>
      <c r="J15" s="3850">
        <v>2</v>
      </c>
      <c r="K15" s="3851"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856" t="s">
        <v>2382</v>
      </c>
      <c r="C16" s="3857"/>
      <c r="D16" s="2908">
        <f>D6*E16</f>
        <v>0</v>
      </c>
      <c r="E16" s="2909"/>
      <c r="F16" s="2894" t="s">
        <v>2383</v>
      </c>
      <c r="G16" s="2873"/>
      <c r="H16" s="2848"/>
      <c r="I16" s="2849"/>
      <c r="J16" s="3850"/>
      <c r="K16" s="3852"/>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858" t="s">
        <v>2385</v>
      </c>
      <c r="C17" s="3859"/>
      <c r="D17" s="2911">
        <f>ROUND(D6*E17,0)</f>
        <v>0</v>
      </c>
      <c r="E17" s="2912"/>
      <c r="F17" s="2913" t="s">
        <v>2386</v>
      </c>
      <c r="G17" s="2873"/>
      <c r="H17" s="2848"/>
      <c r="I17" s="2849"/>
      <c r="J17" s="3850"/>
      <c r="K17" s="3852"/>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850"/>
      <c r="K18" s="3852"/>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850"/>
      <c r="K19" s="3853"/>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850">
        <v>3</v>
      </c>
      <c r="K20" s="3851"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850"/>
      <c r="K21" s="3852"/>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850"/>
      <c r="K22" s="3852"/>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850"/>
      <c r="K23" s="3852"/>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850"/>
      <c r="K24" s="3853"/>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860">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86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843" t="s">
        <v>2318</v>
      </c>
      <c r="K32" s="3844"/>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845" t="s">
        <v>2328</v>
      </c>
      <c r="K33" s="3846"/>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845" t="s">
        <v>2330</v>
      </c>
      <c r="K34" s="384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850">
        <v>1</v>
      </c>
      <c r="K36" s="3851"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850"/>
      <c r="K37" s="3852"/>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850"/>
      <c r="K38" s="3852"/>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850"/>
      <c r="K39" s="3852"/>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850"/>
      <c r="K40" s="3853"/>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860">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86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862" t="s">
        <v>1654</v>
      </c>
      <c r="C5" s="3863"/>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90" zoomScaleNormal="60" zoomScaleSheetLayoutView="90" workbookViewId="0">
      <selection activeCell="L42" sqref="L4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53.143700000000003</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6024</v>
      </c>
      <c r="C3" s="354" t="s">
        <v>1665</v>
      </c>
      <c r="D3" s="353">
        <f>IF(D1="",'数据-汇总表'!E3,SUMIF('数据-汇总表'!$C19:$C33,D1,'数据-汇总表'!$E19:$E33))</f>
        <v>88.22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882" t="s">
        <v>1667</v>
      </c>
      <c r="D4" s="3883"/>
      <c r="E4" s="3884" t="s">
        <v>1668</v>
      </c>
      <c r="F4" s="3885"/>
      <c r="G4" s="3882" t="s">
        <v>1669</v>
      </c>
      <c r="H4" s="3883"/>
      <c r="I4" s="3882" t="s">
        <v>1670</v>
      </c>
      <c r="J4" s="3883"/>
      <c r="K4" s="1889" t="s">
        <v>1671</v>
      </c>
      <c r="L4" s="2715"/>
      <c r="M4" s="2716"/>
      <c r="N4" s="2716"/>
      <c r="O4" s="2716"/>
      <c r="P4" s="3886" t="s">
        <v>1672</v>
      </c>
      <c r="Q4" s="3887"/>
      <c r="R4" s="3869" t="s">
        <v>1668</v>
      </c>
      <c r="S4" s="3870"/>
      <c r="T4" s="3869" t="s">
        <v>1669</v>
      </c>
      <c r="U4" s="3870"/>
      <c r="V4" s="3894" t="s">
        <v>1670</v>
      </c>
      <c r="W4" s="3894"/>
      <c r="X4" s="1355"/>
      <c r="Y4" s="3869" t="s">
        <v>1672</v>
      </c>
      <c r="Z4" s="3870"/>
      <c r="AA4" s="3864" t="s">
        <v>1668</v>
      </c>
      <c r="AB4" s="3864" t="s">
        <v>1669</v>
      </c>
      <c r="AC4" s="3864" t="s">
        <v>1670</v>
      </c>
    </row>
    <row r="5" spans="1:29" ht="39.75" customHeight="1">
      <c r="A5" s="358"/>
      <c r="B5" s="359"/>
      <c r="C5" s="3875" t="s">
        <v>4724</v>
      </c>
      <c r="D5" s="3876"/>
      <c r="E5" s="3873" t="str">
        <f>Sheet2!F3</f>
        <v>花乡四合庄怡海花园A组团六期A区A1住宅楼等4项</v>
      </c>
      <c r="F5" s="3874"/>
      <c r="G5" s="3875" t="str">
        <f>Sheet2!F4</f>
        <v>鸿业兴园</v>
      </c>
      <c r="H5" s="3876"/>
      <c r="I5" s="3875" t="str">
        <f>Sheet2!F5</f>
        <v>鸿业兴园</v>
      </c>
      <c r="J5" s="3876"/>
      <c r="K5" s="1890"/>
      <c r="L5" s="2715"/>
      <c r="M5" s="2716"/>
      <c r="N5" s="2716"/>
      <c r="O5" s="2716"/>
      <c r="P5" s="3888"/>
      <c r="Q5" s="3889"/>
      <c r="R5" s="3871"/>
      <c r="S5" s="3872"/>
      <c r="T5" s="3871"/>
      <c r="U5" s="3872"/>
      <c r="V5" s="3894"/>
      <c r="W5" s="3894"/>
      <c r="X5" s="1355"/>
      <c r="Y5" s="3871"/>
      <c r="Z5" s="3872"/>
      <c r="AA5" s="3865"/>
      <c r="AB5" s="3865"/>
      <c r="AC5" s="3865"/>
    </row>
    <row r="6" spans="1:29" ht="15" thickBot="1">
      <c r="A6" s="360"/>
      <c r="B6" s="361"/>
      <c r="C6" s="3877" t="s">
        <v>3468</v>
      </c>
      <c r="D6" s="3878"/>
      <c r="E6" s="3879" t="str">
        <f>Sheet2!H3</f>
        <v>A2楼</v>
      </c>
      <c r="F6" s="3880"/>
      <c r="G6" s="3877" t="str">
        <f>Sheet2!H4</f>
        <v>7号楼</v>
      </c>
      <c r="H6" s="3878"/>
      <c r="I6" s="3877" t="str">
        <f>Sheet2!H5</f>
        <v>6号楼</v>
      </c>
      <c r="J6" s="3878"/>
      <c r="K6" s="1890" t="s">
        <v>1678</v>
      </c>
      <c r="L6" s="2715"/>
      <c r="M6" s="2716"/>
      <c r="N6" s="2716"/>
      <c r="O6" s="2716"/>
      <c r="P6" s="3890"/>
      <c r="Q6" s="3891"/>
      <c r="R6" s="3871"/>
      <c r="S6" s="3872"/>
      <c r="T6" s="3892"/>
      <c r="U6" s="3893"/>
      <c r="V6" s="3894"/>
      <c r="W6" s="3894"/>
      <c r="X6" s="1355"/>
      <c r="Y6" s="3892"/>
      <c r="Z6" s="3893"/>
      <c r="AA6" s="3866"/>
      <c r="AB6" s="3866"/>
      <c r="AC6" s="3866"/>
    </row>
    <row r="7" spans="1:29" s="108" customFormat="1" ht="15" thickBot="1">
      <c r="A7" s="362" t="s">
        <v>1679</v>
      </c>
      <c r="B7" s="363"/>
      <c r="C7" s="364">
        <f>'数据-取费表'!B2</f>
        <v>38916</v>
      </c>
      <c r="D7" s="365">
        <v>100</v>
      </c>
      <c r="E7" s="366">
        <f>Sheet2!BG3</f>
        <v>38702</v>
      </c>
      <c r="F7" s="367">
        <f>SUMIF(58:58,YEAR(E7)&amp;"-"&amp;MONTH(E7),59:59)</f>
        <v>99.399999999999991</v>
      </c>
      <c r="G7" s="366">
        <f>Sheet2!BG4</f>
        <v>38787</v>
      </c>
      <c r="H7" s="365">
        <f>SUMIF(58:58,YEAR(G7)&amp;"-"&amp;MONTH(G7),59:59)</f>
        <v>99.6</v>
      </c>
      <c r="I7" s="366">
        <f>Sheet2!BG5</f>
        <v>38805</v>
      </c>
      <c r="J7" s="365">
        <f>SUMIF(58:58,YEAR(I7)&amp;"-"&amp;MONTH(I7),59:59)</f>
        <v>99.6</v>
      </c>
      <c r="K7" s="1891"/>
      <c r="L7" s="2717"/>
      <c r="M7" s="2718"/>
      <c r="N7" s="2718"/>
      <c r="O7" s="2718"/>
      <c r="P7" s="3867" t="s">
        <v>1680</v>
      </c>
      <c r="Q7" s="3895"/>
      <c r="R7" s="701" t="s">
        <v>20</v>
      </c>
      <c r="S7" s="702">
        <f t="shared" ref="S7:S15" si="0">F7</f>
        <v>99.399999999999991</v>
      </c>
      <c r="T7" s="701" t="s">
        <v>20</v>
      </c>
      <c r="U7" s="702">
        <f t="shared" ref="U7:U15" si="1">H7</f>
        <v>99.6</v>
      </c>
      <c r="V7" s="701" t="s">
        <v>20</v>
      </c>
      <c r="W7" s="702">
        <f t="shared" ref="W7:W15" si="2">J7</f>
        <v>99.6</v>
      </c>
      <c r="X7" s="703"/>
      <c r="Y7" s="3867" t="s">
        <v>1680</v>
      </c>
      <c r="Z7" s="3868"/>
      <c r="AA7" s="704">
        <f>D7/F7</f>
        <v>1.0060362173038231</v>
      </c>
      <c r="AB7" s="704">
        <f>D7/H7</f>
        <v>1.0040160642570282</v>
      </c>
      <c r="AC7" s="704">
        <f>D7/J7</f>
        <v>1.0040160642570282</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867" t="s">
        <v>1683</v>
      </c>
      <c r="Q8" s="3868"/>
      <c r="R8" s="701" t="s">
        <v>20</v>
      </c>
      <c r="S8" s="702">
        <f t="shared" si="0"/>
        <v>100</v>
      </c>
      <c r="T8" s="701" t="s">
        <v>20</v>
      </c>
      <c r="U8" s="702">
        <f t="shared" si="1"/>
        <v>100</v>
      </c>
      <c r="V8" s="701" t="s">
        <v>20</v>
      </c>
      <c r="W8" s="702">
        <f t="shared" si="2"/>
        <v>100</v>
      </c>
      <c r="X8" s="703"/>
      <c r="Y8" s="3867" t="s">
        <v>1683</v>
      </c>
      <c r="Z8" s="3868"/>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881"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81"/>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81"/>
      <c r="Q11" s="1343" t="str">
        <f t="shared" si="6"/>
        <v>容积率</v>
      </c>
      <c r="R11" s="701" t="s">
        <v>18</v>
      </c>
      <c r="S11" s="702">
        <f t="shared" si="0"/>
        <v>100</v>
      </c>
      <c r="T11" s="701" t="s">
        <v>18</v>
      </c>
      <c r="U11" s="702">
        <f t="shared" si="1"/>
        <v>100</v>
      </c>
      <c r="V11" s="701" t="s">
        <v>18</v>
      </c>
      <c r="W11" s="702">
        <f t="shared" si="2"/>
        <v>100</v>
      </c>
      <c r="X11" s="703"/>
      <c r="Y11" s="3811"/>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881"/>
      <c r="Q12" s="1343">
        <f t="shared" si="6"/>
        <v>111</v>
      </c>
      <c r="R12" s="701" t="s">
        <v>18</v>
      </c>
      <c r="S12" s="702">
        <f t="shared" si="0"/>
        <v>100</v>
      </c>
      <c r="T12" s="701" t="s">
        <v>18</v>
      </c>
      <c r="U12" s="702">
        <f t="shared" si="1"/>
        <v>100</v>
      </c>
      <c r="V12" s="701" t="s">
        <v>18</v>
      </c>
      <c r="W12" s="702">
        <f t="shared" si="2"/>
        <v>100</v>
      </c>
      <c r="X12" s="703"/>
      <c r="Y12" s="38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81"/>
      <c r="Q13" s="1343">
        <f t="shared" si="6"/>
        <v>111</v>
      </c>
      <c r="R13" s="701" t="s">
        <v>18</v>
      </c>
      <c r="S13" s="702">
        <f t="shared" si="0"/>
        <v>100</v>
      </c>
      <c r="T13" s="701" t="s">
        <v>18</v>
      </c>
      <c r="U13" s="702">
        <f t="shared" si="1"/>
        <v>100</v>
      </c>
      <c r="V13" s="701" t="s">
        <v>18</v>
      </c>
      <c r="W13" s="702">
        <f t="shared" si="2"/>
        <v>100</v>
      </c>
      <c r="X13" s="703"/>
      <c r="Y13" s="381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81"/>
      <c r="Q14" s="1343">
        <f t="shared" si="6"/>
        <v>111</v>
      </c>
      <c r="R14" s="701" t="s">
        <v>18</v>
      </c>
      <c r="S14" s="702">
        <f t="shared" si="0"/>
        <v>100</v>
      </c>
      <c r="T14" s="701" t="s">
        <v>18</v>
      </c>
      <c r="U14" s="702">
        <f t="shared" si="1"/>
        <v>100</v>
      </c>
      <c r="V14" s="701" t="s">
        <v>18</v>
      </c>
      <c r="W14" s="702">
        <f t="shared" si="2"/>
        <v>100</v>
      </c>
      <c r="X14" s="703"/>
      <c r="Y14" s="3811"/>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908" t="s">
        <v>1691</v>
      </c>
      <c r="Q15" s="1352" t="str">
        <f t="shared" si="6"/>
        <v>居住社区成熟度</v>
      </c>
      <c r="R15" s="705" t="s">
        <v>18</v>
      </c>
      <c r="S15" s="706">
        <f t="shared" si="0"/>
        <v>100</v>
      </c>
      <c r="T15" s="705" t="s">
        <v>18</v>
      </c>
      <c r="U15" s="706">
        <f t="shared" si="1"/>
        <v>100</v>
      </c>
      <c r="V15" s="705" t="s">
        <v>18</v>
      </c>
      <c r="W15" s="706">
        <f t="shared" si="2"/>
        <v>100</v>
      </c>
      <c r="X15" s="1355"/>
      <c r="Y15" s="3901" t="s">
        <v>1691</v>
      </c>
      <c r="Z15" s="1356" t="str">
        <f t="shared" si="7"/>
        <v>居住社区成熟度</v>
      </c>
      <c r="AA15" s="1353">
        <f t="shared" si="3"/>
        <v>1</v>
      </c>
      <c r="AB15" s="1353">
        <f t="shared" si="4"/>
        <v>1</v>
      </c>
      <c r="AC15" s="1353">
        <f t="shared" si="5"/>
        <v>1</v>
      </c>
    </row>
    <row r="16" spans="1:29" ht="15">
      <c r="A16" s="379"/>
      <c r="B16" s="397"/>
      <c r="C16" s="398" t="s">
        <v>4726</v>
      </c>
      <c r="D16" s="399"/>
      <c r="E16" s="1897" t="s">
        <v>4726</v>
      </c>
      <c r="F16" s="399"/>
      <c r="G16" s="1898" t="s">
        <v>4726</v>
      </c>
      <c r="H16" s="401"/>
      <c r="I16" s="1898" t="s">
        <v>4726</v>
      </c>
      <c r="J16" s="399"/>
      <c r="K16" s="1899"/>
      <c r="L16" s="2722"/>
      <c r="M16" s="2716"/>
      <c r="N16" s="2716"/>
      <c r="O16" s="2716"/>
      <c r="P16" s="3909"/>
      <c r="Q16" s="1352"/>
      <c r="R16" s="705"/>
      <c r="S16" s="706"/>
      <c r="T16" s="705"/>
      <c r="U16" s="706"/>
      <c r="V16" s="705"/>
      <c r="W16" s="706"/>
      <c r="X16" s="1355"/>
      <c r="Y16" s="3902"/>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8</v>
      </c>
      <c r="L17" s="2722"/>
      <c r="M17" s="2716"/>
      <c r="N17" s="2716"/>
      <c r="O17" s="2716"/>
      <c r="P17" s="3909"/>
      <c r="Q17" s="1352" t="str">
        <f>B17</f>
        <v>交通便捷度</v>
      </c>
      <c r="R17" s="705" t="s">
        <v>18</v>
      </c>
      <c r="S17" s="706">
        <f>F17</f>
        <v>100</v>
      </c>
      <c r="T17" s="705" t="s">
        <v>18</v>
      </c>
      <c r="U17" s="706">
        <f>H17</f>
        <v>100</v>
      </c>
      <c r="V17" s="705" t="s">
        <v>18</v>
      </c>
      <c r="W17" s="706">
        <f>J17</f>
        <v>100</v>
      </c>
      <c r="X17" s="1355"/>
      <c r="Y17" s="3902"/>
      <c r="Z17" s="1356" t="str">
        <f>Q17</f>
        <v>交通便捷度</v>
      </c>
      <c r="AA17" s="1353">
        <f t="shared" si="3"/>
        <v>1</v>
      </c>
      <c r="AB17" s="1353">
        <f t="shared" si="4"/>
        <v>1</v>
      </c>
      <c r="AC17" s="1353">
        <f t="shared" si="5"/>
        <v>1</v>
      </c>
    </row>
    <row r="18" spans="1:29" ht="15">
      <c r="A18" s="379"/>
      <c r="B18" s="407"/>
      <c r="C18" s="1901" t="s">
        <v>4726</v>
      </c>
      <c r="D18" s="401"/>
      <c r="E18" s="1902" t="s">
        <v>4726</v>
      </c>
      <c r="F18" s="401"/>
      <c r="G18" s="1903" t="s">
        <v>4726</v>
      </c>
      <c r="H18" s="399"/>
      <c r="I18" s="1903" t="s">
        <v>4726</v>
      </c>
      <c r="J18" s="399"/>
      <c r="K18" s="1899"/>
      <c r="L18" s="2722"/>
      <c r="M18" s="2716"/>
      <c r="N18" s="2716"/>
      <c r="O18" s="2716"/>
      <c r="P18" s="3909"/>
      <c r="Q18" s="1352"/>
      <c r="R18" s="705"/>
      <c r="S18" s="706"/>
      <c r="T18" s="705"/>
      <c r="U18" s="706"/>
      <c r="V18" s="705"/>
      <c r="W18" s="706"/>
      <c r="X18" s="1355"/>
      <c r="Y18" s="3902"/>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105</v>
      </c>
      <c r="G19" s="408"/>
      <c r="H19" s="401">
        <f>SUMIF(80:80,G20,81:81)-SUMIF(80:80,C20,81:81)+100</f>
        <v>100</v>
      </c>
      <c r="I19" s="408"/>
      <c r="J19" s="401">
        <f>SUMIF(80:80,I20,81:81)-SUMIF(80:80,C20,81:81)+100</f>
        <v>100</v>
      </c>
      <c r="K19" s="396">
        <v>5</v>
      </c>
      <c r="L19" s="2722"/>
      <c r="M19" s="2716"/>
      <c r="N19" s="2716"/>
      <c r="O19" s="2716"/>
      <c r="P19" s="3909"/>
      <c r="Q19" s="1352" t="str">
        <f>B19</f>
        <v>公共配套设施</v>
      </c>
      <c r="R19" s="705" t="s">
        <v>18</v>
      </c>
      <c r="S19" s="706">
        <f>F19</f>
        <v>105</v>
      </c>
      <c r="T19" s="705" t="s">
        <v>18</v>
      </c>
      <c r="U19" s="706">
        <f>H19</f>
        <v>100</v>
      </c>
      <c r="V19" s="705" t="s">
        <v>18</v>
      </c>
      <c r="W19" s="706">
        <f>J19</f>
        <v>100</v>
      </c>
      <c r="X19" s="1355"/>
      <c r="Y19" s="3902"/>
      <c r="Z19" s="1356" t="str">
        <f>Q19</f>
        <v>公共配套设施</v>
      </c>
      <c r="AA19" s="1353">
        <f t="shared" si="3"/>
        <v>0.95238095238095233</v>
      </c>
      <c r="AB19" s="1353">
        <f t="shared" si="4"/>
        <v>1</v>
      </c>
      <c r="AC19" s="1353">
        <f t="shared" si="5"/>
        <v>1</v>
      </c>
    </row>
    <row r="20" spans="1:29" ht="15">
      <c r="A20" s="379"/>
      <c r="B20" s="407"/>
      <c r="C20" s="398" t="s">
        <v>4726</v>
      </c>
      <c r="D20" s="399"/>
      <c r="E20" s="1897" t="s">
        <v>3413</v>
      </c>
      <c r="F20" s="399"/>
      <c r="G20" s="1898" t="s">
        <v>4726</v>
      </c>
      <c r="H20" s="399"/>
      <c r="I20" s="1898" t="s">
        <v>4726</v>
      </c>
      <c r="J20" s="399"/>
      <c r="K20" s="1899"/>
      <c r="L20" s="2722"/>
      <c r="M20" s="2716"/>
      <c r="N20" s="2716"/>
      <c r="O20" s="2716"/>
      <c r="P20" s="3909"/>
      <c r="Q20" s="1352"/>
      <c r="R20" s="705"/>
      <c r="S20" s="706"/>
      <c r="T20" s="705"/>
      <c r="U20" s="706"/>
      <c r="V20" s="705"/>
      <c r="W20" s="706"/>
      <c r="X20" s="1355"/>
      <c r="Y20" s="390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909"/>
      <c r="Q21" s="1352" t="str">
        <f>B21</f>
        <v>基础设施水平</v>
      </c>
      <c r="R21" s="705" t="s">
        <v>14</v>
      </c>
      <c r="S21" s="706">
        <f>F21</f>
        <v>100</v>
      </c>
      <c r="T21" s="705" t="s">
        <v>14</v>
      </c>
      <c r="U21" s="706">
        <f>H21</f>
        <v>100</v>
      </c>
      <c r="V21" s="705" t="s">
        <v>14</v>
      </c>
      <c r="W21" s="706">
        <f>J21</f>
        <v>100</v>
      </c>
      <c r="X21" s="1355"/>
      <c r="Y21" s="39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909"/>
      <c r="Q22" s="1352"/>
      <c r="R22" s="705"/>
      <c r="S22" s="706"/>
      <c r="T22" s="705"/>
      <c r="U22" s="706"/>
      <c r="V22" s="705"/>
      <c r="W22" s="706"/>
      <c r="X22" s="1355"/>
      <c r="Y22" s="3902"/>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909"/>
      <c r="Q23" s="1352" t="str">
        <f>B23</f>
        <v>自然及人文环境</v>
      </c>
      <c r="R23" s="705" t="s">
        <v>18</v>
      </c>
      <c r="S23" s="706">
        <f>F23</f>
        <v>100</v>
      </c>
      <c r="T23" s="705" t="s">
        <v>18</v>
      </c>
      <c r="U23" s="706">
        <f>H23</f>
        <v>100</v>
      </c>
      <c r="V23" s="705" t="s">
        <v>18</v>
      </c>
      <c r="W23" s="706">
        <f>J23</f>
        <v>100</v>
      </c>
      <c r="X23" s="1355"/>
      <c r="Y23" s="39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909"/>
      <c r="Q24" s="1352"/>
      <c r="R24" s="705"/>
      <c r="S24" s="706"/>
      <c r="T24" s="705"/>
      <c r="U24" s="706"/>
      <c r="V24" s="705"/>
      <c r="W24" s="706"/>
      <c r="X24" s="1355"/>
      <c r="Y24" s="3902"/>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9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902"/>
      <c r="Z25" s="1356" t="str">
        <f>Q25</f>
        <v>楼层-1</v>
      </c>
      <c r="AA25" s="1353">
        <f t="shared" ref="AA25:AA46" si="15">D25/F25</f>
        <v>1</v>
      </c>
      <c r="AB25" s="1353">
        <f t="shared" ref="AB25:AB46" si="16">D25/H25</f>
        <v>1</v>
      </c>
      <c r="AC25" s="1353">
        <f t="shared" ref="AC25:AC46" si="17">D25/J25</f>
        <v>1</v>
      </c>
    </row>
    <row r="26" spans="1:29" ht="15">
      <c r="A26" s="379"/>
      <c r="B26" s="3646" t="s">
        <v>1693</v>
      </c>
      <c r="C26" s="3647" t="s">
        <v>3463</v>
      </c>
      <c r="D26" s="3648">
        <v>100</v>
      </c>
      <c r="E26" s="3649" t="s">
        <v>3463</v>
      </c>
      <c r="F26" s="3648">
        <f>SUMIF(88:88,E26,89:89)-SUMIF(88:88,C26,89:89)+100</f>
        <v>100</v>
      </c>
      <c r="G26" s="3650" t="s">
        <v>3463</v>
      </c>
      <c r="H26" s="3648">
        <f>SUMIF(88:88,G26,89:89)-SUMIF(88:88,C26,89:89)+100</f>
        <v>100</v>
      </c>
      <c r="I26" s="3650" t="s">
        <v>3463</v>
      </c>
      <c r="J26" s="386">
        <f>SUMIF(88:88,I26,89:89)-SUMIF(88:88,C26,89:89)+100</f>
        <v>100</v>
      </c>
      <c r="K26" s="377">
        <v>1</v>
      </c>
      <c r="L26" s="2722"/>
      <c r="M26" s="2716"/>
      <c r="N26" s="2716"/>
      <c r="O26" s="2716"/>
      <c r="P26" s="3909"/>
      <c r="Q26" s="1352" t="str">
        <f t="shared" si="11"/>
        <v>朝向</v>
      </c>
      <c r="R26" s="705" t="s">
        <v>18</v>
      </c>
      <c r="S26" s="706">
        <f t="shared" si="12"/>
        <v>100</v>
      </c>
      <c r="T26" s="705" t="s">
        <v>18</v>
      </c>
      <c r="U26" s="706">
        <f t="shared" si="13"/>
        <v>100</v>
      </c>
      <c r="V26" s="705" t="s">
        <v>18</v>
      </c>
      <c r="W26" s="706">
        <f t="shared" si="14"/>
        <v>100</v>
      </c>
      <c r="X26" s="1355"/>
      <c r="Y26" s="3902"/>
      <c r="Z26" s="1356" t="str">
        <f>Q26</f>
        <v>朝向</v>
      </c>
      <c r="AA26" s="1353">
        <f t="shared" si="15"/>
        <v>1</v>
      </c>
      <c r="AB26" s="1353">
        <f t="shared" si="16"/>
        <v>1</v>
      </c>
      <c r="AC26" s="1353">
        <f t="shared" si="17"/>
        <v>1</v>
      </c>
    </row>
    <row r="27" spans="1:29" s="108" customFormat="1" ht="15">
      <c r="A27" s="382"/>
      <c r="B27" s="3450" t="s">
        <v>3398</v>
      </c>
      <c r="C27" s="3651" t="s">
        <v>4725</v>
      </c>
      <c r="D27" s="413">
        <v>100</v>
      </c>
      <c r="E27" s="383" t="s">
        <v>4605</v>
      </c>
      <c r="F27" s="413">
        <f>SUMIF(90:90,E27,91:91)-SUMIF(90:90,C27,91:91)+100</f>
        <v>104</v>
      </c>
      <c r="G27" s="414" t="s">
        <v>4606</v>
      </c>
      <c r="H27" s="413">
        <f>SUMIF(90:90,G27,91:91)-SUMIF(90:90,C27,91:91)+100</f>
        <v>104</v>
      </c>
      <c r="I27" s="414" t="s">
        <v>4607</v>
      </c>
      <c r="J27" s="413">
        <f>SUMIF(90:90,I27,91:91)-SUMIF(90:90,C27,91:91)+100</f>
        <v>100</v>
      </c>
      <c r="K27" s="1894"/>
      <c r="L27" s="2717"/>
      <c r="M27" s="2718"/>
      <c r="N27" s="2718"/>
      <c r="O27" s="2718"/>
      <c r="P27" s="3909"/>
      <c r="Q27" s="1343" t="str">
        <f t="shared" si="11"/>
        <v>楼层</v>
      </c>
      <c r="R27" s="701" t="s">
        <v>18</v>
      </c>
      <c r="S27" s="702">
        <f t="shared" si="12"/>
        <v>104</v>
      </c>
      <c r="T27" s="701" t="s">
        <v>18</v>
      </c>
      <c r="U27" s="702">
        <f t="shared" si="13"/>
        <v>104</v>
      </c>
      <c r="V27" s="701" t="s">
        <v>18</v>
      </c>
      <c r="W27" s="702">
        <f t="shared" si="14"/>
        <v>100</v>
      </c>
      <c r="X27" s="703"/>
      <c r="Y27" s="3902"/>
      <c r="Z27" s="52" t="str">
        <f>Q27</f>
        <v>楼层</v>
      </c>
      <c r="AA27" s="1353">
        <f t="shared" si="15"/>
        <v>0.96153846153846156</v>
      </c>
      <c r="AB27" s="1353">
        <f t="shared" si="16"/>
        <v>0.96153846153846156</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909"/>
      <c r="Q28" s="1352">
        <f t="shared" si="11"/>
        <v>111</v>
      </c>
      <c r="R28" s="705" t="s">
        <v>18</v>
      </c>
      <c r="S28" s="706">
        <f t="shared" si="12"/>
        <v>100</v>
      </c>
      <c r="T28" s="705" t="s">
        <v>18</v>
      </c>
      <c r="U28" s="706">
        <f t="shared" si="13"/>
        <v>100</v>
      </c>
      <c r="V28" s="705" t="s">
        <v>18</v>
      </c>
      <c r="W28" s="706">
        <f t="shared" si="14"/>
        <v>100</v>
      </c>
      <c r="X28" s="1355"/>
      <c r="Y28" s="39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909"/>
      <c r="Q29" s="1352">
        <f t="shared" si="11"/>
        <v>111</v>
      </c>
      <c r="R29" s="705" t="s">
        <v>18</v>
      </c>
      <c r="S29" s="706">
        <f t="shared" si="12"/>
        <v>100</v>
      </c>
      <c r="T29" s="705" t="s">
        <v>18</v>
      </c>
      <c r="U29" s="706">
        <f t="shared" si="13"/>
        <v>100</v>
      </c>
      <c r="V29" s="705" t="s">
        <v>18</v>
      </c>
      <c r="W29" s="706">
        <f t="shared" si="14"/>
        <v>100</v>
      </c>
      <c r="X29" s="1355"/>
      <c r="Y29" s="39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909"/>
      <c r="Q30" s="1352">
        <f t="shared" si="11"/>
        <v>111</v>
      </c>
      <c r="R30" s="705" t="s">
        <v>18</v>
      </c>
      <c r="S30" s="706">
        <f t="shared" si="12"/>
        <v>100</v>
      </c>
      <c r="T30" s="705" t="s">
        <v>18</v>
      </c>
      <c r="U30" s="706">
        <f t="shared" si="13"/>
        <v>100</v>
      </c>
      <c r="V30" s="705" t="s">
        <v>18</v>
      </c>
      <c r="W30" s="706">
        <f t="shared" si="14"/>
        <v>100</v>
      </c>
      <c r="X30" s="1355"/>
      <c r="Y30" s="390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909"/>
      <c r="Q31" s="1352">
        <f t="shared" si="11"/>
        <v>111</v>
      </c>
      <c r="R31" s="705" t="s">
        <v>18</v>
      </c>
      <c r="S31" s="706">
        <f t="shared" si="12"/>
        <v>100</v>
      </c>
      <c r="T31" s="705" t="s">
        <v>18</v>
      </c>
      <c r="U31" s="706">
        <f t="shared" si="13"/>
        <v>100</v>
      </c>
      <c r="V31" s="705" t="s">
        <v>18</v>
      </c>
      <c r="W31" s="706">
        <f t="shared" si="14"/>
        <v>100</v>
      </c>
      <c r="X31" s="1355"/>
      <c r="Y31" s="3902"/>
      <c r="Z31" s="1356">
        <f t="shared" si="18"/>
        <v>111</v>
      </c>
      <c r="AA31" s="1353">
        <f t="shared" si="15"/>
        <v>1</v>
      </c>
      <c r="AB31" s="1353">
        <f t="shared" si="16"/>
        <v>1</v>
      </c>
      <c r="AC31" s="1353">
        <f t="shared" si="17"/>
        <v>1</v>
      </c>
    </row>
    <row r="32" spans="1:29" ht="15">
      <c r="A32" s="391" t="s">
        <v>1694</v>
      </c>
      <c r="B32" s="63" t="s">
        <v>1695</v>
      </c>
      <c r="C32" s="1910" t="s">
        <v>3426</v>
      </c>
      <c r="D32" s="418">
        <v>100</v>
      </c>
      <c r="E32" s="1911" t="s">
        <v>3426</v>
      </c>
      <c r="F32" s="412">
        <f>SUMIF(100:100,E32,101:101)-SUMIF(100:100,C32,101:101)+100</f>
        <v>100</v>
      </c>
      <c r="G32" s="1910" t="s">
        <v>3426</v>
      </c>
      <c r="H32" s="418">
        <f>SUMIF(100:100,G32,101:101)-SUMIF(100:100,C32,101:101)+100</f>
        <v>100</v>
      </c>
      <c r="I32" s="1911" t="s">
        <v>3426</v>
      </c>
      <c r="J32" s="386">
        <f>SUMIF(100:100,I32,101:101)-SUMIF(100:100,C32,101:101)+100</f>
        <v>100</v>
      </c>
      <c r="K32" s="377">
        <v>1</v>
      </c>
      <c r="L32" s="2722"/>
      <c r="M32" s="2716"/>
      <c r="N32" s="2716"/>
      <c r="O32" s="2716"/>
      <c r="P32" s="3903" t="s">
        <v>1696</v>
      </c>
      <c r="Q32" s="1352" t="str">
        <f t="shared" si="11"/>
        <v>建筑类型</v>
      </c>
      <c r="R32" s="705" t="s">
        <v>18</v>
      </c>
      <c r="S32" s="706">
        <f t="shared" si="12"/>
        <v>100</v>
      </c>
      <c r="T32" s="705" t="s">
        <v>18</v>
      </c>
      <c r="U32" s="706">
        <f t="shared" si="13"/>
        <v>100</v>
      </c>
      <c r="V32" s="705" t="s">
        <v>18</v>
      </c>
      <c r="W32" s="706">
        <f t="shared" si="14"/>
        <v>100</v>
      </c>
      <c r="X32" s="1355"/>
      <c r="Y32" s="3906"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88.22</v>
      </c>
      <c r="D33" s="127">
        <v>100</v>
      </c>
      <c r="E33" s="381">
        <f>Sheet2!L3</f>
        <v>62.71</v>
      </c>
      <c r="F33" s="376">
        <f>LOOKUP(E33,103:103,104:104)-LOOKUP(C33,103:103,104:104)+100</f>
        <v>102</v>
      </c>
      <c r="G33" s="380">
        <f>Sheet2!L4</f>
        <v>90.61</v>
      </c>
      <c r="H33" s="127">
        <f>LOOKUP(G33,103:103,104:104)-LOOKUP(C33,103:103,104:104)+100</f>
        <v>100</v>
      </c>
      <c r="I33" s="381">
        <f>Sheet2!L5</f>
        <v>93.6</v>
      </c>
      <c r="J33" s="386">
        <f>LOOKUP(I33,103:103,104:104)-LOOKUP(C33,103:103,104:104)+100</f>
        <v>100</v>
      </c>
      <c r="K33" s="1894"/>
      <c r="L33" s="2721"/>
      <c r="M33" s="2723"/>
      <c r="N33" s="2723"/>
      <c r="O33" s="2723"/>
      <c r="P33" s="3904"/>
      <c r="Q33" s="707" t="str">
        <f t="shared" si="11"/>
        <v>项目建筑规模</v>
      </c>
      <c r="R33" s="708" t="s">
        <v>18</v>
      </c>
      <c r="S33" s="709">
        <f t="shared" si="12"/>
        <v>102</v>
      </c>
      <c r="T33" s="708" t="s">
        <v>18</v>
      </c>
      <c r="U33" s="709">
        <f t="shared" si="13"/>
        <v>100</v>
      </c>
      <c r="V33" s="708" t="s">
        <v>18</v>
      </c>
      <c r="W33" s="709">
        <f t="shared" si="14"/>
        <v>100</v>
      </c>
      <c r="X33" s="710"/>
      <c r="Y33" s="3906"/>
      <c r="Z33" s="711" t="str">
        <f t="shared" si="18"/>
        <v>项目建筑规模</v>
      </c>
      <c r="AA33" s="1353">
        <f t="shared" si="15"/>
        <v>0.98039215686274506</v>
      </c>
      <c r="AB33" s="1353">
        <f t="shared" si="16"/>
        <v>1</v>
      </c>
      <c r="AC33" s="1353">
        <f t="shared" si="17"/>
        <v>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2"/>
      <c r="M34" s="2716"/>
      <c r="N34" s="2716"/>
      <c r="O34" s="2716"/>
      <c r="P34" s="3904"/>
      <c r="Q34" s="1352" t="str">
        <f t="shared" si="11"/>
        <v>建筑结构</v>
      </c>
      <c r="R34" s="705" t="s">
        <v>18</v>
      </c>
      <c r="S34" s="706">
        <f t="shared" si="12"/>
        <v>100</v>
      </c>
      <c r="T34" s="705" t="s">
        <v>18</v>
      </c>
      <c r="U34" s="706">
        <f t="shared" si="13"/>
        <v>100</v>
      </c>
      <c r="V34" s="705" t="s">
        <v>18</v>
      </c>
      <c r="W34" s="706">
        <f t="shared" si="14"/>
        <v>100</v>
      </c>
      <c r="X34" s="1355"/>
      <c r="Y34" s="390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904"/>
      <c r="Q35" s="1352" t="str">
        <f t="shared" si="11"/>
        <v>建筑品质</v>
      </c>
      <c r="R35" s="705" t="s">
        <v>18</v>
      </c>
      <c r="S35" s="706">
        <f t="shared" si="12"/>
        <v>100</v>
      </c>
      <c r="T35" s="705" t="s">
        <v>18</v>
      </c>
      <c r="U35" s="706">
        <f t="shared" si="13"/>
        <v>100</v>
      </c>
      <c r="V35" s="705" t="s">
        <v>18</v>
      </c>
      <c r="W35" s="706">
        <f t="shared" si="14"/>
        <v>100</v>
      </c>
      <c r="X35" s="1355"/>
      <c r="Y35" s="3906"/>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904"/>
      <c r="Q36" s="1352" t="str">
        <f t="shared" si="11"/>
        <v>公共部分装修</v>
      </c>
      <c r="R36" s="705" t="s">
        <v>18</v>
      </c>
      <c r="S36" s="706">
        <f t="shared" si="12"/>
        <v>100</v>
      </c>
      <c r="T36" s="705" t="s">
        <v>18</v>
      </c>
      <c r="U36" s="706">
        <f t="shared" si="13"/>
        <v>100</v>
      </c>
      <c r="V36" s="705" t="s">
        <v>18</v>
      </c>
      <c r="W36" s="706">
        <f t="shared" si="14"/>
        <v>100</v>
      </c>
      <c r="X36" s="1355"/>
      <c r="Y36" s="3906"/>
      <c r="Z36" s="1356" t="str">
        <f t="shared" si="18"/>
        <v>公共部分装修</v>
      </c>
      <c r="AA36" s="1353">
        <f t="shared" si="15"/>
        <v>1</v>
      </c>
      <c r="AB36" s="1353">
        <f t="shared" si="16"/>
        <v>1</v>
      </c>
      <c r="AC36" s="1353">
        <f t="shared" si="17"/>
        <v>1</v>
      </c>
    </row>
    <row r="37" spans="1:29" s="108" customFormat="1" ht="15" hidden="1">
      <c r="A37" s="424"/>
      <c r="B37" s="375" t="s">
        <v>1701</v>
      </c>
      <c r="C37" s="3457">
        <v>0.95</v>
      </c>
      <c r="D37" s="3456">
        <v>100</v>
      </c>
      <c r="E37" s="3457">
        <v>0.95</v>
      </c>
      <c r="F37" s="3458">
        <f>LOOKUP(E37,112:112,113:113)-LOOKUP(C37,112:112,113:113)+100</f>
        <v>100</v>
      </c>
      <c r="G37" s="3459">
        <f>C37</f>
        <v>0.95</v>
      </c>
      <c r="H37" s="3456">
        <f>LOOKUP(G37,112:112,113:113)-LOOKUP(C37,112:112,113:113)+100</f>
        <v>100</v>
      </c>
      <c r="I37" s="3460">
        <f>C37</f>
        <v>0.95</v>
      </c>
      <c r="J37" s="127">
        <f>LOOKUP(I37,112:112,113:113)-LOOKUP(C37,112:112,113:113)+100</f>
        <v>100</v>
      </c>
      <c r="K37" s="377"/>
      <c r="L37" s="2717"/>
      <c r="M37" s="2718"/>
      <c r="N37" s="2718"/>
      <c r="O37" s="2718"/>
      <c r="P37" s="3904"/>
      <c r="Q37" s="1343" t="str">
        <f t="shared" si="11"/>
        <v>成新度</v>
      </c>
      <c r="R37" s="701" t="s">
        <v>18</v>
      </c>
      <c r="S37" s="702">
        <f t="shared" si="12"/>
        <v>100</v>
      </c>
      <c r="T37" s="701" t="s">
        <v>18</v>
      </c>
      <c r="U37" s="702">
        <f t="shared" si="13"/>
        <v>100</v>
      </c>
      <c r="V37" s="701" t="s">
        <v>18</v>
      </c>
      <c r="W37" s="702">
        <f t="shared" si="14"/>
        <v>100</v>
      </c>
      <c r="X37" s="703"/>
      <c r="Y37" s="3906"/>
      <c r="Z37" s="52" t="str">
        <f t="shared" si="18"/>
        <v>成新度</v>
      </c>
      <c r="AA37" s="704">
        <f t="shared" si="15"/>
        <v>1</v>
      </c>
      <c r="AB37" s="704">
        <f t="shared" si="16"/>
        <v>1</v>
      </c>
      <c r="AC37" s="704">
        <f t="shared" si="17"/>
        <v>1</v>
      </c>
    </row>
    <row r="38" spans="1:29" ht="15">
      <c r="A38" s="423"/>
      <c r="B38" s="375" t="s">
        <v>1702</v>
      </c>
      <c r="C38" s="1906" t="s">
        <v>3415</v>
      </c>
      <c r="D38" s="386">
        <v>100</v>
      </c>
      <c r="E38" s="1907" t="s">
        <v>3415</v>
      </c>
      <c r="F38" s="412">
        <f>SUMIF(114:114,E38,115:115)-SUMIF(114:114,C38,115:115)+100</f>
        <v>100</v>
      </c>
      <c r="G38" s="1906" t="s">
        <v>3415</v>
      </c>
      <c r="H38" s="386">
        <f>SUMIF(114:114,G38,115:115)-SUMIF(114:114,C38,115:115)+100</f>
        <v>100</v>
      </c>
      <c r="I38" s="1907" t="s">
        <v>3415</v>
      </c>
      <c r="J38" s="386">
        <f>SUMIF(114:114,I38,115:115)-SUMIF(114:114,C38,115:115)+100</f>
        <v>100</v>
      </c>
      <c r="K38" s="377"/>
      <c r="L38" s="2722"/>
      <c r="M38" s="2716"/>
      <c r="N38" s="2716"/>
      <c r="O38" s="2716"/>
      <c r="P38" s="3904" t="s">
        <v>1696</v>
      </c>
      <c r="Q38" s="1352" t="str">
        <f t="shared" si="11"/>
        <v>物业管理</v>
      </c>
      <c r="R38" s="705" t="s">
        <v>18</v>
      </c>
      <c r="S38" s="706">
        <f t="shared" si="12"/>
        <v>100</v>
      </c>
      <c r="T38" s="705" t="s">
        <v>18</v>
      </c>
      <c r="U38" s="706">
        <f t="shared" si="13"/>
        <v>100</v>
      </c>
      <c r="V38" s="705" t="s">
        <v>18</v>
      </c>
      <c r="W38" s="706">
        <f t="shared" si="14"/>
        <v>100</v>
      </c>
      <c r="X38" s="1355"/>
      <c r="Y38" s="3906" t="s">
        <v>1696</v>
      </c>
      <c r="Z38" s="1356" t="str">
        <f t="shared" si="18"/>
        <v>物业管理</v>
      </c>
      <c r="AA38" s="1353">
        <f t="shared" si="15"/>
        <v>1</v>
      </c>
      <c r="AB38" s="1353">
        <f t="shared" si="16"/>
        <v>1</v>
      </c>
      <c r="AC38" s="1353">
        <f t="shared" si="17"/>
        <v>1</v>
      </c>
    </row>
    <row r="39" spans="1:29" ht="15">
      <c r="A39" s="423"/>
      <c r="B39" s="375" t="s">
        <v>1703</v>
      </c>
      <c r="C39" s="1906" t="s">
        <v>3464</v>
      </c>
      <c r="D39" s="386">
        <v>100</v>
      </c>
      <c r="E39" s="1907" t="s">
        <v>3464</v>
      </c>
      <c r="F39" s="412">
        <f>SUMIF(116:116,E39,117:117)-SUMIF(116:116,C39,117:117)+100</f>
        <v>100</v>
      </c>
      <c r="G39" s="1906" t="s">
        <v>3464</v>
      </c>
      <c r="H39" s="386">
        <f>SUMIF(116:116,G39,117:117)-SUMIF(116:116,C39,117:117)+100</f>
        <v>100</v>
      </c>
      <c r="I39" s="1907" t="s">
        <v>3464</v>
      </c>
      <c r="J39" s="386">
        <f>SUMIF(116:116,I39,117:117)-SUMIF(116:116,C39,117:117)+100</f>
        <v>100</v>
      </c>
      <c r="K39" s="377"/>
      <c r="L39" s="2722"/>
      <c r="M39" s="2716"/>
      <c r="N39" s="2716"/>
      <c r="O39" s="2716"/>
      <c r="P39" s="3904"/>
      <c r="Q39" s="1352" t="str">
        <f t="shared" si="11"/>
        <v>市政基础设施</v>
      </c>
      <c r="R39" s="705" t="s">
        <v>18</v>
      </c>
      <c r="S39" s="706">
        <f t="shared" si="12"/>
        <v>100</v>
      </c>
      <c r="T39" s="705" t="s">
        <v>18</v>
      </c>
      <c r="U39" s="706">
        <f t="shared" si="13"/>
        <v>100</v>
      </c>
      <c r="V39" s="705" t="s">
        <v>18</v>
      </c>
      <c r="W39" s="706">
        <f t="shared" si="14"/>
        <v>100</v>
      </c>
      <c r="X39" s="1355"/>
      <c r="Y39" s="3906"/>
      <c r="Z39" s="1356" t="str">
        <f t="shared" si="18"/>
        <v>市政基础设施</v>
      </c>
      <c r="AA39" s="1353">
        <f t="shared" si="15"/>
        <v>1</v>
      </c>
      <c r="AB39" s="1353">
        <f t="shared" si="16"/>
        <v>1</v>
      </c>
      <c r="AC39" s="1353">
        <f t="shared" si="17"/>
        <v>1</v>
      </c>
    </row>
    <row r="40" spans="1:29" ht="15">
      <c r="A40" s="423"/>
      <c r="B40" s="375" t="s">
        <v>1704</v>
      </c>
      <c r="C40" s="1906" t="s">
        <v>3408</v>
      </c>
      <c r="D40" s="386">
        <v>100</v>
      </c>
      <c r="E40" s="1907" t="s">
        <v>3408</v>
      </c>
      <c r="F40" s="412">
        <f>SUMIF(118:118,E40,119:119)-SUMIF(118:118,C40,119:119)+100</f>
        <v>100</v>
      </c>
      <c r="G40" s="1906" t="s">
        <v>3408</v>
      </c>
      <c r="H40" s="386">
        <f>SUMIF(118:118,G40,119:119)-SUMIF(118:118,C40,119:119)+100</f>
        <v>100</v>
      </c>
      <c r="I40" s="1907" t="s">
        <v>3408</v>
      </c>
      <c r="J40" s="386">
        <f>SUMIF(118:118,I40,119:119)-SUMIF(118:118,C40,119:119)+100</f>
        <v>100</v>
      </c>
      <c r="K40" s="377"/>
      <c r="L40" s="2722"/>
      <c r="M40" s="2716"/>
      <c r="N40" s="2716"/>
      <c r="O40" s="2716"/>
      <c r="P40" s="3904"/>
      <c r="Q40" s="1352" t="str">
        <f t="shared" si="11"/>
        <v>房型</v>
      </c>
      <c r="R40" s="705" t="s">
        <v>18</v>
      </c>
      <c r="S40" s="706">
        <f t="shared" si="12"/>
        <v>100</v>
      </c>
      <c r="T40" s="705" t="s">
        <v>18</v>
      </c>
      <c r="U40" s="706">
        <f t="shared" si="13"/>
        <v>100</v>
      </c>
      <c r="V40" s="705" t="s">
        <v>18</v>
      </c>
      <c r="W40" s="706">
        <f t="shared" si="14"/>
        <v>100</v>
      </c>
      <c r="X40" s="1355"/>
      <c r="Y40" s="3906"/>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904"/>
      <c r="Q41" s="707" t="str">
        <f t="shared" si="11"/>
        <v>单套/主力户型建筑面积</v>
      </c>
      <c r="R41" s="708" t="s">
        <v>18</v>
      </c>
      <c r="S41" s="709">
        <f t="shared" si="12"/>
        <v>100</v>
      </c>
      <c r="T41" s="708" t="s">
        <v>18</v>
      </c>
      <c r="U41" s="709">
        <f t="shared" si="13"/>
        <v>100</v>
      </c>
      <c r="V41" s="708" t="s">
        <v>18</v>
      </c>
      <c r="W41" s="709">
        <f t="shared" si="14"/>
        <v>100</v>
      </c>
      <c r="X41" s="710"/>
      <c r="Y41" s="3906"/>
      <c r="Z41" s="711" t="str">
        <f t="shared" si="18"/>
        <v>单套/主力户型建筑面积</v>
      </c>
      <c r="AA41" s="1353">
        <f t="shared" si="15"/>
        <v>1</v>
      </c>
      <c r="AB41" s="1353">
        <f t="shared" si="16"/>
        <v>1</v>
      </c>
      <c r="AC41" s="1353">
        <f t="shared" si="17"/>
        <v>1</v>
      </c>
    </row>
    <row r="42" spans="1:29" ht="15">
      <c r="A42" s="423"/>
      <c r="B42" s="375" t="s">
        <v>1706</v>
      </c>
      <c r="C42" s="1906" t="s">
        <v>3469</v>
      </c>
      <c r="D42" s="386">
        <v>100</v>
      </c>
      <c r="E42" s="1907" t="s">
        <v>3465</v>
      </c>
      <c r="F42" s="412">
        <f>SUMIF(122:122,E42,123:123)-SUMIF(122:122,C42,123:123)+100</f>
        <v>98.5</v>
      </c>
      <c r="G42" s="1906" t="s">
        <v>3465</v>
      </c>
      <c r="H42" s="386">
        <f>SUMIF(122:122,G42,123:123)-SUMIF(122:122,C42,123:123)+100</f>
        <v>98.5</v>
      </c>
      <c r="I42" s="1907" t="s">
        <v>3404</v>
      </c>
      <c r="J42" s="386">
        <f>SUMIF(122:122,I42,123:123)-SUMIF(122:122,C42,123:123)+100</f>
        <v>101.5</v>
      </c>
      <c r="K42" s="377">
        <v>1.5</v>
      </c>
      <c r="L42" s="2722"/>
      <c r="M42" s="2716"/>
      <c r="N42" s="2716"/>
      <c r="O42" s="2716"/>
      <c r="P42" s="3904"/>
      <c r="Q42" s="1352" t="str">
        <f t="shared" si="11"/>
        <v>内部装修</v>
      </c>
      <c r="R42" s="705" t="s">
        <v>18</v>
      </c>
      <c r="S42" s="706">
        <f t="shared" si="12"/>
        <v>98.5</v>
      </c>
      <c r="T42" s="705" t="s">
        <v>18</v>
      </c>
      <c r="U42" s="706">
        <f t="shared" si="13"/>
        <v>98.5</v>
      </c>
      <c r="V42" s="705" t="s">
        <v>18</v>
      </c>
      <c r="W42" s="706">
        <f t="shared" si="14"/>
        <v>101.5</v>
      </c>
      <c r="X42" s="1355"/>
      <c r="Y42" s="3906"/>
      <c r="Z42" s="1356" t="str">
        <f t="shared" si="18"/>
        <v>内部装修</v>
      </c>
      <c r="AA42" s="1353">
        <f t="shared" si="15"/>
        <v>1.015228426395939</v>
      </c>
      <c r="AB42" s="1353">
        <f t="shared" si="16"/>
        <v>1.015228426395939</v>
      </c>
      <c r="AC42" s="1353">
        <f t="shared" si="17"/>
        <v>0.98522167487684731</v>
      </c>
    </row>
    <row r="43" spans="1:29" ht="28.8">
      <c r="A43" s="423"/>
      <c r="B43" s="375" t="s">
        <v>1707</v>
      </c>
      <c r="C43" s="1906" t="s">
        <v>3413</v>
      </c>
      <c r="D43" s="386">
        <v>100</v>
      </c>
      <c r="E43" s="1907" t="s">
        <v>3413</v>
      </c>
      <c r="F43" s="412">
        <f>SUMIF(124:124,E43,125:125)-SUMIF(124:124,C43,125:125)+100</f>
        <v>100</v>
      </c>
      <c r="G43" s="1906" t="s">
        <v>3413</v>
      </c>
      <c r="H43" s="386">
        <f>SUMIF(124:124,G43,125:125)-SUMIF(124:124,C43,125:125)+100</f>
        <v>100</v>
      </c>
      <c r="I43" s="1907" t="s">
        <v>3413</v>
      </c>
      <c r="J43" s="386">
        <f>SUMIF(124:124,I43,125:125)-SUMIF(124:124,C43,125:125)+100</f>
        <v>100</v>
      </c>
      <c r="K43" s="377"/>
      <c r="L43" s="2722"/>
      <c r="M43" s="2716"/>
      <c r="N43" s="2716"/>
      <c r="O43" s="2716"/>
      <c r="P43" s="3904"/>
      <c r="Q43" s="1352" t="str">
        <f t="shared" si="11"/>
        <v>内部装修维护情况</v>
      </c>
      <c r="R43" s="705" t="s">
        <v>18</v>
      </c>
      <c r="S43" s="706">
        <f t="shared" si="12"/>
        <v>100</v>
      </c>
      <c r="T43" s="705" t="s">
        <v>18</v>
      </c>
      <c r="U43" s="706">
        <f t="shared" si="13"/>
        <v>100</v>
      </c>
      <c r="V43" s="705" t="s">
        <v>18</v>
      </c>
      <c r="W43" s="706">
        <f t="shared" si="14"/>
        <v>100</v>
      </c>
      <c r="X43" s="1355"/>
      <c r="Y43" s="3906"/>
      <c r="Z43" s="1356" t="str">
        <f t="shared" si="18"/>
        <v>内部装修维护情况</v>
      </c>
      <c r="AA43" s="1353">
        <f t="shared" si="15"/>
        <v>1</v>
      </c>
      <c r="AB43" s="1353">
        <f t="shared" si="16"/>
        <v>1</v>
      </c>
      <c r="AC43" s="1353">
        <f t="shared" si="17"/>
        <v>1</v>
      </c>
    </row>
    <row r="44" spans="1:29" s="108" customFormat="1" ht="15">
      <c r="A44" s="424"/>
      <c r="B44" s="3450" t="s">
        <v>3467</v>
      </c>
      <c r="C44" s="3508" t="s">
        <v>3462</v>
      </c>
      <c r="D44" s="127">
        <v>100</v>
      </c>
      <c r="E44" s="420" t="str">
        <f>C44</f>
        <v>预售</v>
      </c>
      <c r="F44" s="376">
        <f>SUMIF(126:126,E44,127:127)-SUMIF(126:126,C44,127:127)+100</f>
        <v>100</v>
      </c>
      <c r="G44" s="420" t="str">
        <f>C44</f>
        <v>预售</v>
      </c>
      <c r="H44" s="127">
        <f>SUMIF(126:126,G44,127:127)-SUMIF(126:126,C44,127:127)+100</f>
        <v>100</v>
      </c>
      <c r="I44" s="420" t="str">
        <f>C44</f>
        <v>预售</v>
      </c>
      <c r="J44" s="127">
        <f>SUMIF(126:126,I44,127:127)-SUMIF(126:126,C44,127:127)+100</f>
        <v>100</v>
      </c>
      <c r="K44" s="1894"/>
      <c r="L44" s="2717"/>
      <c r="M44" s="2718"/>
      <c r="N44" s="2718"/>
      <c r="O44" s="2718"/>
      <c r="P44" s="3904"/>
      <c r="Q44" s="1343" t="str">
        <f t="shared" si="11"/>
        <v>销售形式</v>
      </c>
      <c r="R44" s="701" t="s">
        <v>18</v>
      </c>
      <c r="S44" s="702">
        <f t="shared" si="12"/>
        <v>100</v>
      </c>
      <c r="T44" s="701" t="s">
        <v>18</v>
      </c>
      <c r="U44" s="702">
        <f t="shared" si="13"/>
        <v>100</v>
      </c>
      <c r="V44" s="701" t="s">
        <v>18</v>
      </c>
      <c r="W44" s="702">
        <f t="shared" si="14"/>
        <v>100</v>
      </c>
      <c r="X44" s="703"/>
      <c r="Y44" s="3906"/>
      <c r="Z44" s="52" t="str">
        <f t="shared" si="18"/>
        <v>销售形式</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904"/>
      <c r="Q45" s="1352">
        <f t="shared" si="11"/>
        <v>111</v>
      </c>
      <c r="R45" s="705" t="s">
        <v>18</v>
      </c>
      <c r="S45" s="706">
        <f t="shared" si="12"/>
        <v>100</v>
      </c>
      <c r="T45" s="705" t="s">
        <v>18</v>
      </c>
      <c r="U45" s="706">
        <f t="shared" si="13"/>
        <v>100</v>
      </c>
      <c r="V45" s="705" t="s">
        <v>18</v>
      </c>
      <c r="W45" s="706">
        <f t="shared" si="14"/>
        <v>100</v>
      </c>
      <c r="X45" s="1355"/>
      <c r="Y45" s="390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905"/>
      <c r="Q46" s="1352">
        <f t="shared" si="11"/>
        <v>111</v>
      </c>
      <c r="R46" s="705" t="s">
        <v>17</v>
      </c>
      <c r="S46" s="706">
        <f t="shared" si="12"/>
        <v>100</v>
      </c>
      <c r="T46" s="705" t="s">
        <v>17</v>
      </c>
      <c r="U46" s="706">
        <f t="shared" si="13"/>
        <v>100</v>
      </c>
      <c r="V46" s="705" t="s">
        <v>17</v>
      </c>
      <c r="W46" s="706">
        <f t="shared" si="14"/>
        <v>100</v>
      </c>
      <c r="X46" s="1355"/>
      <c r="Y46" s="3907"/>
      <c r="Z46" s="1356">
        <f t="shared" si="18"/>
        <v>111</v>
      </c>
      <c r="AA46" s="1353">
        <f t="shared" si="15"/>
        <v>1</v>
      </c>
      <c r="AB46" s="1353">
        <f t="shared" si="16"/>
        <v>1</v>
      </c>
      <c r="AC46" s="1353">
        <f t="shared" si="17"/>
        <v>1</v>
      </c>
    </row>
    <row r="47" spans="1:29" ht="14.4">
      <c r="A47" s="430" t="s">
        <v>1708</v>
      </c>
      <c r="B47" s="431"/>
      <c r="C47" s="1154" t="s">
        <v>16</v>
      </c>
      <c r="D47" s="1155"/>
      <c r="E47" s="1156">
        <f>Sheet2!R3</f>
        <v>5971</v>
      </c>
      <c r="F47" s="1157"/>
      <c r="G47" s="1158">
        <f>Sheet2!R4</f>
        <v>6190</v>
      </c>
      <c r="H47" s="1159"/>
      <c r="I47" s="3507">
        <f>Sheet2!R5</f>
        <v>6600</v>
      </c>
      <c r="J47" s="1159"/>
      <c r="K47" s="1914"/>
      <c r="L47" s="2724"/>
      <c r="M47" s="2725"/>
      <c r="N47" s="2716"/>
      <c r="O47" s="2725"/>
      <c r="P47" s="3899" t="str">
        <f>A47</f>
        <v>成交单价（元/平方米）</v>
      </c>
      <c r="Q47" s="3899"/>
      <c r="R47" s="3900">
        <f>E47</f>
        <v>5971</v>
      </c>
      <c r="S47" s="3900"/>
      <c r="T47" s="3900">
        <f>G47</f>
        <v>6190</v>
      </c>
      <c r="U47" s="3900"/>
      <c r="V47" s="3900">
        <f>I47</f>
        <v>6600</v>
      </c>
      <c r="W47" s="3900"/>
      <c r="X47" s="690"/>
      <c r="Y47" s="712"/>
      <c r="Z47" s="690"/>
      <c r="AA47" s="690"/>
      <c r="AB47" s="690"/>
      <c r="AC47" s="690"/>
    </row>
    <row r="48" spans="1:29" ht="15" thickBot="1">
      <c r="A48" s="437" t="s">
        <v>1709</v>
      </c>
      <c r="B48" s="438"/>
      <c r="C48" s="1160">
        <f>R49</f>
        <v>6024</v>
      </c>
      <c r="D48" s="2317" t="s">
        <v>2138</v>
      </c>
      <c r="E48" s="1161">
        <f>R48</f>
        <v>5475</v>
      </c>
      <c r="F48" s="2318"/>
      <c r="G48" s="1160">
        <f>T48</f>
        <v>6067</v>
      </c>
      <c r="H48" s="2318"/>
      <c r="I48" s="1161">
        <f>V48</f>
        <v>6529</v>
      </c>
      <c r="J48" s="2318"/>
      <c r="K48" s="2319">
        <f>F48+H48+J48</f>
        <v>0</v>
      </c>
      <c r="L48" s="2724"/>
      <c r="M48" s="2725"/>
      <c r="N48" s="2725"/>
      <c r="O48" s="2725"/>
      <c r="P48" s="3899" t="str">
        <f>A48</f>
        <v>比较价值（元/平方米）</v>
      </c>
      <c r="Q48" s="3899"/>
      <c r="R48" s="3900">
        <f>IF(F1="售价",ROUND(PRODUCT(R47,AA7:AA46),0),ROUND(PRODUCT(R47,AA7:AA46),1))</f>
        <v>5475</v>
      </c>
      <c r="S48" s="3900"/>
      <c r="T48" s="3900">
        <f>IF(F1="售价",ROUND(PRODUCT(T47,AB7:AB46),0),ROUND(PRODUCT(T47,AB7:AB46),1))</f>
        <v>6067</v>
      </c>
      <c r="U48" s="3900"/>
      <c r="V48" s="3900">
        <f>IF(F1="售价",ROUND(PRODUCT(V47,AC7:AC46),0),ROUND(PRODUCT(V47,AC7:AC46),1))</f>
        <v>6529</v>
      </c>
      <c r="W48" s="3900"/>
      <c r="X48" s="690"/>
      <c r="Y48" s="690"/>
      <c r="Z48" s="690"/>
      <c r="AA48" s="690"/>
      <c r="AB48" s="690"/>
      <c r="AC48" s="690"/>
    </row>
    <row r="49" spans="1:29" ht="15" thickBot="1">
      <c r="A49" s="441" t="s">
        <v>1710</v>
      </c>
      <c r="B49" s="442"/>
      <c r="C49" s="1162">
        <f>R49</f>
        <v>6024</v>
      </c>
      <c r="D49" s="1163"/>
      <c r="E49" s="1163"/>
      <c r="F49" s="1163"/>
      <c r="G49" s="1163"/>
      <c r="H49" s="1163"/>
      <c r="I49" s="1163"/>
      <c r="J49" s="1163"/>
      <c r="K49" s="1915"/>
      <c r="L49" s="2724"/>
      <c r="M49" s="2725"/>
      <c r="N49" s="2725"/>
      <c r="O49" s="2725"/>
      <c r="P49" s="3896" t="str">
        <f>A49</f>
        <v>估价对象XX用房的比较价值（楼面单价，元/平方米）</v>
      </c>
      <c r="Q49" s="3897"/>
      <c r="R49" s="3898">
        <f>IF(F1="售价",ROUND(IF(D48="简单平均",AVERAGE(R48:V48),R48*F48+T48*H48+V48*J48),0),ROUND(IF(D48="简单平均",AVERAGE(R48:V48),R48*F48+T48*H48+V48*J48),1))</f>
        <v>6024</v>
      </c>
      <c r="S49" s="3898"/>
      <c r="T49" s="3898"/>
      <c r="U49" s="3898"/>
      <c r="V49" s="3898"/>
      <c r="W49" s="38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9.059360730593613E-2</v>
      </c>
      <c r="F52" s="449" t="str">
        <f>IF(OR(E52&gt;=0.3,E52&lt;=-0.3),"超过30%","")</f>
        <v/>
      </c>
      <c r="G52" s="448">
        <f>IF(G47&lt;G48,G48/G47-1,G47/G48-1)</f>
        <v>2.0273611340036357E-2</v>
      </c>
      <c r="H52" s="449" t="str">
        <f>IF(OR(G52&gt;=0.3,G52&lt;=-0.3),"超过30%","")</f>
        <v/>
      </c>
      <c r="I52" s="448">
        <f>IF(I47&lt;I48,I48/I47-1,I47/I48-1)</f>
        <v>1.0874559656915306E-2</v>
      </c>
      <c r="J52" s="449" t="str">
        <f>IF(OR(I52&gt;=0.3,I52&lt;=-0.3),"超过30%","")</f>
        <v/>
      </c>
      <c r="K52" s="2730"/>
      <c r="L52" s="2726"/>
      <c r="M52" s="2725"/>
      <c r="N52" s="2725"/>
      <c r="O52" s="2725"/>
    </row>
    <row r="53" spans="1:29" ht="13.5" customHeight="1">
      <c r="A53" s="2725"/>
      <c r="B53" s="2725"/>
      <c r="C53" s="446" t="s">
        <v>1712</v>
      </c>
      <c r="D53" s="450"/>
      <c r="E53" s="448">
        <f>IF(E48&lt;G48,G48/E48-1,E48/G48-1)</f>
        <v>0.10812785388127844</v>
      </c>
      <c r="F53" s="449" t="str">
        <f>IF(OR(E53&gt;=0.2,E53&lt;=-0.2),"超过20%","")</f>
        <v/>
      </c>
      <c r="G53" s="448">
        <f>IF(G48&lt;I48,I48/G48-1,G48/I48-1)</f>
        <v>7.6149662106477667E-2</v>
      </c>
      <c r="H53" s="449" t="str">
        <f>IF(OR(G53&gt;=0.2,G53&lt;=-0.2),"超过20%","")</f>
        <v/>
      </c>
      <c r="I53" s="448">
        <f>IF(I48&lt;E48,E48/I48-1,I48/E48-1)</f>
        <v>0.19251141552511419</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3.6677273488527895E-2</v>
      </c>
      <c r="F54" s="449" t="str">
        <f>IF(OR(E54&gt;=0.3,E54&lt;=-0.3),"超过30%","")</f>
        <v/>
      </c>
      <c r="G54" s="448">
        <f>IF(G47&lt;I47,I47/G47-1,G47/I47-1)</f>
        <v>6.6235864297253588E-2</v>
      </c>
      <c r="H54" s="449" t="str">
        <f>IF(OR(G54&gt;=0.3,G54&lt;=-0.3),"超过30%","")</f>
        <v/>
      </c>
      <c r="I54" s="448">
        <f>IF(I47&lt;E47,E47/I47-1,I47/E47-1)</f>
        <v>0.10534248869536089</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2006-7</v>
      </c>
      <c r="D58" s="1185">
        <f>EDATE(C58,-1)</f>
        <v>38869</v>
      </c>
      <c r="E58" s="1185">
        <f>EDATE(D58,-1)</f>
        <v>38838</v>
      </c>
      <c r="F58" s="1185">
        <f t="shared" ref="F58:O58" si="19">EDATE(E58,-1)</f>
        <v>38808</v>
      </c>
      <c r="G58" s="1185">
        <f t="shared" si="19"/>
        <v>38777</v>
      </c>
      <c r="H58" s="1185">
        <f t="shared" si="19"/>
        <v>38749</v>
      </c>
      <c r="I58" s="1185">
        <f t="shared" si="19"/>
        <v>38718</v>
      </c>
      <c r="J58" s="1185">
        <f t="shared" si="19"/>
        <v>38687</v>
      </c>
      <c r="K58" s="1185">
        <f t="shared" si="19"/>
        <v>38657</v>
      </c>
      <c r="L58" s="1185">
        <f t="shared" si="19"/>
        <v>38626</v>
      </c>
      <c r="M58" s="1185">
        <f t="shared" si="19"/>
        <v>38596</v>
      </c>
      <c r="N58" s="1185">
        <f t="shared" si="19"/>
        <v>38565</v>
      </c>
      <c r="O58" s="1185">
        <f t="shared" si="19"/>
        <v>38534</v>
      </c>
      <c r="P58" s="1181"/>
    </row>
    <row r="59" spans="1:29" s="108" customFormat="1">
      <c r="A59" s="458"/>
      <c r="B59" s="1919"/>
      <c r="C59" s="1183">
        <v>100</v>
      </c>
      <c r="D59" s="460">
        <f>100-C60</f>
        <v>99.8</v>
      </c>
      <c r="E59" s="461">
        <f>D59</f>
        <v>99.8</v>
      </c>
      <c r="F59" s="461">
        <f>D59</f>
        <v>99.8</v>
      </c>
      <c r="G59" s="461">
        <f>D59-C60</f>
        <v>99.6</v>
      </c>
      <c r="H59" s="461">
        <f>G59</f>
        <v>99.6</v>
      </c>
      <c r="I59" s="461">
        <f>G59</f>
        <v>99.6</v>
      </c>
      <c r="J59" s="461">
        <f>G59:G59-C60</f>
        <v>99.399999999999991</v>
      </c>
      <c r="K59" s="461">
        <f>J59</f>
        <v>99.399999999999991</v>
      </c>
      <c r="L59" s="461">
        <f>J59</f>
        <v>99.399999999999991</v>
      </c>
      <c r="M59" s="462"/>
      <c r="N59" s="461"/>
      <c r="O59" s="462"/>
      <c r="P59" s="1920"/>
    </row>
    <row r="60" spans="1:29" s="108" customFormat="1" ht="15" thickBot="1">
      <c r="A60" s="464" t="s">
        <v>1716</v>
      </c>
      <c r="B60" s="465"/>
      <c r="C60" s="466">
        <v>0.2</v>
      </c>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3506" t="s">
        <v>3462</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92</v>
      </c>
      <c r="E79" s="493">
        <f>D79-$K17</f>
        <v>84</v>
      </c>
      <c r="F79" s="493">
        <f>E79-$K17</f>
        <v>76</v>
      </c>
      <c r="G79" s="493">
        <f>F79-$K17</f>
        <v>68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95</v>
      </c>
      <c r="E81" s="493">
        <f>D81-$K19</f>
        <v>90</v>
      </c>
      <c r="F81" s="493">
        <f>E81-$K19</f>
        <v>85</v>
      </c>
      <c r="G81" s="493">
        <f>F81-$K19</f>
        <v>80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3412</v>
      </c>
      <c r="D88" s="3451" t="s">
        <v>3414</v>
      </c>
      <c r="E88" s="3451" t="s">
        <v>3417</v>
      </c>
      <c r="F88" s="3454" t="s">
        <v>3418</v>
      </c>
      <c r="G88" s="3451" t="s">
        <v>3419</v>
      </c>
      <c r="H88" s="503"/>
      <c r="I88" s="503"/>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4.4" thickTop="1">
      <c r="A90" s="502"/>
      <c r="B90" s="487" t="str">
        <f>B27</f>
        <v>楼层</v>
      </c>
      <c r="C90" s="503" t="str">
        <f>C27</f>
        <v>8/28</v>
      </c>
      <c r="D90" s="503" t="str">
        <f>E27</f>
        <v>18/26</v>
      </c>
      <c r="E90" s="3461" t="str">
        <f>G27</f>
        <v>14/16</v>
      </c>
      <c r="F90" s="3461" t="str">
        <f>I27</f>
        <v>5/16</v>
      </c>
      <c r="G90" s="503"/>
      <c r="H90" s="504"/>
      <c r="I90" s="504"/>
      <c r="J90" s="504"/>
      <c r="K90" s="504"/>
      <c r="L90" s="505"/>
      <c r="M90" s="506"/>
      <c r="N90" s="935"/>
      <c r="O90" s="935"/>
      <c r="P90" s="1923"/>
      <c r="Q90" s="508"/>
    </row>
    <row r="91" spans="1:17" s="422" customFormat="1" ht="14.4" thickBot="1">
      <c r="A91" s="502"/>
      <c r="B91" s="492"/>
      <c r="C91" s="509">
        <v>100</v>
      </c>
      <c r="D91" s="509">
        <v>104</v>
      </c>
      <c r="E91" s="509">
        <f>D91</f>
        <v>104</v>
      </c>
      <c r="F91" s="509">
        <v>100</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3406</v>
      </c>
      <c r="D100" s="3453" t="s">
        <v>3423</v>
      </c>
      <c r="E100" s="3453" t="s">
        <v>3424</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0(含)-80</v>
      </c>
      <c r="D102" s="527" t="str">
        <f t="shared" ref="D102:L102" si="26">D103&amp;"(含)"&amp;"-"&amp;E103</f>
        <v>80(含)-120</v>
      </c>
      <c r="E102" s="527" t="str">
        <f t="shared" si="26"/>
        <v>120(含)-150</v>
      </c>
      <c r="F102" s="527" t="str">
        <f t="shared" si="26"/>
        <v>150(含)-180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80</v>
      </c>
      <c r="E103" s="544">
        <v>120</v>
      </c>
      <c r="F103" s="544">
        <v>150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v>90</v>
      </c>
      <c r="I104" s="485"/>
      <c r="J104" s="485"/>
      <c r="K104" s="485"/>
      <c r="L104" s="485"/>
      <c r="M104" s="485"/>
      <c r="N104" s="934"/>
      <c r="O104" s="934"/>
      <c r="P104" s="1923"/>
      <c r="Q104" s="508"/>
    </row>
    <row r="105" spans="1:17" ht="15" thickTop="1">
      <c r="A105" s="548"/>
      <c r="B105" s="487" t="s">
        <v>1738</v>
      </c>
      <c r="C105" s="3451" t="s">
        <v>3400</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3416</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3407</v>
      </c>
      <c r="D116" s="3451" t="s">
        <v>3425</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3409</v>
      </c>
      <c r="D118" s="3452" t="s">
        <v>3410</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3411</v>
      </c>
      <c r="F122" s="3452" t="s">
        <v>3466</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98.5</v>
      </c>
      <c r="E123" s="493">
        <f t="shared" si="32"/>
        <v>97</v>
      </c>
      <c r="F123" s="493">
        <f t="shared" si="32"/>
        <v>95.5</v>
      </c>
      <c r="G123" s="493">
        <f t="shared" si="32"/>
        <v>94</v>
      </c>
      <c r="H123" s="493">
        <f t="shared" si="32"/>
        <v>92.5</v>
      </c>
      <c r="I123" s="493">
        <f t="shared" si="32"/>
        <v>91</v>
      </c>
      <c r="J123" s="493">
        <f t="shared" si="32"/>
        <v>89.5</v>
      </c>
      <c r="K123" s="493">
        <f t="shared" si="32"/>
        <v>88</v>
      </c>
      <c r="L123" s="493">
        <f t="shared" si="32"/>
        <v>86.5</v>
      </c>
      <c r="M123" s="493">
        <f t="shared" si="32"/>
        <v>85</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销售形式</v>
      </c>
      <c r="C126" s="503" t="str">
        <f>C44</f>
        <v>预售</v>
      </c>
      <c r="D126" s="503" t="str">
        <f>E44</f>
        <v>预售</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100.5</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23"/>
  <sheetViews>
    <sheetView workbookViewId="0">
      <selection activeCell="O22" sqref="O22"/>
    </sheetView>
  </sheetViews>
  <sheetFormatPr defaultRowHeight="14.4"/>
  <sheetData>
    <row r="1" spans="1:73" s="3491" customFormat="1" ht="14.25" customHeight="1">
      <c r="A1" s="3510"/>
      <c r="B1" s="3463"/>
      <c r="C1" s="3462"/>
      <c r="D1" s="3462"/>
      <c r="E1" s="3462"/>
      <c r="F1" s="3462"/>
      <c r="G1" s="3462"/>
      <c r="H1" s="3462"/>
      <c r="I1" s="3462"/>
      <c r="J1" s="3462"/>
      <c r="K1" s="3511"/>
      <c r="L1" s="3512"/>
      <c r="M1" s="3513"/>
      <c r="N1" s="3512"/>
      <c r="O1" s="3513"/>
      <c r="P1" s="3512"/>
      <c r="Q1" s="3513"/>
      <c r="R1" s="3513"/>
      <c r="S1" s="3512"/>
      <c r="T1" s="3514"/>
      <c r="U1" s="3512"/>
      <c r="V1" s="3511" t="s">
        <v>3427</v>
      </c>
      <c r="W1" s="3511"/>
      <c r="X1" s="3515"/>
      <c r="Y1" s="3512"/>
      <c r="Z1" s="3513" t="s">
        <v>3428</v>
      </c>
      <c r="AA1" s="3512"/>
      <c r="AB1" s="3512"/>
      <c r="AC1" s="3512"/>
      <c r="AD1" s="3512"/>
      <c r="AE1" s="3512"/>
      <c r="AF1" s="3463"/>
      <c r="AG1" s="3463"/>
      <c r="AH1" s="3511"/>
      <c r="AI1" s="3463"/>
      <c r="AJ1" s="3516"/>
      <c r="AK1" s="3463"/>
      <c r="AL1" s="3910" t="s">
        <v>3470</v>
      </c>
      <c r="AM1" s="3910"/>
      <c r="AN1" s="3509" t="s">
        <v>3471</v>
      </c>
      <c r="AO1" s="3509" t="s">
        <v>3472</v>
      </c>
      <c r="AP1" s="3509"/>
      <c r="AQ1" s="3509"/>
      <c r="AR1" s="3465"/>
      <c r="AS1" s="3465" t="s">
        <v>3473</v>
      </c>
      <c r="AT1" s="3465"/>
      <c r="AU1" s="3465"/>
      <c r="AV1" s="3509"/>
      <c r="AW1" s="3511"/>
      <c r="AX1" s="3511"/>
      <c r="AY1" s="3517"/>
      <c r="AZ1" s="3511"/>
      <c r="BA1" s="3511"/>
      <c r="BB1" s="3517"/>
      <c r="BC1" s="3511"/>
      <c r="BD1" s="3518"/>
      <c r="BE1" s="3511"/>
      <c r="BF1" s="3519"/>
      <c r="BG1" s="3520"/>
      <c r="BH1" s="3511"/>
      <c r="BI1" s="3511"/>
      <c r="BJ1" s="3466" t="s">
        <v>3474</v>
      </c>
      <c r="BK1" s="3521" t="s">
        <v>3475</v>
      </c>
      <c r="BL1" s="3511"/>
      <c r="BM1" s="3509"/>
      <c r="BN1" s="3509"/>
      <c r="BO1" s="3509"/>
      <c r="BP1" s="3509"/>
      <c r="BQ1" s="3465"/>
      <c r="BR1" s="3465"/>
    </row>
    <row r="2" spans="1:73" s="3470" customFormat="1" ht="15.6">
      <c r="A2" s="3467" t="s">
        <v>2645</v>
      </c>
      <c r="B2" s="3509" t="s">
        <v>3429</v>
      </c>
      <c r="C2" s="3467" t="s">
        <v>3430</v>
      </c>
      <c r="D2" s="3467" t="s">
        <v>3431</v>
      </c>
      <c r="E2" s="3467" t="s">
        <v>3432</v>
      </c>
      <c r="F2" s="3467" t="s">
        <v>3477</v>
      </c>
      <c r="G2" s="3467" t="s">
        <v>3478</v>
      </c>
      <c r="H2" s="3467" t="s">
        <v>3479</v>
      </c>
      <c r="I2" s="3467" t="s">
        <v>3480</v>
      </c>
      <c r="J2" s="3467" t="s">
        <v>3481</v>
      </c>
      <c r="K2" s="3509" t="s">
        <v>3433</v>
      </c>
      <c r="L2" s="3509" t="s">
        <v>3434</v>
      </c>
      <c r="M2" s="3509" t="s">
        <v>3482</v>
      </c>
      <c r="N2" s="3509" t="s">
        <v>3483</v>
      </c>
      <c r="O2" s="3509" t="s">
        <v>3484</v>
      </c>
      <c r="P2" s="3509" t="s">
        <v>3485</v>
      </c>
      <c r="Q2" s="3509" t="s">
        <v>3486</v>
      </c>
      <c r="R2" s="3509" t="s">
        <v>3487</v>
      </c>
      <c r="S2" s="3509" t="s">
        <v>3435</v>
      </c>
      <c r="T2" s="3468" t="s">
        <v>3436</v>
      </c>
      <c r="U2" s="3509" t="s">
        <v>3488</v>
      </c>
      <c r="V2" s="3509" t="s">
        <v>3437</v>
      </c>
      <c r="W2" s="3509" t="s">
        <v>3438</v>
      </c>
      <c r="X2" s="3468" t="s">
        <v>3439</v>
      </c>
      <c r="Y2" s="3509" t="s">
        <v>3489</v>
      </c>
      <c r="Z2" s="3509" t="s">
        <v>3490</v>
      </c>
      <c r="AA2" s="3509" t="s">
        <v>3491</v>
      </c>
      <c r="AB2" s="3509" t="s">
        <v>3440</v>
      </c>
      <c r="AC2" s="3509" t="s">
        <v>3492</v>
      </c>
      <c r="AD2" s="3509" t="s">
        <v>3441</v>
      </c>
      <c r="AE2" s="3509" t="s">
        <v>3442</v>
      </c>
      <c r="AF2" s="3509" t="s">
        <v>3443</v>
      </c>
      <c r="AG2" s="3509" t="s">
        <v>3444</v>
      </c>
      <c r="AH2" s="3509" t="s">
        <v>3445</v>
      </c>
      <c r="AI2" s="3509" t="s">
        <v>3493</v>
      </c>
      <c r="AJ2" s="3466" t="s">
        <v>3494</v>
      </c>
      <c r="AK2" s="3509" t="s">
        <v>3495</v>
      </c>
      <c r="AL2" s="3509" t="s">
        <v>3496</v>
      </c>
      <c r="AM2" s="3509" t="s">
        <v>3497</v>
      </c>
      <c r="AN2" s="3509" t="s">
        <v>3498</v>
      </c>
      <c r="AO2" s="3509" t="s">
        <v>3499</v>
      </c>
      <c r="AP2" s="3509" t="s">
        <v>3500</v>
      </c>
      <c r="AQ2" s="3509" t="s">
        <v>3501</v>
      </c>
      <c r="AR2" s="3465" t="s">
        <v>3502</v>
      </c>
      <c r="AS2" s="3465" t="s">
        <v>3490</v>
      </c>
      <c r="AT2" s="3465" t="s">
        <v>3491</v>
      </c>
      <c r="AU2" s="3465" t="s">
        <v>3504</v>
      </c>
      <c r="AV2" s="3522" t="s">
        <v>3505</v>
      </c>
      <c r="AW2" s="3509" t="s">
        <v>3506</v>
      </c>
      <c r="AX2" s="3523" t="s">
        <v>3507</v>
      </c>
      <c r="AY2" s="3467" t="s">
        <v>3508</v>
      </c>
      <c r="AZ2" s="3509" t="s">
        <v>3509</v>
      </c>
      <c r="BA2" s="3509" t="s">
        <v>3510</v>
      </c>
      <c r="BB2" s="3467" t="s">
        <v>3511</v>
      </c>
      <c r="BC2" s="3509" t="s">
        <v>3512</v>
      </c>
      <c r="BD2" s="3524" t="s">
        <v>3513</v>
      </c>
      <c r="BE2" s="3509" t="s">
        <v>3514</v>
      </c>
      <c r="BF2" s="3525" t="s">
        <v>3515</v>
      </c>
      <c r="BG2" s="3469" t="s">
        <v>3516</v>
      </c>
      <c r="BH2" s="3469" t="s">
        <v>3517</v>
      </c>
      <c r="BI2" s="3469" t="s">
        <v>3518</v>
      </c>
      <c r="BJ2" s="3466" t="s">
        <v>3519</v>
      </c>
      <c r="BK2" s="3521" t="s">
        <v>3520</v>
      </c>
      <c r="BL2" s="3465" t="s">
        <v>3521</v>
      </c>
      <c r="BM2" s="3509" t="s">
        <v>3522</v>
      </c>
      <c r="BN2" s="3509" t="s">
        <v>3523</v>
      </c>
      <c r="BO2" s="3509" t="s">
        <v>3524</v>
      </c>
      <c r="BP2" s="3509"/>
      <c r="BQ2" s="3465" t="s">
        <v>3525</v>
      </c>
      <c r="BR2" s="3465" t="s">
        <v>3526</v>
      </c>
    </row>
    <row r="3" spans="1:73" s="3577" customFormat="1" ht="12">
      <c r="A3" s="3552" t="s">
        <v>3527</v>
      </c>
      <c r="B3" s="3552" t="s">
        <v>3528</v>
      </c>
      <c r="C3" s="3552" t="s">
        <v>3529</v>
      </c>
      <c r="D3" s="3552" t="s">
        <v>3530</v>
      </c>
      <c r="E3" s="3552" t="s">
        <v>3446</v>
      </c>
      <c r="F3" s="3552" t="s">
        <v>4585</v>
      </c>
      <c r="G3" s="3552"/>
      <c r="H3" s="3552" t="s">
        <v>3532</v>
      </c>
      <c r="I3" s="3552"/>
      <c r="J3" s="3552" t="s">
        <v>3533</v>
      </c>
      <c r="K3" s="3552" t="s">
        <v>3534</v>
      </c>
      <c r="L3" s="3552">
        <v>62.71</v>
      </c>
      <c r="M3" s="3552" t="s">
        <v>3535</v>
      </c>
      <c r="N3" s="3552" t="s">
        <v>3536</v>
      </c>
      <c r="O3" s="3552">
        <v>48.8</v>
      </c>
      <c r="P3" s="3552" t="s">
        <v>3457</v>
      </c>
      <c r="Q3" s="3552">
        <v>374454</v>
      </c>
      <c r="R3" s="3552">
        <v>5971</v>
      </c>
      <c r="S3" s="3557">
        <v>37.130000000000003</v>
      </c>
      <c r="T3" s="3558">
        <v>371300</v>
      </c>
      <c r="U3" s="3552">
        <v>5921</v>
      </c>
      <c r="V3" s="3559">
        <v>0.1</v>
      </c>
      <c r="W3" s="3560">
        <v>33.409999999999997</v>
      </c>
      <c r="X3" s="3558">
        <v>334100</v>
      </c>
      <c r="Y3" s="3552">
        <v>2006</v>
      </c>
      <c r="Z3" s="3552">
        <v>1</v>
      </c>
      <c r="AA3" s="3552">
        <v>16</v>
      </c>
      <c r="AB3" s="3552">
        <v>1110</v>
      </c>
      <c r="AC3" s="3552" t="s">
        <v>3537</v>
      </c>
      <c r="AD3" s="3552"/>
      <c r="AE3" s="3552" t="s">
        <v>3447</v>
      </c>
      <c r="AF3" s="3552" t="s">
        <v>3455</v>
      </c>
      <c r="AG3" s="3552" t="s">
        <v>3448</v>
      </c>
      <c r="AH3" s="3552" t="s">
        <v>3453</v>
      </c>
      <c r="AI3" s="3552" t="s">
        <v>3538</v>
      </c>
      <c r="AJ3" s="3580">
        <v>39082</v>
      </c>
      <c r="AK3" s="3552" t="s">
        <v>3539</v>
      </c>
      <c r="AL3" s="3552">
        <v>67641700</v>
      </c>
      <c r="AM3" s="3552"/>
      <c r="AN3" s="3552" t="s">
        <v>3456</v>
      </c>
      <c r="AO3" s="3552"/>
      <c r="AP3" s="3552" t="s">
        <v>3450</v>
      </c>
      <c r="AQ3" s="3552" t="s">
        <v>3451</v>
      </c>
      <c r="AR3" s="3552"/>
      <c r="AS3" s="3552"/>
      <c r="AT3" s="3552"/>
      <c r="AU3" s="3552"/>
      <c r="AV3" s="3552" t="s">
        <v>3453</v>
      </c>
      <c r="AW3" s="3552" t="s">
        <v>3452</v>
      </c>
      <c r="AX3" s="3552" t="s">
        <v>3540</v>
      </c>
      <c r="AY3" s="3553">
        <v>168741</v>
      </c>
      <c r="AZ3" s="3552"/>
      <c r="BA3" s="3552"/>
      <c r="BB3" s="3553"/>
      <c r="BC3" s="3552"/>
      <c r="BD3" s="3581"/>
      <c r="BE3" s="3552"/>
      <c r="BF3" s="3582"/>
      <c r="BG3" s="3583">
        <v>38702</v>
      </c>
      <c r="BH3" s="3552"/>
      <c r="BI3" s="3552" t="s">
        <v>3541</v>
      </c>
      <c r="BJ3" s="3580">
        <v>38727</v>
      </c>
      <c r="BK3" s="3580"/>
      <c r="BL3" s="3552" t="s">
        <v>3454</v>
      </c>
      <c r="BM3" s="3552"/>
      <c r="BN3" s="3552"/>
      <c r="BO3" s="3552"/>
      <c r="BP3" s="3552"/>
      <c r="BQ3" s="3552">
        <v>7609</v>
      </c>
      <c r="BR3" s="3552">
        <v>7673</v>
      </c>
      <c r="BS3" s="3576"/>
      <c r="BT3" s="3576"/>
      <c r="BU3" s="3576"/>
    </row>
    <row r="4" spans="1:73" s="3585" customFormat="1">
      <c r="A4" s="3552" t="s">
        <v>3931</v>
      </c>
      <c r="B4" s="3552" t="s">
        <v>3932</v>
      </c>
      <c r="C4" s="3553" t="s">
        <v>3933</v>
      </c>
      <c r="D4" s="3553" t="s">
        <v>3934</v>
      </c>
      <c r="E4" s="3554" t="s">
        <v>3446</v>
      </c>
      <c r="F4" s="3554" t="s">
        <v>3545</v>
      </c>
      <c r="G4" s="3552"/>
      <c r="H4" s="3554" t="s">
        <v>3565</v>
      </c>
      <c r="I4" s="3555" t="s">
        <v>3935</v>
      </c>
      <c r="J4" s="3552" t="s">
        <v>3936</v>
      </c>
      <c r="K4" s="3552" t="s">
        <v>3549</v>
      </c>
      <c r="L4" s="3584">
        <v>90.61</v>
      </c>
      <c r="M4" s="3552">
        <v>14</v>
      </c>
      <c r="N4" s="3552" t="s">
        <v>3568</v>
      </c>
      <c r="O4" s="3552">
        <v>76.56</v>
      </c>
      <c r="P4" s="3552" t="s">
        <v>3457</v>
      </c>
      <c r="Q4" s="3556">
        <v>560876</v>
      </c>
      <c r="R4" s="3552">
        <v>6190</v>
      </c>
      <c r="S4" s="3557">
        <v>55.63</v>
      </c>
      <c r="T4" s="3558">
        <v>556300</v>
      </c>
      <c r="U4" s="3552">
        <v>6140</v>
      </c>
      <c r="V4" s="3559">
        <v>0.1</v>
      </c>
      <c r="W4" s="3560">
        <v>50.06</v>
      </c>
      <c r="X4" s="3561">
        <v>500600</v>
      </c>
      <c r="Y4" s="3562">
        <v>2006</v>
      </c>
      <c r="Z4" s="3562">
        <v>3</v>
      </c>
      <c r="AA4" s="3562">
        <v>20</v>
      </c>
      <c r="AB4" s="3552">
        <v>1500</v>
      </c>
      <c r="AC4" s="3552" t="s">
        <v>3537</v>
      </c>
      <c r="AD4" s="3563"/>
      <c r="AE4" s="3564" t="s">
        <v>3447</v>
      </c>
      <c r="AF4" s="3555" t="s">
        <v>3611</v>
      </c>
      <c r="AG4" s="3565" t="s">
        <v>3448</v>
      </c>
      <c r="AH4" s="3563"/>
      <c r="AI4" s="3564" t="s">
        <v>3538</v>
      </c>
      <c r="AJ4" s="3566">
        <v>39066</v>
      </c>
      <c r="AK4" s="3567">
        <v>3</v>
      </c>
      <c r="AL4" s="3562">
        <v>67641700</v>
      </c>
      <c r="AM4" s="3562"/>
      <c r="AN4" s="3564" t="s">
        <v>3594</v>
      </c>
      <c r="AO4" s="3552"/>
      <c r="AP4" s="3564" t="s">
        <v>3450</v>
      </c>
      <c r="AQ4" s="3562" t="s">
        <v>3451</v>
      </c>
      <c r="AR4" s="3562" t="s">
        <v>3453</v>
      </c>
      <c r="AS4" s="3562" t="s">
        <v>3453</v>
      </c>
      <c r="AT4" s="3562" t="s">
        <v>3453</v>
      </c>
      <c r="AU4" s="3562"/>
      <c r="AV4" s="3562"/>
      <c r="AW4" s="3562" t="s">
        <v>3452</v>
      </c>
      <c r="AX4" s="3562" t="s">
        <v>3540</v>
      </c>
      <c r="AY4" s="3568" t="s">
        <v>3937</v>
      </c>
      <c r="AZ4" s="3552" t="s">
        <v>3453</v>
      </c>
      <c r="BA4" s="3569" t="s">
        <v>3453</v>
      </c>
      <c r="BB4" s="3570" t="s">
        <v>3453</v>
      </c>
      <c r="BC4" s="3569" t="s">
        <v>3453</v>
      </c>
      <c r="BD4" s="3571" t="s">
        <v>3453</v>
      </c>
      <c r="BE4" s="3562" t="s">
        <v>3453</v>
      </c>
      <c r="BF4" s="3572" t="s">
        <v>3453</v>
      </c>
      <c r="BG4" s="3573">
        <v>38787</v>
      </c>
      <c r="BH4" s="3552" t="s">
        <v>3453</v>
      </c>
      <c r="BI4" s="3574" t="s">
        <v>3627</v>
      </c>
      <c r="BJ4" s="3575">
        <v>38792</v>
      </c>
      <c r="BK4" s="3575"/>
      <c r="BL4" s="3552" t="s">
        <v>3454</v>
      </c>
      <c r="BM4" s="3562"/>
      <c r="BN4" s="3562"/>
      <c r="BO4" s="3562"/>
      <c r="BP4" s="3562"/>
      <c r="BQ4" s="3562">
        <v>7266</v>
      </c>
      <c r="BR4" s="3562">
        <v>7326</v>
      </c>
      <c r="BS4" s="3576"/>
      <c r="BT4" s="3576"/>
      <c r="BU4" s="3576"/>
    </row>
    <row r="5" spans="1:73" s="3577" customFormat="1" ht="12">
      <c r="A5" s="3552" t="s">
        <v>4163</v>
      </c>
      <c r="B5" s="3552" t="s">
        <v>4164</v>
      </c>
      <c r="C5" s="3553" t="s">
        <v>4165</v>
      </c>
      <c r="D5" s="3553" t="s">
        <v>4166</v>
      </c>
      <c r="E5" s="3554" t="s">
        <v>3446</v>
      </c>
      <c r="F5" s="3554" t="s">
        <v>3545</v>
      </c>
      <c r="G5" s="3552"/>
      <c r="H5" s="3554" t="s">
        <v>4080</v>
      </c>
      <c r="I5" s="3555" t="s">
        <v>4167</v>
      </c>
      <c r="J5" s="3552" t="s">
        <v>3788</v>
      </c>
      <c r="K5" s="3552" t="s">
        <v>3549</v>
      </c>
      <c r="L5" s="3552">
        <v>93.6</v>
      </c>
      <c r="M5" s="3552">
        <v>5</v>
      </c>
      <c r="N5" s="3552" t="s">
        <v>3589</v>
      </c>
      <c r="O5" s="3552">
        <v>79.11</v>
      </c>
      <c r="P5" s="3552" t="s">
        <v>3457</v>
      </c>
      <c r="Q5" s="3556">
        <v>617760</v>
      </c>
      <c r="R5" s="3552">
        <v>6600</v>
      </c>
      <c r="S5" s="3557">
        <v>61.26</v>
      </c>
      <c r="T5" s="3558">
        <v>612600</v>
      </c>
      <c r="U5" s="3552">
        <v>6545</v>
      </c>
      <c r="V5" s="3559">
        <v>0.2</v>
      </c>
      <c r="W5" s="3560">
        <v>49</v>
      </c>
      <c r="X5" s="3561">
        <v>490000</v>
      </c>
      <c r="Y5" s="3562">
        <v>2006</v>
      </c>
      <c r="Z5" s="3562">
        <v>5</v>
      </c>
      <c r="AA5" s="3578">
        <v>8</v>
      </c>
      <c r="AB5" s="3579">
        <v>1500</v>
      </c>
      <c r="AC5" s="3552" t="s">
        <v>3537</v>
      </c>
      <c r="AD5" s="3563"/>
      <c r="AE5" s="3564" t="s">
        <v>3447</v>
      </c>
      <c r="AF5" s="3555" t="s">
        <v>3591</v>
      </c>
      <c r="AG5" s="3565" t="s">
        <v>3448</v>
      </c>
      <c r="AH5" s="3563"/>
      <c r="AI5" s="3564" t="s">
        <v>3538</v>
      </c>
      <c r="AJ5" s="3566">
        <v>39066</v>
      </c>
      <c r="AK5" s="3567">
        <v>5</v>
      </c>
      <c r="AL5" s="3562">
        <v>67641700</v>
      </c>
      <c r="AM5" s="3562"/>
      <c r="AN5" s="3564" t="s">
        <v>3569</v>
      </c>
      <c r="AO5" s="3552"/>
      <c r="AP5" s="3564" t="s">
        <v>3450</v>
      </c>
      <c r="AQ5" s="3562" t="s">
        <v>3451</v>
      </c>
      <c r="AR5" s="3562" t="s">
        <v>3453</v>
      </c>
      <c r="AS5" s="3562" t="s">
        <v>3453</v>
      </c>
      <c r="AT5" s="3562" t="s">
        <v>3453</v>
      </c>
      <c r="AU5" s="3562"/>
      <c r="AV5" s="3562"/>
      <c r="AW5" s="3562" t="s">
        <v>3452</v>
      </c>
      <c r="AX5" s="3562" t="s">
        <v>3540</v>
      </c>
      <c r="AY5" s="3568" t="s">
        <v>4168</v>
      </c>
      <c r="AZ5" s="3552" t="s">
        <v>3453</v>
      </c>
      <c r="BA5" s="3569" t="s">
        <v>3453</v>
      </c>
      <c r="BB5" s="3570" t="s">
        <v>3453</v>
      </c>
      <c r="BC5" s="3569" t="s">
        <v>3453</v>
      </c>
      <c r="BD5" s="3571" t="s">
        <v>3453</v>
      </c>
      <c r="BE5" s="3562" t="s">
        <v>3453</v>
      </c>
      <c r="BF5" s="3572" t="s">
        <v>3453</v>
      </c>
      <c r="BG5" s="3573">
        <v>38805</v>
      </c>
      <c r="BH5" s="3552" t="s">
        <v>3453</v>
      </c>
      <c r="BI5" s="3574" t="s">
        <v>3627</v>
      </c>
      <c r="BJ5" s="3575">
        <v>38836</v>
      </c>
      <c r="BK5" s="3575"/>
      <c r="BL5" s="3552" t="s">
        <v>3454</v>
      </c>
      <c r="BM5" s="3562"/>
      <c r="BN5" s="3562"/>
      <c r="BO5" s="3562"/>
      <c r="BP5" s="3562"/>
      <c r="BQ5" s="3562">
        <v>7744</v>
      </c>
      <c r="BR5" s="3562">
        <v>7809</v>
      </c>
      <c r="BS5" s="3576"/>
      <c r="BT5" s="3576"/>
      <c r="BU5" s="3576"/>
    </row>
    <row r="11" spans="1:73" s="3616" customFormat="1" ht="12">
      <c r="A11" s="3465"/>
      <c r="B11" s="3465"/>
      <c r="C11" s="3465"/>
      <c r="D11" s="3465"/>
      <c r="E11" s="3465"/>
      <c r="F11" s="3465"/>
      <c r="G11" s="3465"/>
      <c r="H11" s="3465"/>
      <c r="I11" s="3465"/>
      <c r="J11" s="3465"/>
      <c r="K11" s="3465"/>
      <c r="L11" s="3465"/>
      <c r="M11" s="3465"/>
      <c r="N11" s="3465"/>
      <c r="O11" s="3465"/>
      <c r="P11" s="3465"/>
      <c r="Q11" s="3465"/>
      <c r="R11" s="3465"/>
      <c r="S11" s="3465"/>
      <c r="T11" s="3465"/>
      <c r="U11" s="3465"/>
      <c r="V11" s="3465"/>
      <c r="W11" s="3612"/>
      <c r="X11" s="3465"/>
      <c r="Y11" s="3465"/>
      <c r="Z11" s="3465"/>
      <c r="AA11" s="3465"/>
      <c r="AB11" s="3465"/>
      <c r="AC11" s="3613"/>
      <c r="AD11" s="3465"/>
      <c r="AE11" s="3465"/>
      <c r="AF11" s="3613"/>
      <c r="AG11" s="3465"/>
      <c r="AH11" s="3465"/>
      <c r="AI11" s="3465"/>
      <c r="AJ11" s="3465"/>
      <c r="AK11" s="3465"/>
      <c r="AL11" s="3465"/>
      <c r="AM11" s="3465"/>
      <c r="AN11" s="3465"/>
      <c r="AO11" s="3465"/>
      <c r="AP11" s="3465"/>
      <c r="AQ11" s="3465"/>
      <c r="AR11" s="3465"/>
      <c r="AS11" s="3465"/>
      <c r="AT11" s="3614"/>
      <c r="AU11" s="3615"/>
      <c r="AV11" s="3465" t="s">
        <v>4507</v>
      </c>
      <c r="AW11" s="3465"/>
      <c r="AX11" s="3613"/>
      <c r="AY11" s="3465" t="s">
        <v>4508</v>
      </c>
      <c r="AZ11" s="3465"/>
      <c r="BA11" s="3613"/>
      <c r="BB11" s="3465" t="s">
        <v>4509</v>
      </c>
      <c r="BC11" s="3465"/>
      <c r="BD11" s="3613"/>
      <c r="BE11" s="3465" t="s">
        <v>4510</v>
      </c>
      <c r="BF11" s="3465"/>
      <c r="BG11" s="3613"/>
      <c r="BH11" s="3613"/>
    </row>
    <row r="12" spans="1:73" s="3616" customFormat="1" ht="11.25" customHeight="1">
      <c r="A12" s="3465" t="s">
        <v>4511</v>
      </c>
      <c r="B12" s="3465" t="s">
        <v>4512</v>
      </c>
      <c r="C12" s="3465" t="s">
        <v>4513</v>
      </c>
      <c r="D12" s="3465" t="s">
        <v>3432</v>
      </c>
      <c r="E12" s="3465" t="s">
        <v>4514</v>
      </c>
      <c r="F12" s="3465" t="s">
        <v>4515</v>
      </c>
      <c r="G12" s="3465" t="s">
        <v>4516</v>
      </c>
      <c r="H12" s="3465" t="s">
        <v>4517</v>
      </c>
      <c r="I12" s="3465" t="s">
        <v>4518</v>
      </c>
      <c r="J12" s="3465" t="s">
        <v>4519</v>
      </c>
      <c r="K12" s="3465" t="s">
        <v>4520</v>
      </c>
      <c r="L12" s="3465" t="s">
        <v>4521</v>
      </c>
      <c r="M12" s="3465" t="s">
        <v>4522</v>
      </c>
      <c r="N12" s="3465" t="s">
        <v>4523</v>
      </c>
      <c r="O12" s="3465" t="s">
        <v>4524</v>
      </c>
      <c r="P12" s="3465" t="s">
        <v>4525</v>
      </c>
      <c r="Q12" s="3465" t="s">
        <v>4526</v>
      </c>
      <c r="R12" s="3465" t="s">
        <v>4527</v>
      </c>
      <c r="S12" s="3465" t="s">
        <v>4528</v>
      </c>
      <c r="T12" s="3465" t="s">
        <v>4529</v>
      </c>
      <c r="U12" s="3465" t="s">
        <v>4527</v>
      </c>
      <c r="V12" s="3465" t="s">
        <v>4528</v>
      </c>
      <c r="W12" s="3612" t="s">
        <v>4530</v>
      </c>
      <c r="X12" s="3465" t="s">
        <v>4531</v>
      </c>
      <c r="Y12" s="3465" t="s">
        <v>4532</v>
      </c>
      <c r="Z12" s="3465" t="s">
        <v>4533</v>
      </c>
      <c r="AA12" s="3465" t="s">
        <v>4534</v>
      </c>
      <c r="AB12" s="3465" t="s">
        <v>3445</v>
      </c>
      <c r="AC12" s="3613" t="s">
        <v>4535</v>
      </c>
      <c r="AD12" s="3465" t="s">
        <v>4536</v>
      </c>
      <c r="AE12" s="3465" t="s">
        <v>4537</v>
      </c>
      <c r="AF12" s="3613" t="s">
        <v>4538</v>
      </c>
      <c r="AG12" s="3465" t="s">
        <v>4539</v>
      </c>
      <c r="AH12" s="3465" t="s">
        <v>4540</v>
      </c>
      <c r="AI12" s="3465" t="s">
        <v>4541</v>
      </c>
      <c r="AJ12" s="3465" t="s">
        <v>4542</v>
      </c>
      <c r="AK12" s="3465" t="s">
        <v>4527</v>
      </c>
      <c r="AL12" s="3465" t="s">
        <v>4528</v>
      </c>
      <c r="AM12" s="3465" t="s">
        <v>4543</v>
      </c>
      <c r="AN12" s="3465" t="s">
        <v>4544</v>
      </c>
      <c r="AO12" s="3465" t="s">
        <v>4545</v>
      </c>
      <c r="AP12" s="3465" t="s">
        <v>4546</v>
      </c>
      <c r="AQ12" s="3465" t="s">
        <v>4547</v>
      </c>
      <c r="AR12" s="3465" t="s">
        <v>4548</v>
      </c>
      <c r="AS12" s="3465" t="s">
        <v>4549</v>
      </c>
      <c r="AT12" s="3614" t="s">
        <v>4550</v>
      </c>
      <c r="AU12" s="3615" t="s">
        <v>4551</v>
      </c>
      <c r="AV12" s="3465" t="s">
        <v>4552</v>
      </c>
      <c r="AW12" s="3465" t="s">
        <v>4553</v>
      </c>
      <c r="AX12" s="3613" t="s">
        <v>4554</v>
      </c>
      <c r="AY12" s="3465" t="s">
        <v>4552</v>
      </c>
      <c r="AZ12" s="3465" t="s">
        <v>4553</v>
      </c>
      <c r="BA12" s="3613" t="s">
        <v>4554</v>
      </c>
      <c r="BB12" s="3465" t="s">
        <v>4552</v>
      </c>
      <c r="BC12" s="3465" t="s">
        <v>4553</v>
      </c>
      <c r="BD12" s="3613" t="s">
        <v>4554</v>
      </c>
      <c r="BE12" s="3465" t="s">
        <v>4552</v>
      </c>
      <c r="BF12" s="3465" t="s">
        <v>4553</v>
      </c>
      <c r="BG12" s="3613" t="s">
        <v>4554</v>
      </c>
      <c r="BH12" s="3613" t="s">
        <v>4555</v>
      </c>
    </row>
    <row r="13" spans="1:73" s="3490" customFormat="1" ht="12" customHeight="1">
      <c r="A13" s="3625" t="s">
        <v>4586</v>
      </c>
      <c r="B13" s="3631" t="s">
        <v>4587</v>
      </c>
      <c r="C13" s="3631" t="s">
        <v>4588</v>
      </c>
      <c r="D13" s="3631" t="s">
        <v>3446</v>
      </c>
      <c r="E13" s="3631" t="s">
        <v>3534</v>
      </c>
      <c r="F13" s="3632" t="s">
        <v>4589</v>
      </c>
      <c r="G13" s="3633" t="s">
        <v>4590</v>
      </c>
      <c r="H13" s="3631"/>
      <c r="I13" s="3631" t="s">
        <v>4591</v>
      </c>
      <c r="J13" s="3631" t="s">
        <v>4592</v>
      </c>
      <c r="K13" s="3631" t="s">
        <v>4593</v>
      </c>
      <c r="L13" s="3633">
        <v>9184</v>
      </c>
      <c r="M13" s="3631"/>
      <c r="N13" s="3631"/>
      <c r="O13" s="3631"/>
      <c r="P13" s="3631"/>
      <c r="Q13" s="3633">
        <v>2004</v>
      </c>
      <c r="R13" s="3633">
        <v>1</v>
      </c>
      <c r="S13" s="3633">
        <v>20</v>
      </c>
      <c r="T13" s="3633">
        <v>2074</v>
      </c>
      <c r="U13" s="3633">
        <v>1</v>
      </c>
      <c r="V13" s="3633">
        <v>19</v>
      </c>
      <c r="W13" s="3622">
        <f t="shared" ref="W13" ca="1" si="0">YEAR(TODAY())-Q13+(MONTH(TODAY())-R13)/12</f>
        <v>20.833333333333332</v>
      </c>
      <c r="X13" s="3631" t="s">
        <v>4594</v>
      </c>
      <c r="Y13" s="3631" t="s">
        <v>4595</v>
      </c>
      <c r="Z13" s="3631" t="s">
        <v>4596</v>
      </c>
      <c r="AA13" s="3631" t="s">
        <v>4597</v>
      </c>
      <c r="AB13" s="3631" t="s">
        <v>4598</v>
      </c>
      <c r="AC13" s="3634">
        <v>38604</v>
      </c>
      <c r="AD13" s="3635" t="s">
        <v>4599</v>
      </c>
      <c r="AE13" s="3636"/>
      <c r="AF13" s="3637"/>
      <c r="AG13" s="3633">
        <v>60</v>
      </c>
      <c r="AH13" s="3632" t="s">
        <v>4600</v>
      </c>
      <c r="AI13" s="3635" t="s">
        <v>4601</v>
      </c>
      <c r="AJ13" s="3638">
        <v>2007</v>
      </c>
      <c r="AK13" s="3638">
        <v>11</v>
      </c>
      <c r="AL13" s="3638">
        <v>1</v>
      </c>
      <c r="AM13" s="3635" t="s">
        <v>4602</v>
      </c>
      <c r="AN13" s="3635" t="s">
        <v>3539</v>
      </c>
      <c r="AO13" s="3631"/>
      <c r="AP13" s="3631"/>
      <c r="AQ13" s="3631"/>
      <c r="AR13" s="3631"/>
      <c r="AS13" s="3631"/>
      <c r="AT13" s="3631" t="s">
        <v>4603</v>
      </c>
      <c r="AU13" s="3634"/>
      <c r="AV13" s="3631">
        <v>5700</v>
      </c>
      <c r="AW13" s="3631"/>
      <c r="AX13" s="3634">
        <v>38729</v>
      </c>
      <c r="AY13" s="3631"/>
      <c r="AZ13" s="3631"/>
      <c r="BA13" s="3634"/>
      <c r="BB13" s="3631"/>
      <c r="BC13" s="3631"/>
      <c r="BD13" s="3634"/>
      <c r="BE13" s="3631"/>
      <c r="BF13" s="3631"/>
      <c r="BG13" s="3634"/>
      <c r="BH13" s="3630" t="s">
        <v>4604</v>
      </c>
    </row>
    <row r="14" spans="1:73" s="3490" customFormat="1" ht="12" customHeight="1">
      <c r="A14" s="3617" t="s">
        <v>4556</v>
      </c>
      <c r="B14" s="3618" t="s">
        <v>4557</v>
      </c>
      <c r="C14" s="3618" t="s">
        <v>4558</v>
      </c>
      <c r="D14" s="3619" t="s">
        <v>2742</v>
      </c>
      <c r="E14" s="3618" t="s">
        <v>4559</v>
      </c>
      <c r="F14" s="3618" t="s">
        <v>4560</v>
      </c>
      <c r="G14" s="3619">
        <v>16</v>
      </c>
      <c r="H14" s="3618"/>
      <c r="I14" s="3620" t="s">
        <v>4561</v>
      </c>
      <c r="J14" s="3618" t="s">
        <v>4562</v>
      </c>
      <c r="K14" s="3620" t="s">
        <v>4563</v>
      </c>
      <c r="L14" s="3618">
        <v>66421.3</v>
      </c>
      <c r="M14" s="3618" t="s">
        <v>4564</v>
      </c>
      <c r="N14" s="3618" t="s">
        <v>4565</v>
      </c>
      <c r="O14" s="3618" t="s">
        <v>4566</v>
      </c>
      <c r="P14" s="3618" t="s">
        <v>4567</v>
      </c>
      <c r="Q14" s="3621">
        <v>2004</v>
      </c>
      <c r="R14" s="3621">
        <v>8</v>
      </c>
      <c r="S14" s="3621">
        <v>24</v>
      </c>
      <c r="T14" s="3621">
        <v>2074</v>
      </c>
      <c r="U14" s="3621">
        <v>8</v>
      </c>
      <c r="V14" s="3621">
        <v>23</v>
      </c>
      <c r="W14" s="3622">
        <v>20.25</v>
      </c>
      <c r="X14" s="3618" t="s">
        <v>4568</v>
      </c>
      <c r="Y14" s="3618" t="s">
        <v>4569</v>
      </c>
      <c r="Z14" s="3618" t="s">
        <v>4570</v>
      </c>
      <c r="AA14" s="3618" t="s">
        <v>4571</v>
      </c>
      <c r="AB14" s="3618" t="s">
        <v>4080</v>
      </c>
      <c r="AC14" s="3623">
        <v>38627</v>
      </c>
      <c r="AD14" s="3618" t="s">
        <v>4572</v>
      </c>
      <c r="AE14" s="3618"/>
      <c r="AF14" s="3624"/>
      <c r="AG14" s="3618">
        <v>60</v>
      </c>
      <c r="AH14" s="3618" t="s">
        <v>4573</v>
      </c>
      <c r="AI14" s="3618" t="s">
        <v>4220</v>
      </c>
      <c r="AJ14" s="3619">
        <v>2007</v>
      </c>
      <c r="AK14" s="3619">
        <v>1</v>
      </c>
      <c r="AL14" s="3619">
        <v>12</v>
      </c>
      <c r="AM14" s="3621" t="s">
        <v>4574</v>
      </c>
      <c r="AN14" s="3621" t="s">
        <v>3625</v>
      </c>
      <c r="AO14" s="3621"/>
      <c r="AP14" s="3621"/>
      <c r="AQ14" s="3618"/>
      <c r="AR14" s="3618" t="s">
        <v>4575</v>
      </c>
      <c r="AS14" s="3618" t="s">
        <v>4576</v>
      </c>
      <c r="AT14" s="3625"/>
      <c r="AU14" s="3626"/>
      <c r="AV14" s="3627"/>
      <c r="AW14" s="3627"/>
      <c r="AX14" s="3628"/>
      <c r="AY14" s="3627">
        <v>4500</v>
      </c>
      <c r="AZ14" s="3627"/>
      <c r="BA14" s="3628">
        <v>38448</v>
      </c>
      <c r="BB14" s="3629">
        <v>4700</v>
      </c>
      <c r="BC14" s="3629"/>
      <c r="BD14" s="3623">
        <v>38547</v>
      </c>
      <c r="BE14" s="3627"/>
      <c r="BF14" s="3627"/>
      <c r="BG14" s="3628"/>
      <c r="BH14" s="3630" t="s">
        <v>4572</v>
      </c>
    </row>
    <row r="15" spans="1:73" s="3490" customFormat="1" ht="12" customHeight="1">
      <c r="A15" s="3617" t="s">
        <v>4556</v>
      </c>
      <c r="B15" s="3618" t="s">
        <v>4557</v>
      </c>
      <c r="C15" s="3618" t="s">
        <v>4577</v>
      </c>
      <c r="D15" s="3619" t="s">
        <v>2742</v>
      </c>
      <c r="E15" s="3618" t="s">
        <v>3588</v>
      </c>
      <c r="F15" s="3618"/>
      <c r="G15" s="3619">
        <v>16</v>
      </c>
      <c r="H15" s="3618"/>
      <c r="I15" s="3620" t="s">
        <v>4561</v>
      </c>
      <c r="J15" s="3618" t="s">
        <v>4562</v>
      </c>
      <c r="K15" s="3620" t="s">
        <v>4578</v>
      </c>
      <c r="L15" s="3618">
        <v>66421.3</v>
      </c>
      <c r="M15" s="3618" t="s">
        <v>4564</v>
      </c>
      <c r="N15" s="3618" t="s">
        <v>4565</v>
      </c>
      <c r="O15" s="3618" t="s">
        <v>4566</v>
      </c>
      <c r="P15" s="3618" t="s">
        <v>4567</v>
      </c>
      <c r="Q15" s="3621">
        <v>2004</v>
      </c>
      <c r="R15" s="3621">
        <v>8</v>
      </c>
      <c r="S15" s="3621">
        <v>24</v>
      </c>
      <c r="T15" s="3621">
        <v>2074</v>
      </c>
      <c r="U15" s="3621">
        <v>8</v>
      </c>
      <c r="V15" s="3621">
        <v>23</v>
      </c>
      <c r="W15" s="3622">
        <v>20.25</v>
      </c>
      <c r="X15" s="3618" t="s">
        <v>4568</v>
      </c>
      <c r="Y15" s="3618" t="s">
        <v>4579</v>
      </c>
      <c r="Z15" s="3618" t="s">
        <v>4580</v>
      </c>
      <c r="AA15" s="3618" t="s">
        <v>4581</v>
      </c>
      <c r="AB15" s="3618" t="s">
        <v>4582</v>
      </c>
      <c r="AC15" s="3623">
        <v>38453</v>
      </c>
      <c r="AD15" s="3618" t="s">
        <v>4572</v>
      </c>
      <c r="AE15" s="3618"/>
      <c r="AF15" s="3624"/>
      <c r="AG15" s="3618">
        <v>60</v>
      </c>
      <c r="AH15" s="3618" t="s">
        <v>3627</v>
      </c>
      <c r="AI15" s="3618" t="s">
        <v>4220</v>
      </c>
      <c r="AJ15" s="3619">
        <v>2007</v>
      </c>
      <c r="AK15" s="3619">
        <v>1</v>
      </c>
      <c r="AL15" s="3619">
        <v>12</v>
      </c>
      <c r="AM15" s="3621" t="s">
        <v>4583</v>
      </c>
      <c r="AN15" s="3621" t="s">
        <v>4584</v>
      </c>
      <c r="AO15" s="3621"/>
      <c r="AP15" s="3621"/>
      <c r="AQ15" s="3618"/>
      <c r="AR15" s="3618" t="s">
        <v>4575</v>
      </c>
      <c r="AS15" s="3618" t="s">
        <v>4576</v>
      </c>
      <c r="AT15" s="3625"/>
      <c r="AU15" s="3626"/>
      <c r="AV15" s="3627"/>
      <c r="AW15" s="3627"/>
      <c r="AX15" s="3628"/>
      <c r="AY15" s="3627">
        <v>4500</v>
      </c>
      <c r="AZ15" s="3627"/>
      <c r="BA15" s="3628">
        <v>38448</v>
      </c>
      <c r="BB15" s="3629">
        <v>4700</v>
      </c>
      <c r="BC15" s="3629"/>
      <c r="BD15" s="3623">
        <v>38547</v>
      </c>
      <c r="BE15" s="3627"/>
      <c r="BF15" s="3627"/>
      <c r="BG15" s="3628"/>
      <c r="BH15" s="3630" t="s">
        <v>4572</v>
      </c>
    </row>
    <row r="19" spans="1:51" s="3640" customFormat="1" ht="12">
      <c r="A19" s="3465"/>
      <c r="B19" s="3465"/>
      <c r="C19" s="3465"/>
      <c r="D19" s="3465"/>
      <c r="E19" s="3465"/>
      <c r="F19" s="3465"/>
      <c r="G19" s="3465"/>
      <c r="H19" s="3465"/>
      <c r="I19" s="3465" t="s">
        <v>4608</v>
      </c>
      <c r="J19" s="3465" t="s">
        <v>4609</v>
      </c>
      <c r="K19" s="3465" t="s">
        <v>4610</v>
      </c>
      <c r="L19" s="3465" t="s">
        <v>4608</v>
      </c>
      <c r="M19" s="3465" t="s">
        <v>4609</v>
      </c>
      <c r="N19" s="3465" t="s">
        <v>4610</v>
      </c>
      <c r="O19" s="3465" t="s">
        <v>4608</v>
      </c>
      <c r="P19" s="3465" t="s">
        <v>4609</v>
      </c>
      <c r="Q19" s="3465" t="s">
        <v>4610</v>
      </c>
      <c r="R19" s="3465"/>
      <c r="S19" s="3465" t="s">
        <v>4608</v>
      </c>
      <c r="T19" s="3465" t="s">
        <v>4609</v>
      </c>
      <c r="U19" s="3465" t="s">
        <v>4610</v>
      </c>
      <c r="V19" s="3465"/>
      <c r="W19" s="3465" t="s">
        <v>4611</v>
      </c>
      <c r="X19" s="3465"/>
      <c r="Y19" s="3465"/>
      <c r="Z19" s="3465"/>
      <c r="AA19" s="3465"/>
      <c r="AB19" s="3465"/>
      <c r="AC19" s="3465"/>
      <c r="AD19" s="3465"/>
      <c r="AE19" s="3465"/>
      <c r="AF19" s="3465"/>
      <c r="AG19" s="3465"/>
      <c r="AH19" s="3465"/>
      <c r="AI19" s="3465"/>
      <c r="AJ19" s="3465"/>
      <c r="AK19" s="3465"/>
      <c r="AL19" s="3465"/>
      <c r="AM19" s="3465"/>
      <c r="AN19" s="3465"/>
      <c r="AO19" s="3465"/>
      <c r="AP19" s="3639"/>
      <c r="AQ19" s="3465"/>
      <c r="AR19" s="3465"/>
      <c r="AS19" s="3465"/>
      <c r="AT19" s="3465"/>
      <c r="AU19" s="3465" t="s">
        <v>4612</v>
      </c>
      <c r="AV19" s="3465"/>
      <c r="AW19" s="3465"/>
      <c r="AX19" s="3465"/>
      <c r="AY19" s="3465"/>
    </row>
    <row r="20" spans="1:51" s="3640" customFormat="1" ht="12">
      <c r="A20" s="3641" t="s">
        <v>4613</v>
      </c>
      <c r="B20" s="3641" t="s">
        <v>4512</v>
      </c>
      <c r="C20" s="3641" t="s">
        <v>3432</v>
      </c>
      <c r="D20" s="3641" t="s">
        <v>4513</v>
      </c>
      <c r="E20" s="3641" t="s">
        <v>4614</v>
      </c>
      <c r="F20" s="3641" t="s">
        <v>4615</v>
      </c>
      <c r="G20" s="3641" t="s">
        <v>4616</v>
      </c>
      <c r="H20" s="3641" t="s">
        <v>4617</v>
      </c>
      <c r="I20" s="3641" t="s">
        <v>4618</v>
      </c>
      <c r="J20" s="3641" t="s">
        <v>4618</v>
      </c>
      <c r="K20" s="3641" t="s">
        <v>4618</v>
      </c>
      <c r="L20" s="3641" t="s">
        <v>4619</v>
      </c>
      <c r="M20" s="3641" t="s">
        <v>4619</v>
      </c>
      <c r="N20" s="3641" t="s">
        <v>4619</v>
      </c>
      <c r="O20" s="3641" t="s">
        <v>4620</v>
      </c>
      <c r="P20" s="3641" t="s">
        <v>4620</v>
      </c>
      <c r="Q20" s="3641" t="s">
        <v>4620</v>
      </c>
      <c r="R20" s="3641" t="s">
        <v>4621</v>
      </c>
      <c r="S20" s="3641" t="s">
        <v>4622</v>
      </c>
      <c r="T20" s="3641" t="s">
        <v>4622</v>
      </c>
      <c r="U20" s="3641" t="s">
        <v>4622</v>
      </c>
      <c r="V20" s="3641" t="s">
        <v>4623</v>
      </c>
      <c r="W20" s="3641" t="s">
        <v>4624</v>
      </c>
      <c r="X20" s="3641" t="s">
        <v>4625</v>
      </c>
      <c r="Y20" s="3641" t="s">
        <v>4626</v>
      </c>
      <c r="Z20" s="3641" t="s">
        <v>4627</v>
      </c>
      <c r="AA20" s="3641" t="s">
        <v>4628</v>
      </c>
      <c r="AB20" s="3641" t="s">
        <v>4629</v>
      </c>
      <c r="AC20" s="3641" t="s">
        <v>4630</v>
      </c>
      <c r="AD20" s="3641" t="s">
        <v>4631</v>
      </c>
      <c r="AE20" s="3641" t="s">
        <v>4632</v>
      </c>
      <c r="AF20" s="3641" t="s">
        <v>4633</v>
      </c>
      <c r="AG20" s="3641" t="s">
        <v>4634</v>
      </c>
      <c r="AH20" s="3641" t="s">
        <v>4635</v>
      </c>
      <c r="AI20" s="3641" t="s">
        <v>4636</v>
      </c>
      <c r="AJ20" s="3641" t="s">
        <v>4637</v>
      </c>
      <c r="AK20" s="3641" t="s">
        <v>4638</v>
      </c>
      <c r="AL20" s="3641" t="s">
        <v>4639</v>
      </c>
      <c r="AM20" s="3641" t="s">
        <v>4640</v>
      </c>
      <c r="AN20" s="3641" t="s">
        <v>4641</v>
      </c>
      <c r="AO20" s="3641" t="s">
        <v>4642</v>
      </c>
      <c r="AP20" s="3642" t="s">
        <v>4643</v>
      </c>
      <c r="AQ20" s="3641" t="s">
        <v>4644</v>
      </c>
      <c r="AR20" s="3641" t="s">
        <v>4645</v>
      </c>
      <c r="AS20" s="3641" t="s">
        <v>4540</v>
      </c>
      <c r="AT20" s="3641" t="s">
        <v>4541</v>
      </c>
      <c r="AU20" s="3641" t="s">
        <v>4646</v>
      </c>
      <c r="AV20" s="3641" t="s">
        <v>4527</v>
      </c>
      <c r="AW20" s="3641" t="s">
        <v>4528</v>
      </c>
      <c r="AX20" s="3641" t="s">
        <v>4647</v>
      </c>
      <c r="AY20" s="3641" t="s">
        <v>4544</v>
      </c>
    </row>
    <row r="21" spans="1:51" s="3490" customFormat="1" ht="12" customHeight="1">
      <c r="A21" s="3620"/>
      <c r="B21" s="3620" t="s">
        <v>4697</v>
      </c>
      <c r="C21" s="3620" t="s">
        <v>4698</v>
      </c>
      <c r="D21" s="3620" t="s">
        <v>4699</v>
      </c>
      <c r="E21" s="3620" t="s">
        <v>4680</v>
      </c>
      <c r="F21" s="3620" t="s">
        <v>4700</v>
      </c>
      <c r="G21" s="3620" t="s">
        <v>4701</v>
      </c>
      <c r="H21" s="3620" t="s">
        <v>4702</v>
      </c>
      <c r="I21" s="3620" t="s">
        <v>4684</v>
      </c>
      <c r="J21" s="3620" t="s">
        <v>4703</v>
      </c>
      <c r="K21" s="3620" t="s">
        <v>4703</v>
      </c>
      <c r="L21" s="3620" t="s">
        <v>4684</v>
      </c>
      <c r="M21" s="3620" t="s">
        <v>4686</v>
      </c>
      <c r="N21" s="3620" t="s">
        <v>4704</v>
      </c>
      <c r="O21" s="3620" t="s">
        <v>4689</v>
      </c>
      <c r="P21" s="3620" t="s">
        <v>4689</v>
      </c>
      <c r="Q21" s="3620" t="s">
        <v>4689</v>
      </c>
      <c r="R21" s="3620" t="s">
        <v>4705</v>
      </c>
      <c r="S21" s="3620" t="s">
        <v>4659</v>
      </c>
      <c r="T21" s="3620" t="s">
        <v>4706</v>
      </c>
      <c r="U21" s="3620" t="s">
        <v>4707</v>
      </c>
      <c r="V21" s="3620"/>
      <c r="W21" s="3620"/>
      <c r="X21" s="3620" t="s">
        <v>4708</v>
      </c>
      <c r="Y21" s="3620"/>
      <c r="Z21" s="3620" t="s">
        <v>4692</v>
      </c>
      <c r="AA21" s="3620" t="s">
        <v>4709</v>
      </c>
      <c r="AB21" s="3620" t="s">
        <v>4710</v>
      </c>
      <c r="AC21" s="3620" t="s">
        <v>4711</v>
      </c>
      <c r="AD21" s="3620" t="s">
        <v>4712</v>
      </c>
      <c r="AE21" s="3620" t="s">
        <v>4713</v>
      </c>
      <c r="AF21" s="3620" t="s">
        <v>4714</v>
      </c>
      <c r="AG21" s="3620" t="s">
        <v>4715</v>
      </c>
      <c r="AH21" s="3620" t="s">
        <v>4716</v>
      </c>
      <c r="AI21" s="3620" t="s">
        <v>4717</v>
      </c>
      <c r="AJ21" s="3620" t="s">
        <v>4669</v>
      </c>
      <c r="AK21" s="3620" t="s">
        <v>4670</v>
      </c>
      <c r="AL21" s="3620" t="s">
        <v>4718</v>
      </c>
      <c r="AM21" s="3620" t="s">
        <v>4719</v>
      </c>
      <c r="AN21" s="3620" t="s">
        <v>4720</v>
      </c>
      <c r="AO21" s="3620" t="s">
        <v>4721</v>
      </c>
      <c r="AP21" s="3645"/>
      <c r="AQ21" s="3620"/>
      <c r="AR21" s="3620" t="s">
        <v>4675</v>
      </c>
      <c r="AS21" s="3620" t="s">
        <v>4722</v>
      </c>
      <c r="AT21" s="3620"/>
      <c r="AU21" s="3620">
        <v>2008</v>
      </c>
      <c r="AV21" s="3620">
        <v>12</v>
      </c>
      <c r="AW21" s="3620">
        <v>11</v>
      </c>
      <c r="AX21" s="3620" t="s">
        <v>3595</v>
      </c>
      <c r="AY21" s="3620" t="s">
        <v>4723</v>
      </c>
    </row>
    <row r="22" spans="1:51" s="3490" customFormat="1" ht="12" customHeight="1">
      <c r="A22" s="3643"/>
      <c r="B22" s="3644" t="s">
        <v>4648</v>
      </c>
      <c r="C22" s="3620" t="s">
        <v>4649</v>
      </c>
      <c r="D22" s="3638" t="s">
        <v>4650</v>
      </c>
      <c r="E22" s="3620" t="s">
        <v>4651</v>
      </c>
      <c r="F22" s="3620"/>
      <c r="G22" s="3620" t="s">
        <v>4652</v>
      </c>
      <c r="H22" s="3618" t="s">
        <v>4653</v>
      </c>
      <c r="I22" s="3620" t="s">
        <v>4654</v>
      </c>
      <c r="J22" s="3620" t="s">
        <v>4654</v>
      </c>
      <c r="K22" s="3620" t="s">
        <v>4654</v>
      </c>
      <c r="L22" s="3620" t="s">
        <v>4654</v>
      </c>
      <c r="M22" s="3620" t="s">
        <v>4655</v>
      </c>
      <c r="N22" s="3620" t="s">
        <v>4656</v>
      </c>
      <c r="O22" s="3620" t="s">
        <v>4657</v>
      </c>
      <c r="P22" s="3620" t="s">
        <v>4657</v>
      </c>
      <c r="Q22" s="3620" t="s">
        <v>4657</v>
      </c>
      <c r="R22" s="3620" t="s">
        <v>4658</v>
      </c>
      <c r="S22" s="3620"/>
      <c r="T22" s="3620" t="s">
        <v>4659</v>
      </c>
      <c r="U22" s="3620" t="s">
        <v>4659</v>
      </c>
      <c r="V22" s="3620"/>
      <c r="W22" s="3620"/>
      <c r="X22" s="3620"/>
      <c r="Y22" s="3620"/>
      <c r="Z22" s="3620" t="s">
        <v>4660</v>
      </c>
      <c r="AA22" s="3620" t="s">
        <v>4661</v>
      </c>
      <c r="AB22" s="3620" t="s">
        <v>4662</v>
      </c>
      <c r="AC22" s="3620" t="s">
        <v>4663</v>
      </c>
      <c r="AD22" s="3620" t="s">
        <v>4664</v>
      </c>
      <c r="AE22" s="3620"/>
      <c r="AF22" s="3620" t="s">
        <v>4665</v>
      </c>
      <c r="AG22" s="3620" t="s">
        <v>4666</v>
      </c>
      <c r="AH22" s="3620" t="s">
        <v>4667</v>
      </c>
      <c r="AI22" s="3620" t="s">
        <v>4668</v>
      </c>
      <c r="AJ22" s="3620" t="s">
        <v>4669</v>
      </c>
      <c r="AK22" s="3620" t="s">
        <v>4670</v>
      </c>
      <c r="AL22" s="3620" t="s">
        <v>4671</v>
      </c>
      <c r="AM22" s="3621" t="s">
        <v>4672</v>
      </c>
      <c r="AN22" s="3620" t="s">
        <v>4673</v>
      </c>
      <c r="AO22" s="3620" t="s">
        <v>4674</v>
      </c>
      <c r="AP22" s="3645"/>
      <c r="AQ22" s="3620"/>
      <c r="AR22" s="3621" t="s">
        <v>4675</v>
      </c>
      <c r="AS22" s="3620" t="s">
        <v>4676</v>
      </c>
      <c r="AT22" s="3620"/>
      <c r="AU22" s="3620">
        <v>2006</v>
      </c>
      <c r="AV22" s="3620">
        <v>1</v>
      </c>
      <c r="AW22" s="3620">
        <v>12</v>
      </c>
      <c r="AX22" s="3620" t="s">
        <v>3595</v>
      </c>
      <c r="AY22" s="3620" t="s">
        <v>4677</v>
      </c>
    </row>
    <row r="23" spans="1:51" s="3490" customFormat="1" ht="12" customHeight="1">
      <c r="A23" s="3643"/>
      <c r="B23" s="3644" t="s">
        <v>4678</v>
      </c>
      <c r="C23" s="3620" t="s">
        <v>2742</v>
      </c>
      <c r="D23" s="3638" t="s">
        <v>4679</v>
      </c>
      <c r="E23" s="3620" t="s">
        <v>4680</v>
      </c>
      <c r="F23" s="3620"/>
      <c r="G23" s="3620" t="s">
        <v>4652</v>
      </c>
      <c r="H23" s="3618" t="s">
        <v>4681</v>
      </c>
      <c r="I23" s="3620" t="s">
        <v>4682</v>
      </c>
      <c r="J23" s="3620" t="s">
        <v>4683</v>
      </c>
      <c r="K23" s="3620" t="s">
        <v>4683</v>
      </c>
      <c r="L23" s="3620" t="s">
        <v>4684</v>
      </c>
      <c r="M23" s="3620" t="s">
        <v>4685</v>
      </c>
      <c r="N23" s="3620" t="s">
        <v>4686</v>
      </c>
      <c r="O23" s="3620" t="s">
        <v>4687</v>
      </c>
      <c r="P23" s="3620" t="s">
        <v>4688</v>
      </c>
      <c r="Q23" s="3620" t="s">
        <v>4689</v>
      </c>
      <c r="R23" s="3620"/>
      <c r="S23" s="3620"/>
      <c r="T23" s="3620" t="s">
        <v>4690</v>
      </c>
      <c r="U23" s="3620" t="s">
        <v>4691</v>
      </c>
      <c r="V23" s="3620"/>
      <c r="W23" s="3620"/>
      <c r="X23" s="3620"/>
      <c r="Y23" s="3620"/>
      <c r="Z23" s="3620" t="s">
        <v>4692</v>
      </c>
      <c r="AA23" s="3620" t="s">
        <v>4661</v>
      </c>
      <c r="AB23" s="3620" t="s">
        <v>4693</v>
      </c>
      <c r="AC23" s="3620" t="s">
        <v>4663</v>
      </c>
      <c r="AD23" s="3620" t="s">
        <v>4664</v>
      </c>
      <c r="AE23" s="3620"/>
      <c r="AF23" s="3620" t="s">
        <v>4665</v>
      </c>
      <c r="AG23" s="3620" t="s">
        <v>4666</v>
      </c>
      <c r="AH23" s="3620" t="s">
        <v>4694</v>
      </c>
      <c r="AI23" s="3620" t="s">
        <v>4668</v>
      </c>
      <c r="AJ23" s="3620" t="s">
        <v>4669</v>
      </c>
      <c r="AK23" s="3620" t="s">
        <v>4670</v>
      </c>
      <c r="AL23" s="3620" t="s">
        <v>4671</v>
      </c>
      <c r="AM23" s="3621" t="s">
        <v>4695</v>
      </c>
      <c r="AN23" s="3620" t="s">
        <v>4673</v>
      </c>
      <c r="AO23" s="3620" t="s">
        <v>4674</v>
      </c>
      <c r="AP23" s="3645"/>
      <c r="AQ23" s="3620"/>
      <c r="AR23" s="3621" t="s">
        <v>4696</v>
      </c>
      <c r="AS23" s="3620" t="s">
        <v>4676</v>
      </c>
      <c r="AT23" s="3620"/>
      <c r="AU23" s="3620">
        <v>2006</v>
      </c>
      <c r="AV23" s="3620">
        <v>1</v>
      </c>
      <c r="AW23" s="3620">
        <v>12</v>
      </c>
      <c r="AX23" s="3620" t="s">
        <v>3595</v>
      </c>
      <c r="AY23" s="3620" t="s">
        <v>3625</v>
      </c>
    </row>
  </sheetData>
  <mergeCells count="1">
    <mergeCell ref="AL1:AM1"/>
  </mergeCells>
  <phoneticPr fontId="134"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24"/>
  <sheetViews>
    <sheetView topLeftCell="B40" workbookViewId="0">
      <selection activeCell="R1" sqref="R1:R1048576"/>
    </sheetView>
  </sheetViews>
  <sheetFormatPr defaultRowHeight="14.4"/>
  <cols>
    <col min="14" max="16" width="0" hidden="1" customWidth="1"/>
    <col min="19" max="31" width="0" hidden="1" customWidth="1"/>
    <col min="33" max="58" width="0" hidden="1" customWidth="1"/>
    <col min="59" max="59" width="18.88671875" customWidth="1"/>
  </cols>
  <sheetData>
    <row r="1" spans="1:73" s="3491" customFormat="1" ht="14.25" customHeight="1">
      <c r="A1" s="3510"/>
      <c r="B1" s="3463"/>
      <c r="C1" s="3462"/>
      <c r="D1" s="3462"/>
      <c r="E1" s="3462"/>
      <c r="F1" s="3462"/>
      <c r="G1" s="3462"/>
      <c r="H1" s="3462"/>
      <c r="I1" s="3462"/>
      <c r="J1" s="3462"/>
      <c r="K1" s="3511"/>
      <c r="L1" s="3512"/>
      <c r="M1" s="3513"/>
      <c r="N1" s="3512"/>
      <c r="O1" s="3513"/>
      <c r="P1" s="3512"/>
      <c r="Q1" s="3513"/>
      <c r="R1" s="3513"/>
      <c r="S1" s="3512"/>
      <c r="T1" s="3514"/>
      <c r="U1" s="3512"/>
      <c r="V1" s="3511" t="s">
        <v>3427</v>
      </c>
      <c r="W1" s="3511"/>
      <c r="X1" s="3515"/>
      <c r="Y1" s="3512"/>
      <c r="Z1" s="3513" t="s">
        <v>3428</v>
      </c>
      <c r="AA1" s="3512"/>
      <c r="AB1" s="3512"/>
      <c r="AC1" s="3512"/>
      <c r="AD1" s="3512"/>
      <c r="AE1" s="3512"/>
      <c r="AF1" s="3463"/>
      <c r="AG1" s="3463"/>
      <c r="AH1" s="3511"/>
      <c r="AI1" s="3463"/>
      <c r="AJ1" s="3516"/>
      <c r="AK1" s="3463"/>
      <c r="AL1" s="3910" t="s">
        <v>3470</v>
      </c>
      <c r="AM1" s="3910"/>
      <c r="AN1" s="3464" t="s">
        <v>3471</v>
      </c>
      <c r="AO1" s="3464" t="s">
        <v>3472</v>
      </c>
      <c r="AP1" s="3464"/>
      <c r="AQ1" s="3464"/>
      <c r="AR1" s="3465"/>
      <c r="AS1" s="3465" t="s">
        <v>3473</v>
      </c>
      <c r="AT1" s="3465"/>
      <c r="AU1" s="3465"/>
      <c r="AV1" s="3464"/>
      <c r="AW1" s="3511"/>
      <c r="AX1" s="3511"/>
      <c r="AY1" s="3517"/>
      <c r="AZ1" s="3511"/>
      <c r="BA1" s="3511"/>
      <c r="BB1" s="3517"/>
      <c r="BC1" s="3511"/>
      <c r="BD1" s="3518"/>
      <c r="BE1" s="3511"/>
      <c r="BF1" s="3519"/>
      <c r="BG1" s="3520"/>
      <c r="BH1" s="3511"/>
      <c r="BI1" s="3511"/>
      <c r="BJ1" s="3466" t="s">
        <v>3474</v>
      </c>
      <c r="BK1" s="3521" t="s">
        <v>3475</v>
      </c>
      <c r="BL1" s="3511"/>
      <c r="BM1" s="3464"/>
      <c r="BN1" s="3464"/>
      <c r="BO1" s="3464"/>
      <c r="BP1" s="3464"/>
      <c r="BQ1" s="3465"/>
      <c r="BR1" s="3465"/>
    </row>
    <row r="2" spans="1:73" s="3470" customFormat="1" ht="15.6">
      <c r="A2" s="3467" t="s">
        <v>3476</v>
      </c>
      <c r="B2" s="3464" t="s">
        <v>3429</v>
      </c>
      <c r="C2" s="3467" t="s">
        <v>3430</v>
      </c>
      <c r="D2" s="3467" t="s">
        <v>3431</v>
      </c>
      <c r="E2" s="3467" t="s">
        <v>3432</v>
      </c>
      <c r="F2" s="3467" t="s">
        <v>3477</v>
      </c>
      <c r="G2" s="3467" t="s">
        <v>3478</v>
      </c>
      <c r="H2" s="3467" t="s">
        <v>3479</v>
      </c>
      <c r="I2" s="3467" t="s">
        <v>3480</v>
      </c>
      <c r="J2" s="3467" t="s">
        <v>3481</v>
      </c>
      <c r="K2" s="3464" t="s">
        <v>3433</v>
      </c>
      <c r="L2" s="3464" t="s">
        <v>3434</v>
      </c>
      <c r="M2" s="3464" t="s">
        <v>3482</v>
      </c>
      <c r="N2" s="3464" t="s">
        <v>3483</v>
      </c>
      <c r="O2" s="3464" t="s">
        <v>3484</v>
      </c>
      <c r="P2" s="3464" t="s">
        <v>3485</v>
      </c>
      <c r="Q2" s="3464" t="s">
        <v>3486</v>
      </c>
      <c r="R2" s="3464" t="s">
        <v>3487</v>
      </c>
      <c r="S2" s="3464" t="s">
        <v>3435</v>
      </c>
      <c r="T2" s="3468" t="s">
        <v>3436</v>
      </c>
      <c r="U2" s="3464" t="s">
        <v>3488</v>
      </c>
      <c r="V2" s="3464" t="s">
        <v>3437</v>
      </c>
      <c r="W2" s="3464" t="s">
        <v>3438</v>
      </c>
      <c r="X2" s="3468" t="s">
        <v>3439</v>
      </c>
      <c r="Y2" s="3464" t="s">
        <v>3489</v>
      </c>
      <c r="Z2" s="3464" t="s">
        <v>3490</v>
      </c>
      <c r="AA2" s="3464" t="s">
        <v>3491</v>
      </c>
      <c r="AB2" s="3464" t="s">
        <v>3440</v>
      </c>
      <c r="AC2" s="3464" t="s">
        <v>3492</v>
      </c>
      <c r="AD2" s="3464" t="s">
        <v>3441</v>
      </c>
      <c r="AE2" s="3464" t="s">
        <v>3442</v>
      </c>
      <c r="AF2" s="3464" t="s">
        <v>3443</v>
      </c>
      <c r="AG2" s="3464" t="s">
        <v>3444</v>
      </c>
      <c r="AH2" s="3464" t="s">
        <v>3445</v>
      </c>
      <c r="AI2" s="3464" t="s">
        <v>3493</v>
      </c>
      <c r="AJ2" s="3466" t="s">
        <v>3494</v>
      </c>
      <c r="AK2" s="3464" t="s">
        <v>3495</v>
      </c>
      <c r="AL2" s="3464" t="s">
        <v>3496</v>
      </c>
      <c r="AM2" s="3464" t="s">
        <v>3497</v>
      </c>
      <c r="AN2" s="3464" t="s">
        <v>3498</v>
      </c>
      <c r="AO2" s="3464" t="s">
        <v>3499</v>
      </c>
      <c r="AP2" s="3464" t="s">
        <v>3500</v>
      </c>
      <c r="AQ2" s="3464" t="s">
        <v>3501</v>
      </c>
      <c r="AR2" s="3465" t="s">
        <v>3502</v>
      </c>
      <c r="AS2" s="3465" t="s">
        <v>3490</v>
      </c>
      <c r="AT2" s="3465" t="s">
        <v>3503</v>
      </c>
      <c r="AU2" s="3465" t="s">
        <v>3504</v>
      </c>
      <c r="AV2" s="3522" t="s">
        <v>3505</v>
      </c>
      <c r="AW2" s="3464" t="s">
        <v>3506</v>
      </c>
      <c r="AX2" s="3523" t="s">
        <v>3507</v>
      </c>
      <c r="AY2" s="3467" t="s">
        <v>3508</v>
      </c>
      <c r="AZ2" s="3464" t="s">
        <v>3509</v>
      </c>
      <c r="BA2" s="3464" t="s">
        <v>3510</v>
      </c>
      <c r="BB2" s="3467" t="s">
        <v>3511</v>
      </c>
      <c r="BC2" s="3464" t="s">
        <v>3512</v>
      </c>
      <c r="BD2" s="3524" t="s">
        <v>3513</v>
      </c>
      <c r="BE2" s="3464" t="s">
        <v>3514</v>
      </c>
      <c r="BF2" s="3525" t="s">
        <v>3515</v>
      </c>
      <c r="BG2" s="3469" t="s">
        <v>3516</v>
      </c>
      <c r="BH2" s="3469" t="s">
        <v>3517</v>
      </c>
      <c r="BI2" s="3469" t="s">
        <v>3518</v>
      </c>
      <c r="BJ2" s="3466" t="s">
        <v>3519</v>
      </c>
      <c r="BK2" s="3521" t="s">
        <v>3520</v>
      </c>
      <c r="BL2" s="3465" t="s">
        <v>3521</v>
      </c>
      <c r="BM2" s="3464" t="s">
        <v>3522</v>
      </c>
      <c r="BN2" s="3464" t="s">
        <v>3523</v>
      </c>
      <c r="BO2" s="3464" t="s">
        <v>3524</v>
      </c>
      <c r="BP2" s="3464"/>
      <c r="BQ2" s="3465" t="s">
        <v>3525</v>
      </c>
      <c r="BR2" s="3465" t="s">
        <v>3526</v>
      </c>
    </row>
    <row r="3" spans="1:73" s="3577" customFormat="1" ht="12">
      <c r="A3" s="3552" t="s">
        <v>3527</v>
      </c>
      <c r="B3" s="3552" t="s">
        <v>3528</v>
      </c>
      <c r="C3" s="3552" t="s">
        <v>3529</v>
      </c>
      <c r="D3" s="3552" t="s">
        <v>3530</v>
      </c>
      <c r="E3" s="3552" t="s">
        <v>3446</v>
      </c>
      <c r="F3" s="3552" t="s">
        <v>3531</v>
      </c>
      <c r="G3" s="3552"/>
      <c r="H3" s="3552" t="s">
        <v>3532</v>
      </c>
      <c r="I3" s="3552"/>
      <c r="J3" s="3552" t="s">
        <v>3533</v>
      </c>
      <c r="K3" s="3552" t="s">
        <v>3534</v>
      </c>
      <c r="L3" s="3552">
        <v>62.71</v>
      </c>
      <c r="M3" s="3552" t="s">
        <v>3535</v>
      </c>
      <c r="N3" s="3552" t="s">
        <v>3536</v>
      </c>
      <c r="O3" s="3552">
        <v>48.8</v>
      </c>
      <c r="P3" s="3552" t="s">
        <v>3457</v>
      </c>
      <c r="Q3" s="3552">
        <v>374454</v>
      </c>
      <c r="R3" s="3552">
        <v>5971</v>
      </c>
      <c r="S3" s="3557">
        <v>37.130000000000003</v>
      </c>
      <c r="T3" s="3558">
        <v>371300</v>
      </c>
      <c r="U3" s="3552">
        <v>5921</v>
      </c>
      <c r="V3" s="3559">
        <v>0.1</v>
      </c>
      <c r="W3" s="3560">
        <v>33.409999999999997</v>
      </c>
      <c r="X3" s="3558">
        <v>334100</v>
      </c>
      <c r="Y3" s="3552">
        <v>2006</v>
      </c>
      <c r="Z3" s="3552">
        <v>1</v>
      </c>
      <c r="AA3" s="3552">
        <v>16</v>
      </c>
      <c r="AB3" s="3552">
        <v>1110</v>
      </c>
      <c r="AC3" s="3552" t="s">
        <v>3537</v>
      </c>
      <c r="AD3" s="3552"/>
      <c r="AE3" s="3552" t="s">
        <v>3447</v>
      </c>
      <c r="AF3" s="3552" t="s">
        <v>3455</v>
      </c>
      <c r="AG3" s="3552" t="s">
        <v>3448</v>
      </c>
      <c r="AH3" s="3552" t="s">
        <v>3453</v>
      </c>
      <c r="AI3" s="3552" t="s">
        <v>3538</v>
      </c>
      <c r="AJ3" s="3580">
        <v>39082</v>
      </c>
      <c r="AK3" s="3552" t="s">
        <v>3539</v>
      </c>
      <c r="AL3" s="3552">
        <v>67641700</v>
      </c>
      <c r="AM3" s="3552"/>
      <c r="AN3" s="3552" t="s">
        <v>3456</v>
      </c>
      <c r="AO3" s="3552"/>
      <c r="AP3" s="3552" t="s">
        <v>3450</v>
      </c>
      <c r="AQ3" s="3552" t="s">
        <v>3451</v>
      </c>
      <c r="AR3" s="3552"/>
      <c r="AS3" s="3552"/>
      <c r="AT3" s="3552"/>
      <c r="AU3" s="3552"/>
      <c r="AV3" s="3552" t="s">
        <v>3453</v>
      </c>
      <c r="AW3" s="3552" t="s">
        <v>3452</v>
      </c>
      <c r="AX3" s="3552" t="s">
        <v>3540</v>
      </c>
      <c r="AY3" s="3553">
        <v>168741</v>
      </c>
      <c r="AZ3" s="3552"/>
      <c r="BA3" s="3552"/>
      <c r="BB3" s="3553"/>
      <c r="BC3" s="3552"/>
      <c r="BD3" s="3581"/>
      <c r="BE3" s="3552"/>
      <c r="BF3" s="3582"/>
      <c r="BG3" s="3583">
        <v>38702</v>
      </c>
      <c r="BH3" s="3552"/>
      <c r="BI3" s="3552" t="s">
        <v>3541</v>
      </c>
      <c r="BJ3" s="3580">
        <v>38727</v>
      </c>
      <c r="BK3" s="3580"/>
      <c r="BL3" s="3552" t="s">
        <v>3454</v>
      </c>
      <c r="BM3" s="3552"/>
      <c r="BN3" s="3552"/>
      <c r="BO3" s="3552"/>
      <c r="BP3" s="3552"/>
      <c r="BQ3" s="3552">
        <v>7609</v>
      </c>
      <c r="BR3" s="3552">
        <v>7673</v>
      </c>
      <c r="BS3" s="3576"/>
      <c r="BT3" s="3576"/>
      <c r="BU3" s="3576"/>
    </row>
    <row r="4" spans="1:73" s="3490" customFormat="1" ht="12">
      <c r="A4" s="3472" t="s">
        <v>3542</v>
      </c>
      <c r="B4" s="3472" t="s">
        <v>3543</v>
      </c>
      <c r="C4" s="3472" t="s">
        <v>3544</v>
      </c>
      <c r="D4" s="3472">
        <v>13801377405</v>
      </c>
      <c r="E4" s="3472" t="s">
        <v>3446</v>
      </c>
      <c r="F4" s="3472" t="s">
        <v>3545</v>
      </c>
      <c r="G4" s="3472"/>
      <c r="H4" s="3472" t="s">
        <v>3546</v>
      </c>
      <c r="I4" s="3472" t="s">
        <v>3547</v>
      </c>
      <c r="J4" s="3472" t="s">
        <v>3548</v>
      </c>
      <c r="K4" s="3472" t="s">
        <v>3549</v>
      </c>
      <c r="L4" s="3472">
        <v>133.6</v>
      </c>
      <c r="M4" s="3472">
        <v>7</v>
      </c>
      <c r="N4" s="3472" t="s">
        <v>3550</v>
      </c>
      <c r="O4" s="3472">
        <v>112.87</v>
      </c>
      <c r="P4" s="3472" t="s">
        <v>3457</v>
      </c>
      <c r="Q4" s="3472">
        <v>760692</v>
      </c>
      <c r="R4" s="3472">
        <v>5694</v>
      </c>
      <c r="S4" s="3500">
        <v>75.400000000000006</v>
      </c>
      <c r="T4" s="3498">
        <v>754000</v>
      </c>
      <c r="U4" s="3472">
        <v>5644</v>
      </c>
      <c r="V4" s="3495">
        <v>0.1</v>
      </c>
      <c r="W4" s="3479">
        <v>67.86</v>
      </c>
      <c r="X4" s="3498">
        <v>678600</v>
      </c>
      <c r="Y4" s="3472">
        <v>2006</v>
      </c>
      <c r="Z4" s="3472">
        <v>1</v>
      </c>
      <c r="AA4" s="3472">
        <v>11</v>
      </c>
      <c r="AB4" s="3472">
        <v>1500</v>
      </c>
      <c r="AC4" s="3472" t="s">
        <v>3537</v>
      </c>
      <c r="AD4" s="3472"/>
      <c r="AE4" s="3472" t="s">
        <v>3447</v>
      </c>
      <c r="AF4" s="3472" t="s">
        <v>3455</v>
      </c>
      <c r="AG4" s="3472" t="s">
        <v>3448</v>
      </c>
      <c r="AH4" s="3472"/>
      <c r="AI4" s="3472" t="s">
        <v>3538</v>
      </c>
      <c r="AJ4" s="3526">
        <v>39051</v>
      </c>
      <c r="AK4" s="3472" t="s">
        <v>3539</v>
      </c>
      <c r="AL4" s="3472">
        <v>67641700</v>
      </c>
      <c r="AM4" s="3472"/>
      <c r="AN4" s="3472" t="s">
        <v>3449</v>
      </c>
      <c r="AO4" s="3472"/>
      <c r="AP4" s="3472" t="s">
        <v>3450</v>
      </c>
      <c r="AQ4" s="3472" t="s">
        <v>3451</v>
      </c>
      <c r="AR4" s="3472" t="s">
        <v>3453</v>
      </c>
      <c r="AS4" s="3472" t="s">
        <v>3453</v>
      </c>
      <c r="AT4" s="3472" t="s">
        <v>3453</v>
      </c>
      <c r="AU4" s="3472"/>
      <c r="AV4" s="3472"/>
      <c r="AW4" s="3472" t="s">
        <v>3452</v>
      </c>
      <c r="AX4" s="3472" t="s">
        <v>3540</v>
      </c>
      <c r="AY4" s="3473" t="s">
        <v>3551</v>
      </c>
      <c r="AZ4" s="3472" t="s">
        <v>3453</v>
      </c>
      <c r="BA4" s="3472" t="s">
        <v>3453</v>
      </c>
      <c r="BB4" s="3473" t="s">
        <v>3453</v>
      </c>
      <c r="BC4" s="3472" t="s">
        <v>3453</v>
      </c>
      <c r="BD4" s="3527" t="s">
        <v>3453</v>
      </c>
      <c r="BE4" s="3472" t="s">
        <v>3453</v>
      </c>
      <c r="BF4" s="3528" t="s">
        <v>3453</v>
      </c>
      <c r="BG4" s="3488">
        <v>38669</v>
      </c>
      <c r="BH4" s="3472" t="s">
        <v>3453</v>
      </c>
      <c r="BI4" s="3472" t="s">
        <v>3552</v>
      </c>
      <c r="BJ4" s="3526">
        <v>38727</v>
      </c>
      <c r="BK4" s="3526"/>
      <c r="BL4" s="3472" t="s">
        <v>3454</v>
      </c>
      <c r="BM4" s="3472"/>
      <c r="BN4" s="3472"/>
      <c r="BO4" s="3472"/>
      <c r="BP4" s="3472"/>
      <c r="BQ4" s="3472">
        <v>6680</v>
      </c>
      <c r="BR4" s="3472">
        <v>6740</v>
      </c>
      <c r="BS4" s="3529"/>
      <c r="BT4" s="3529"/>
      <c r="BU4" s="3529"/>
    </row>
    <row r="5" spans="1:73" s="3490" customFormat="1" ht="12">
      <c r="A5" s="3472" t="s">
        <v>3553</v>
      </c>
      <c r="B5" s="3472" t="s">
        <v>3554</v>
      </c>
      <c r="C5" s="3472" t="s">
        <v>3555</v>
      </c>
      <c r="D5" s="3472" t="s">
        <v>3556</v>
      </c>
      <c r="E5" s="3472" t="s">
        <v>3446</v>
      </c>
      <c r="F5" s="3472" t="s">
        <v>3545</v>
      </c>
      <c r="G5" s="3472"/>
      <c r="H5" s="3472" t="s">
        <v>3557</v>
      </c>
      <c r="I5" s="3472" t="s">
        <v>3558</v>
      </c>
      <c r="J5" s="3472" t="s">
        <v>3559</v>
      </c>
      <c r="K5" s="3472" t="s">
        <v>3549</v>
      </c>
      <c r="L5" s="3472">
        <v>99.79</v>
      </c>
      <c r="M5" s="3472">
        <v>7</v>
      </c>
      <c r="N5" s="3472" t="s">
        <v>3560</v>
      </c>
      <c r="O5" s="3472">
        <v>82.23</v>
      </c>
      <c r="P5" s="3472" t="s">
        <v>3457</v>
      </c>
      <c r="Q5" s="3472">
        <v>493961</v>
      </c>
      <c r="R5" s="3472">
        <v>4950</v>
      </c>
      <c r="S5" s="3500">
        <v>48.91</v>
      </c>
      <c r="T5" s="3498">
        <v>489100</v>
      </c>
      <c r="U5" s="3472">
        <v>4902</v>
      </c>
      <c r="V5" s="3495">
        <v>0.1</v>
      </c>
      <c r="W5" s="3479">
        <v>44.01</v>
      </c>
      <c r="X5" s="3498">
        <v>440100</v>
      </c>
      <c r="Y5" s="3472">
        <v>2006</v>
      </c>
      <c r="Z5" s="3472">
        <v>1</v>
      </c>
      <c r="AA5" s="3472">
        <v>16</v>
      </c>
      <c r="AB5" s="3472">
        <v>1465</v>
      </c>
      <c r="AC5" s="3472" t="s">
        <v>3537</v>
      </c>
      <c r="AD5" s="3472"/>
      <c r="AE5" s="3472" t="s">
        <v>3447</v>
      </c>
      <c r="AF5" s="3472" t="s">
        <v>3455</v>
      </c>
      <c r="AG5" s="3472" t="s">
        <v>3448</v>
      </c>
      <c r="AH5" s="3472"/>
      <c r="AI5" s="3472" t="s">
        <v>3538</v>
      </c>
      <c r="AJ5" s="3526">
        <v>38990</v>
      </c>
      <c r="AK5" s="3472">
        <v>1</v>
      </c>
      <c r="AL5" s="3472">
        <v>67641700</v>
      </c>
      <c r="AM5" s="3472"/>
      <c r="AN5" s="3472" t="s">
        <v>3456</v>
      </c>
      <c r="AO5" s="3472"/>
      <c r="AP5" s="3472" t="s">
        <v>3450</v>
      </c>
      <c r="AQ5" s="3472" t="s">
        <v>3451</v>
      </c>
      <c r="AR5" s="3472" t="s">
        <v>3453</v>
      </c>
      <c r="AS5" s="3472" t="s">
        <v>3453</v>
      </c>
      <c r="AT5" s="3472" t="s">
        <v>3453</v>
      </c>
      <c r="AU5" s="3472"/>
      <c r="AV5" s="3472"/>
      <c r="AW5" s="3472" t="s">
        <v>3452</v>
      </c>
      <c r="AX5" s="3472" t="s">
        <v>3540</v>
      </c>
      <c r="AY5" s="3473" t="s">
        <v>3561</v>
      </c>
      <c r="AZ5" s="3472" t="s">
        <v>3453</v>
      </c>
      <c r="BA5" s="3472" t="s">
        <v>3453</v>
      </c>
      <c r="BB5" s="3473" t="s">
        <v>3453</v>
      </c>
      <c r="BC5" s="3472" t="s">
        <v>3453</v>
      </c>
      <c r="BD5" s="3527" t="s">
        <v>3453</v>
      </c>
      <c r="BE5" s="3472" t="s">
        <v>3453</v>
      </c>
      <c r="BF5" s="3528" t="s">
        <v>3453</v>
      </c>
      <c r="BG5" s="3488">
        <v>38713</v>
      </c>
      <c r="BH5" s="3472" t="s">
        <v>3453</v>
      </c>
      <c r="BI5" s="3472" t="s">
        <v>3450</v>
      </c>
      <c r="BJ5" s="3526">
        <v>38728</v>
      </c>
      <c r="BK5" s="3526"/>
      <c r="BL5" s="3472" t="s">
        <v>3454</v>
      </c>
      <c r="BM5" s="3472"/>
      <c r="BN5" s="3472"/>
      <c r="BO5" s="3472"/>
      <c r="BP5" s="3472"/>
      <c r="BQ5" s="3472">
        <v>5948</v>
      </c>
      <c r="BR5" s="3472">
        <v>6007</v>
      </c>
      <c r="BS5" s="3529"/>
      <c r="BT5" s="3529"/>
      <c r="BU5" s="3529"/>
    </row>
    <row r="6" spans="1:73" s="3490" customFormat="1" ht="12">
      <c r="A6" s="3472" t="s">
        <v>3562</v>
      </c>
      <c r="B6" s="3472" t="s">
        <v>3563</v>
      </c>
      <c r="C6" s="3473" t="s">
        <v>3564</v>
      </c>
      <c r="D6" s="3472">
        <v>13801132960</v>
      </c>
      <c r="E6" s="3472" t="s">
        <v>3446</v>
      </c>
      <c r="F6" s="3472" t="s">
        <v>3545</v>
      </c>
      <c r="G6" s="3472"/>
      <c r="H6" s="3472" t="s">
        <v>3565</v>
      </c>
      <c r="I6" s="3472" t="s">
        <v>3566</v>
      </c>
      <c r="J6" s="3472" t="s">
        <v>3567</v>
      </c>
      <c r="K6" s="3472" t="s">
        <v>3549</v>
      </c>
      <c r="L6" s="3472">
        <v>93.62</v>
      </c>
      <c r="M6" s="3472">
        <v>6</v>
      </c>
      <c r="N6" s="3472" t="s">
        <v>3568</v>
      </c>
      <c r="O6" s="3472">
        <v>79.11</v>
      </c>
      <c r="P6" s="3472" t="s">
        <v>3457</v>
      </c>
      <c r="Q6" s="3472">
        <v>546741</v>
      </c>
      <c r="R6" s="3472">
        <v>5840</v>
      </c>
      <c r="S6" s="3500">
        <v>54.2</v>
      </c>
      <c r="T6" s="3498">
        <v>542000</v>
      </c>
      <c r="U6" s="3472">
        <v>5790</v>
      </c>
      <c r="V6" s="3495">
        <v>0.1</v>
      </c>
      <c r="W6" s="3479">
        <v>48.78</v>
      </c>
      <c r="X6" s="3502">
        <v>487800</v>
      </c>
      <c r="Y6" s="3472">
        <v>2006</v>
      </c>
      <c r="Z6" s="3472">
        <v>1</v>
      </c>
      <c r="AA6" s="3472">
        <v>20</v>
      </c>
      <c r="AB6" s="3480">
        <v>1500</v>
      </c>
      <c r="AC6" s="3472" t="s">
        <v>3537</v>
      </c>
      <c r="AD6" s="3472"/>
      <c r="AE6" s="3472" t="s">
        <v>3447</v>
      </c>
      <c r="AF6" s="3472" t="s">
        <v>3455</v>
      </c>
      <c r="AG6" s="3472" t="s">
        <v>3448</v>
      </c>
      <c r="AH6" s="3472"/>
      <c r="AI6" s="3472" t="s">
        <v>3538</v>
      </c>
      <c r="AJ6" s="3488">
        <v>39066</v>
      </c>
      <c r="AK6" s="3472" t="s">
        <v>3569</v>
      </c>
      <c r="AL6" s="3472">
        <v>67641700</v>
      </c>
      <c r="AM6" s="3472"/>
      <c r="AN6" s="3483" t="s">
        <v>3570</v>
      </c>
      <c r="AO6" s="3472"/>
      <c r="AP6" s="3472" t="s">
        <v>3450</v>
      </c>
      <c r="AQ6" s="3472" t="s">
        <v>3451</v>
      </c>
      <c r="AR6" s="3472" t="s">
        <v>3453</v>
      </c>
      <c r="AS6" s="3472" t="s">
        <v>3453</v>
      </c>
      <c r="AT6" s="3472" t="s">
        <v>3453</v>
      </c>
      <c r="AU6" s="3472"/>
      <c r="AV6" s="3472"/>
      <c r="AW6" s="3472" t="s">
        <v>3452</v>
      </c>
      <c r="AX6" s="3472" t="s">
        <v>3540</v>
      </c>
      <c r="AY6" s="3473" t="s">
        <v>3571</v>
      </c>
      <c r="AZ6" s="3472" t="s">
        <v>3453</v>
      </c>
      <c r="BA6" s="3472" t="s">
        <v>3453</v>
      </c>
      <c r="BB6" s="3473" t="s">
        <v>3453</v>
      </c>
      <c r="BC6" s="3472" t="s">
        <v>3453</v>
      </c>
      <c r="BD6" s="3527" t="s">
        <v>3453</v>
      </c>
      <c r="BE6" s="3472" t="s">
        <v>3453</v>
      </c>
      <c r="BF6" s="3528" t="s">
        <v>3453</v>
      </c>
      <c r="BG6" s="3488">
        <v>38721</v>
      </c>
      <c r="BH6" s="3472" t="s">
        <v>3453</v>
      </c>
      <c r="BI6" s="3480" t="s">
        <v>3572</v>
      </c>
      <c r="BJ6" s="3526">
        <v>38735</v>
      </c>
      <c r="BK6" s="3526"/>
      <c r="BL6" s="3472" t="s">
        <v>3454</v>
      </c>
      <c r="BM6" s="3472"/>
      <c r="BN6" s="3472"/>
      <c r="BO6" s="3472"/>
      <c r="BP6" s="3472"/>
      <c r="BQ6" s="3480">
        <v>6851</v>
      </c>
      <c r="BR6" s="3480">
        <v>6911</v>
      </c>
      <c r="BS6" s="3529"/>
      <c r="BT6" s="3529"/>
      <c r="BU6" s="3529"/>
    </row>
    <row r="7" spans="1:73" s="3490" customFormat="1" ht="12">
      <c r="A7" s="3472" t="s">
        <v>3573</v>
      </c>
      <c r="B7" s="3472" t="s">
        <v>3574</v>
      </c>
      <c r="C7" s="3473" t="s">
        <v>3575</v>
      </c>
      <c r="D7" s="3472">
        <v>13651010782</v>
      </c>
      <c r="E7" s="3472" t="s">
        <v>3446</v>
      </c>
      <c r="F7" s="3472" t="s">
        <v>3545</v>
      </c>
      <c r="G7" s="3472"/>
      <c r="H7" s="3472" t="s">
        <v>3565</v>
      </c>
      <c r="I7" s="3472" t="s">
        <v>3566</v>
      </c>
      <c r="J7" s="3472" t="s">
        <v>3576</v>
      </c>
      <c r="K7" s="3472" t="s">
        <v>3549</v>
      </c>
      <c r="L7" s="3472">
        <v>102.2</v>
      </c>
      <c r="M7" s="3472">
        <v>6</v>
      </c>
      <c r="N7" s="3472" t="s">
        <v>3577</v>
      </c>
      <c r="O7" s="3472">
        <v>86.36</v>
      </c>
      <c r="P7" s="3472" t="s">
        <v>3457</v>
      </c>
      <c r="Q7" s="3472">
        <v>588672</v>
      </c>
      <c r="R7" s="3472">
        <v>5760</v>
      </c>
      <c r="S7" s="3500">
        <v>58.35</v>
      </c>
      <c r="T7" s="3498">
        <v>583500</v>
      </c>
      <c r="U7" s="3472">
        <v>5710</v>
      </c>
      <c r="V7" s="3495">
        <v>0.1</v>
      </c>
      <c r="W7" s="3479">
        <v>52.51</v>
      </c>
      <c r="X7" s="3502">
        <v>525100</v>
      </c>
      <c r="Y7" s="3472">
        <v>2006</v>
      </c>
      <c r="Z7" s="3472">
        <v>1</v>
      </c>
      <c r="AA7" s="3472">
        <v>20</v>
      </c>
      <c r="AB7" s="3480">
        <v>1500</v>
      </c>
      <c r="AC7" s="3472" t="s">
        <v>3537</v>
      </c>
      <c r="AD7" s="3472"/>
      <c r="AE7" s="3472" t="s">
        <v>3447</v>
      </c>
      <c r="AF7" s="3472" t="s">
        <v>3455</v>
      </c>
      <c r="AG7" s="3472" t="s">
        <v>3448</v>
      </c>
      <c r="AH7" s="3472"/>
      <c r="AI7" s="3472" t="s">
        <v>3538</v>
      </c>
      <c r="AJ7" s="3488">
        <v>39066</v>
      </c>
      <c r="AK7" s="3472" t="s">
        <v>3569</v>
      </c>
      <c r="AL7" s="3472">
        <v>67641700</v>
      </c>
      <c r="AM7" s="3472"/>
      <c r="AN7" s="3483" t="s">
        <v>3570</v>
      </c>
      <c r="AO7" s="3472"/>
      <c r="AP7" s="3472" t="s">
        <v>3450</v>
      </c>
      <c r="AQ7" s="3472" t="s">
        <v>3451</v>
      </c>
      <c r="AR7" s="3472" t="s">
        <v>3453</v>
      </c>
      <c r="AS7" s="3472" t="s">
        <v>3453</v>
      </c>
      <c r="AT7" s="3472" t="s">
        <v>3453</v>
      </c>
      <c r="AU7" s="3472"/>
      <c r="AV7" s="3472"/>
      <c r="AW7" s="3472" t="s">
        <v>3452</v>
      </c>
      <c r="AX7" s="3472" t="s">
        <v>3540</v>
      </c>
      <c r="AY7" s="3473" t="s">
        <v>3578</v>
      </c>
      <c r="AZ7" s="3472" t="s">
        <v>3453</v>
      </c>
      <c r="BA7" s="3472" t="s">
        <v>3453</v>
      </c>
      <c r="BB7" s="3473" t="s">
        <v>3453</v>
      </c>
      <c r="BC7" s="3472" t="s">
        <v>3453</v>
      </c>
      <c r="BD7" s="3527" t="s">
        <v>3453</v>
      </c>
      <c r="BE7" s="3472" t="s">
        <v>3453</v>
      </c>
      <c r="BF7" s="3528" t="s">
        <v>3453</v>
      </c>
      <c r="BG7" s="3488">
        <v>38722</v>
      </c>
      <c r="BH7" s="3472" t="s">
        <v>3453</v>
      </c>
      <c r="BI7" s="3480" t="s">
        <v>3572</v>
      </c>
      <c r="BJ7" s="3526">
        <v>38735</v>
      </c>
      <c r="BK7" s="3526"/>
      <c r="BL7" s="3472" t="s">
        <v>3454</v>
      </c>
      <c r="BM7" s="3472"/>
      <c r="BN7" s="3472"/>
      <c r="BO7" s="3472"/>
      <c r="BP7" s="3472"/>
      <c r="BQ7" s="3480">
        <v>6757</v>
      </c>
      <c r="BR7" s="3480">
        <v>6816</v>
      </c>
      <c r="BS7" s="3529"/>
      <c r="BT7" s="3529"/>
      <c r="BU7" s="3529"/>
    </row>
    <row r="8" spans="1:73" s="3490" customFormat="1" ht="12">
      <c r="A8" s="3472" t="s">
        <v>3579</v>
      </c>
      <c r="B8" s="3472" t="s">
        <v>3580</v>
      </c>
      <c r="C8" s="3473" t="s">
        <v>3581</v>
      </c>
      <c r="D8" s="3473" t="s">
        <v>3582</v>
      </c>
      <c r="E8" s="3492" t="s">
        <v>3583</v>
      </c>
      <c r="F8" s="3492" t="s">
        <v>3584</v>
      </c>
      <c r="G8" s="3472"/>
      <c r="H8" s="3492" t="s">
        <v>3585</v>
      </c>
      <c r="I8" s="3476" t="s">
        <v>3586</v>
      </c>
      <c r="J8" s="3472" t="s">
        <v>3587</v>
      </c>
      <c r="K8" s="3472" t="s">
        <v>3588</v>
      </c>
      <c r="L8" s="3475">
        <v>100.79</v>
      </c>
      <c r="M8" s="3472">
        <v>15</v>
      </c>
      <c r="N8" s="3472" t="s">
        <v>3589</v>
      </c>
      <c r="O8" s="3472">
        <v>82.23</v>
      </c>
      <c r="P8" s="3472" t="s">
        <v>3457</v>
      </c>
      <c r="Q8" s="3504">
        <v>500950</v>
      </c>
      <c r="R8" s="3472">
        <v>4970</v>
      </c>
      <c r="S8" s="3500">
        <v>49.6</v>
      </c>
      <c r="T8" s="3498">
        <v>496000</v>
      </c>
      <c r="U8" s="3472">
        <v>4922</v>
      </c>
      <c r="V8" s="3495">
        <v>0.1</v>
      </c>
      <c r="W8" s="3479">
        <v>44.64</v>
      </c>
      <c r="X8" s="3530">
        <v>446400</v>
      </c>
      <c r="Y8" s="3480">
        <v>20006</v>
      </c>
      <c r="Z8" s="3480">
        <v>1</v>
      </c>
      <c r="AA8" s="3480">
        <v>26</v>
      </c>
      <c r="AB8" s="3472">
        <v>1485</v>
      </c>
      <c r="AC8" s="3472" t="s">
        <v>3590</v>
      </c>
      <c r="AD8" s="3471"/>
      <c r="AE8" s="3483" t="s">
        <v>3447</v>
      </c>
      <c r="AF8" s="3531" t="s">
        <v>3591</v>
      </c>
      <c r="AG8" s="3481" t="s">
        <v>3448</v>
      </c>
      <c r="AH8" s="3471"/>
      <c r="AI8" s="3483" t="s">
        <v>3592</v>
      </c>
      <c r="AJ8" s="3503">
        <v>39021</v>
      </c>
      <c r="AK8" s="3482" t="s">
        <v>3593</v>
      </c>
      <c r="AL8" s="3480">
        <v>67641700</v>
      </c>
      <c r="AM8" s="3480"/>
      <c r="AN8" s="3483" t="s">
        <v>3594</v>
      </c>
      <c r="AO8" s="3480"/>
      <c r="AP8" s="3483" t="s">
        <v>3450</v>
      </c>
      <c r="AQ8" s="3480" t="s">
        <v>3595</v>
      </c>
      <c r="AR8" s="3480" t="s">
        <v>3596</v>
      </c>
      <c r="AS8" s="3480" t="s">
        <v>3597</v>
      </c>
      <c r="AT8" s="3480" t="s">
        <v>3597</v>
      </c>
      <c r="AU8" s="3480"/>
      <c r="AV8" s="3480"/>
      <c r="AW8" s="3480" t="s">
        <v>3598</v>
      </c>
      <c r="AX8" s="3480" t="s">
        <v>3599</v>
      </c>
      <c r="AY8" s="3484" t="s">
        <v>3600</v>
      </c>
      <c r="AZ8" s="3471" t="s">
        <v>3596</v>
      </c>
      <c r="BA8" s="3532" t="s">
        <v>3597</v>
      </c>
      <c r="BB8" s="3533" t="s">
        <v>3597</v>
      </c>
      <c r="BC8" s="3532" t="s">
        <v>3596</v>
      </c>
      <c r="BD8" s="3534" t="s">
        <v>3596</v>
      </c>
      <c r="BE8" s="3480" t="s">
        <v>3596</v>
      </c>
      <c r="BF8" s="3486" t="s">
        <v>3596</v>
      </c>
      <c r="BG8" s="3535">
        <v>38731</v>
      </c>
      <c r="BH8" s="3472" t="s">
        <v>3453</v>
      </c>
      <c r="BI8" s="3472" t="s">
        <v>3601</v>
      </c>
      <c r="BJ8" s="3493">
        <v>38742</v>
      </c>
      <c r="BK8" s="3493"/>
      <c r="BL8" s="3472" t="s">
        <v>3454</v>
      </c>
      <c r="BM8" s="3480"/>
      <c r="BN8" s="3480"/>
      <c r="BO8" s="3480"/>
      <c r="BP8" s="3480"/>
      <c r="BQ8" s="3480">
        <v>6032</v>
      </c>
      <c r="BR8" s="3480">
        <v>6092</v>
      </c>
      <c r="BS8" s="3529"/>
      <c r="BT8" s="3529"/>
      <c r="BU8" s="3529"/>
    </row>
    <row r="9" spans="1:73" s="3490" customFormat="1" ht="12">
      <c r="A9" s="3536" t="s">
        <v>3602</v>
      </c>
      <c r="B9" s="3472" t="s">
        <v>3603</v>
      </c>
      <c r="C9" s="3473" t="s">
        <v>3604</v>
      </c>
      <c r="D9" s="3473" t="s">
        <v>3605</v>
      </c>
      <c r="E9" s="3492" t="s">
        <v>3606</v>
      </c>
      <c r="F9" s="3492" t="s">
        <v>3607</v>
      </c>
      <c r="G9" s="3472"/>
      <c r="H9" s="3492" t="s">
        <v>3608</v>
      </c>
      <c r="I9" s="3476" t="s">
        <v>3596</v>
      </c>
      <c r="J9" s="3472" t="s">
        <v>3609</v>
      </c>
      <c r="K9" s="3472" t="s">
        <v>3610</v>
      </c>
      <c r="L9" s="3475">
        <v>96.06</v>
      </c>
      <c r="M9" s="3472">
        <v>14</v>
      </c>
      <c r="N9" s="3472" t="s">
        <v>3568</v>
      </c>
      <c r="O9" s="3472">
        <v>77</v>
      </c>
      <c r="P9" s="3472" t="s">
        <v>3457</v>
      </c>
      <c r="Q9" s="3504">
        <v>494709</v>
      </c>
      <c r="R9" s="3472">
        <v>5150</v>
      </c>
      <c r="S9" s="3500">
        <v>48.99</v>
      </c>
      <c r="T9" s="3498">
        <v>489900</v>
      </c>
      <c r="U9" s="3472">
        <v>5100</v>
      </c>
      <c r="V9" s="3495">
        <v>0.1</v>
      </c>
      <c r="W9" s="3479">
        <v>44.09</v>
      </c>
      <c r="X9" s="3530">
        <v>440900.00000000006</v>
      </c>
      <c r="Y9" s="3480">
        <v>2006</v>
      </c>
      <c r="Z9" s="3480">
        <v>1</v>
      </c>
      <c r="AA9" s="3480">
        <v>26</v>
      </c>
      <c r="AB9" s="3472">
        <v>1465</v>
      </c>
      <c r="AC9" s="3472" t="s">
        <v>3590</v>
      </c>
      <c r="AD9" s="3471"/>
      <c r="AE9" s="3483" t="s">
        <v>3447</v>
      </c>
      <c r="AF9" s="3476" t="s">
        <v>3611</v>
      </c>
      <c r="AG9" s="3481" t="s">
        <v>3448</v>
      </c>
      <c r="AH9" s="3471"/>
      <c r="AI9" s="3483" t="s">
        <v>3612</v>
      </c>
      <c r="AJ9" s="3503">
        <v>39082</v>
      </c>
      <c r="AK9" s="3482" t="s">
        <v>3569</v>
      </c>
      <c r="AL9" s="3480">
        <v>67641700</v>
      </c>
      <c r="AM9" s="3480"/>
      <c r="AN9" s="3483" t="s">
        <v>3594</v>
      </c>
      <c r="AO9" s="3480"/>
      <c r="AP9" s="3483" t="s">
        <v>3450</v>
      </c>
      <c r="AQ9" s="3480" t="s">
        <v>3613</v>
      </c>
      <c r="AR9" s="3480" t="s">
        <v>3596</v>
      </c>
      <c r="AS9" s="3480" t="s">
        <v>3596</v>
      </c>
      <c r="AT9" s="3480" t="s">
        <v>3596</v>
      </c>
      <c r="AU9" s="3480"/>
      <c r="AV9" s="3480"/>
      <c r="AW9" s="3480" t="s">
        <v>3614</v>
      </c>
      <c r="AX9" s="3480" t="s">
        <v>3615</v>
      </c>
      <c r="AY9" s="3484" t="s">
        <v>3616</v>
      </c>
      <c r="AZ9" s="3472" t="s">
        <v>3596</v>
      </c>
      <c r="BA9" s="3532" t="s">
        <v>3596</v>
      </c>
      <c r="BB9" s="3533" t="s">
        <v>3596</v>
      </c>
      <c r="BC9" s="3532" t="s">
        <v>3596</v>
      </c>
      <c r="BD9" s="3534" t="s">
        <v>3596</v>
      </c>
      <c r="BE9" s="3480" t="s">
        <v>3596</v>
      </c>
      <c r="BF9" s="3486" t="s">
        <v>3596</v>
      </c>
      <c r="BG9" s="3535">
        <v>38708</v>
      </c>
      <c r="BH9" s="3472" t="s">
        <v>3453</v>
      </c>
      <c r="BI9" s="3472" t="s">
        <v>3601</v>
      </c>
      <c r="BJ9" s="3493">
        <v>38742</v>
      </c>
      <c r="BK9" s="3493"/>
      <c r="BL9" s="3472" t="s">
        <v>3454</v>
      </c>
      <c r="BM9" s="3480"/>
      <c r="BN9" s="3480"/>
      <c r="BO9" s="3480"/>
      <c r="BP9" s="3480"/>
      <c r="BQ9" s="3480">
        <v>6362</v>
      </c>
      <c r="BR9" s="3480">
        <v>6425</v>
      </c>
      <c r="BS9" s="3529"/>
      <c r="BT9" s="3529"/>
      <c r="BU9" s="3529"/>
    </row>
    <row r="10" spans="1:73" s="3490" customFormat="1" ht="12">
      <c r="A10" s="3472" t="s">
        <v>3617</v>
      </c>
      <c r="B10" s="3472" t="s">
        <v>3618</v>
      </c>
      <c r="C10" s="3473" t="s">
        <v>3619</v>
      </c>
      <c r="D10" s="3473" t="s">
        <v>3620</v>
      </c>
      <c r="E10" s="3492" t="s">
        <v>3446</v>
      </c>
      <c r="F10" s="3492" t="s">
        <v>3545</v>
      </c>
      <c r="G10" s="3472"/>
      <c r="H10" s="3492" t="s">
        <v>3621</v>
      </c>
      <c r="I10" s="3476" t="s">
        <v>3622</v>
      </c>
      <c r="J10" s="3472" t="s">
        <v>3623</v>
      </c>
      <c r="K10" s="3472" t="s">
        <v>3549</v>
      </c>
      <c r="L10" s="3475">
        <v>102.2</v>
      </c>
      <c r="M10" s="3472">
        <v>4</v>
      </c>
      <c r="N10" s="3472" t="s">
        <v>3624</v>
      </c>
      <c r="O10" s="3472">
        <v>86.36</v>
      </c>
      <c r="P10" s="3472" t="s">
        <v>3457</v>
      </c>
      <c r="Q10" s="3504">
        <v>570289</v>
      </c>
      <c r="R10" s="3472">
        <v>5580</v>
      </c>
      <c r="S10" s="3500">
        <v>56.57</v>
      </c>
      <c r="T10" s="3498">
        <v>565700</v>
      </c>
      <c r="U10" s="3472">
        <v>5536</v>
      </c>
      <c r="V10" s="3495">
        <v>0.1</v>
      </c>
      <c r="W10" s="3479">
        <v>50.91</v>
      </c>
      <c r="X10" s="3530">
        <v>509099.99999999994</v>
      </c>
      <c r="Y10" s="3480">
        <v>2006</v>
      </c>
      <c r="Z10" s="3480">
        <v>2</v>
      </c>
      <c r="AA10" s="3480">
        <v>13</v>
      </c>
      <c r="AB10" s="3472">
        <v>1500</v>
      </c>
      <c r="AC10" s="3472" t="s">
        <v>3537</v>
      </c>
      <c r="AD10" s="3471"/>
      <c r="AE10" s="3483" t="s">
        <v>3447</v>
      </c>
      <c r="AF10" s="3476" t="s">
        <v>3591</v>
      </c>
      <c r="AG10" s="3481" t="s">
        <v>3448</v>
      </c>
      <c r="AH10" s="3471"/>
      <c r="AI10" s="3483" t="s">
        <v>3538</v>
      </c>
      <c r="AJ10" s="3503">
        <v>39066</v>
      </c>
      <c r="AK10" s="3482">
        <v>2</v>
      </c>
      <c r="AL10" s="3480">
        <v>67641700</v>
      </c>
      <c r="AM10" s="3480"/>
      <c r="AN10" s="3483" t="s">
        <v>3625</v>
      </c>
      <c r="AO10" s="3472"/>
      <c r="AP10" s="3483" t="s">
        <v>3450</v>
      </c>
      <c r="AQ10" s="3480" t="s">
        <v>3451</v>
      </c>
      <c r="AR10" s="3480" t="s">
        <v>3453</v>
      </c>
      <c r="AS10" s="3480" t="s">
        <v>3453</v>
      </c>
      <c r="AT10" s="3480" t="s">
        <v>3453</v>
      </c>
      <c r="AU10" s="3480"/>
      <c r="AV10" s="3480"/>
      <c r="AW10" s="3480" t="s">
        <v>3452</v>
      </c>
      <c r="AX10" s="3480" t="s">
        <v>3540</v>
      </c>
      <c r="AY10" s="3484" t="s">
        <v>3626</v>
      </c>
      <c r="AZ10" s="3472" t="s">
        <v>3453</v>
      </c>
      <c r="BA10" s="3532" t="s">
        <v>3453</v>
      </c>
      <c r="BB10" s="3533" t="s">
        <v>3453</v>
      </c>
      <c r="BC10" s="3532" t="s">
        <v>3453</v>
      </c>
      <c r="BD10" s="3534" t="s">
        <v>3453</v>
      </c>
      <c r="BE10" s="3480" t="s">
        <v>3453</v>
      </c>
      <c r="BF10" s="3486" t="s">
        <v>3453</v>
      </c>
      <c r="BG10" s="3535">
        <v>38735</v>
      </c>
      <c r="BH10" s="3472" t="s">
        <v>3453</v>
      </c>
      <c r="BI10" s="3487" t="s">
        <v>3627</v>
      </c>
      <c r="BJ10" s="3493">
        <v>38758</v>
      </c>
      <c r="BK10" s="3493"/>
      <c r="BL10" s="3472" t="s">
        <v>3454</v>
      </c>
      <c r="BM10" s="3480"/>
      <c r="BN10" s="3480"/>
      <c r="BO10" s="3480"/>
      <c r="BP10" s="3480"/>
      <c r="BQ10" s="3480">
        <v>6550</v>
      </c>
      <c r="BR10" s="3480">
        <v>6604</v>
      </c>
      <c r="BS10" s="3529"/>
      <c r="BT10" s="3529"/>
      <c r="BU10" s="3529"/>
    </row>
    <row r="11" spans="1:73" s="3490" customFormat="1" ht="12">
      <c r="A11" s="3472" t="s">
        <v>3628</v>
      </c>
      <c r="B11" s="3472" t="s">
        <v>3629</v>
      </c>
      <c r="C11" s="3473" t="s">
        <v>3630</v>
      </c>
      <c r="D11" s="3473" t="s">
        <v>3631</v>
      </c>
      <c r="E11" s="3492" t="s">
        <v>3446</v>
      </c>
      <c r="F11" s="3492" t="s">
        <v>3632</v>
      </c>
      <c r="G11" s="3472"/>
      <c r="H11" s="3492" t="s">
        <v>3596</v>
      </c>
      <c r="I11" s="3476" t="s">
        <v>3633</v>
      </c>
      <c r="J11" s="3472" t="s">
        <v>3634</v>
      </c>
      <c r="K11" s="3472" t="s">
        <v>3549</v>
      </c>
      <c r="L11" s="3475">
        <v>96.06</v>
      </c>
      <c r="M11" s="3472">
        <v>5</v>
      </c>
      <c r="N11" s="3472" t="s">
        <v>3589</v>
      </c>
      <c r="O11" s="3472">
        <v>77</v>
      </c>
      <c r="P11" s="3472" t="s">
        <v>3457</v>
      </c>
      <c r="Q11" s="3504">
        <v>467812</v>
      </c>
      <c r="R11" s="3472">
        <v>4870</v>
      </c>
      <c r="S11" s="3500">
        <v>46.32</v>
      </c>
      <c r="T11" s="3498">
        <v>463200</v>
      </c>
      <c r="U11" s="3472">
        <v>4822</v>
      </c>
      <c r="V11" s="3495">
        <v>0.1</v>
      </c>
      <c r="W11" s="3479">
        <v>41.68</v>
      </c>
      <c r="X11" s="3530">
        <v>416800</v>
      </c>
      <c r="Y11" s="3480">
        <v>2006</v>
      </c>
      <c r="Z11" s="3480">
        <v>2</v>
      </c>
      <c r="AA11" s="3480">
        <v>13</v>
      </c>
      <c r="AB11" s="3472">
        <v>1385</v>
      </c>
      <c r="AC11" s="3472" t="s">
        <v>3635</v>
      </c>
      <c r="AD11" s="3471"/>
      <c r="AE11" s="3483" t="s">
        <v>3447</v>
      </c>
      <c r="AF11" s="3476" t="s">
        <v>3636</v>
      </c>
      <c r="AG11" s="3481" t="s">
        <v>3448</v>
      </c>
      <c r="AH11" s="3471"/>
      <c r="AI11" s="3483" t="s">
        <v>3538</v>
      </c>
      <c r="AJ11" s="3503">
        <v>39082</v>
      </c>
      <c r="AK11" s="3482">
        <v>2</v>
      </c>
      <c r="AL11" s="3480">
        <v>67641700</v>
      </c>
      <c r="AM11" s="3480"/>
      <c r="AN11" s="3483" t="s">
        <v>3637</v>
      </c>
      <c r="AO11" s="3472"/>
      <c r="AP11" s="3483" t="s">
        <v>3450</v>
      </c>
      <c r="AQ11" s="3480" t="s">
        <v>3451</v>
      </c>
      <c r="AR11" s="3480" t="s">
        <v>3453</v>
      </c>
      <c r="AS11" s="3480" t="s">
        <v>3453</v>
      </c>
      <c r="AT11" s="3480" t="s">
        <v>3453</v>
      </c>
      <c r="AU11" s="3480"/>
      <c r="AV11" s="3480"/>
      <c r="AW11" s="3480" t="s">
        <v>3452</v>
      </c>
      <c r="AX11" s="3480" t="s">
        <v>3540</v>
      </c>
      <c r="AY11" s="3484" t="s">
        <v>3638</v>
      </c>
      <c r="AZ11" s="3472" t="s">
        <v>3453</v>
      </c>
      <c r="BA11" s="3532" t="s">
        <v>3453</v>
      </c>
      <c r="BB11" s="3533" t="s">
        <v>3453</v>
      </c>
      <c r="BC11" s="3532" t="s">
        <v>3453</v>
      </c>
      <c r="BD11" s="3534" t="s">
        <v>3453</v>
      </c>
      <c r="BE11" s="3480" t="s">
        <v>3453</v>
      </c>
      <c r="BF11" s="3486" t="s">
        <v>3453</v>
      </c>
      <c r="BG11" s="3535">
        <v>38716</v>
      </c>
      <c r="BH11" s="3472" t="s">
        <v>3453</v>
      </c>
      <c r="BI11" s="3487" t="s">
        <v>3627</v>
      </c>
      <c r="BJ11" s="3493">
        <v>38758</v>
      </c>
      <c r="BK11" s="3493"/>
      <c r="BL11" s="3472" t="s">
        <v>3454</v>
      </c>
      <c r="BM11" s="3480"/>
      <c r="BN11" s="3480"/>
      <c r="BO11" s="3480"/>
      <c r="BP11" s="3480"/>
      <c r="BQ11" s="3480">
        <v>6016</v>
      </c>
      <c r="BR11" s="3480">
        <v>6075</v>
      </c>
      <c r="BS11" s="3529"/>
      <c r="BT11" s="3529"/>
      <c r="BU11" s="3529"/>
    </row>
    <row r="12" spans="1:73" s="3490" customFormat="1" ht="12">
      <c r="A12" s="3472" t="s">
        <v>3639</v>
      </c>
      <c r="B12" s="3472" t="s">
        <v>3640</v>
      </c>
      <c r="C12" s="3473" t="s">
        <v>3641</v>
      </c>
      <c r="D12" s="3473" t="s">
        <v>3642</v>
      </c>
      <c r="E12" s="3492" t="s">
        <v>3446</v>
      </c>
      <c r="F12" s="3492" t="s">
        <v>3545</v>
      </c>
      <c r="G12" s="3472"/>
      <c r="H12" s="3492" t="s">
        <v>3643</v>
      </c>
      <c r="I12" s="3476" t="s">
        <v>3644</v>
      </c>
      <c r="J12" s="3472" t="s">
        <v>3645</v>
      </c>
      <c r="K12" s="3472" t="s">
        <v>3549</v>
      </c>
      <c r="L12" s="3475">
        <v>132.28</v>
      </c>
      <c r="M12" s="3472">
        <v>12</v>
      </c>
      <c r="N12" s="3472" t="s">
        <v>3646</v>
      </c>
      <c r="O12" s="3472">
        <v>111.76</v>
      </c>
      <c r="P12" s="3472" t="s">
        <v>3457</v>
      </c>
      <c r="Q12" s="3504">
        <v>775214</v>
      </c>
      <c r="R12" s="3472">
        <v>5860</v>
      </c>
      <c r="S12" s="3500">
        <v>76.849999999999994</v>
      </c>
      <c r="T12" s="3498">
        <v>768500</v>
      </c>
      <c r="U12" s="3472">
        <v>5810</v>
      </c>
      <c r="V12" s="3495">
        <v>0.1</v>
      </c>
      <c r="W12" s="3479">
        <v>69.16</v>
      </c>
      <c r="X12" s="3530">
        <v>691600</v>
      </c>
      <c r="Y12" s="3480">
        <v>2006</v>
      </c>
      <c r="Z12" s="3480">
        <v>2</v>
      </c>
      <c r="AA12" s="3480">
        <v>14</v>
      </c>
      <c r="AB12" s="3472">
        <v>1500</v>
      </c>
      <c r="AC12" s="3472" t="s">
        <v>3537</v>
      </c>
      <c r="AD12" s="3471"/>
      <c r="AE12" s="3483" t="s">
        <v>3447</v>
      </c>
      <c r="AF12" s="3476" t="s">
        <v>3647</v>
      </c>
      <c r="AG12" s="3481" t="s">
        <v>3448</v>
      </c>
      <c r="AH12" s="3471"/>
      <c r="AI12" s="3483" t="s">
        <v>3538</v>
      </c>
      <c r="AJ12" s="3503">
        <v>39051</v>
      </c>
      <c r="AK12" s="3482">
        <v>2</v>
      </c>
      <c r="AL12" s="3480">
        <v>67641700</v>
      </c>
      <c r="AM12" s="3480"/>
      <c r="AN12" s="3483" t="s">
        <v>3625</v>
      </c>
      <c r="AO12" s="3472"/>
      <c r="AP12" s="3483" t="s">
        <v>3450</v>
      </c>
      <c r="AQ12" s="3480" t="s">
        <v>3451</v>
      </c>
      <c r="AR12" s="3480" t="s">
        <v>3453</v>
      </c>
      <c r="AS12" s="3480" t="s">
        <v>3453</v>
      </c>
      <c r="AT12" s="3480" t="s">
        <v>3453</v>
      </c>
      <c r="AU12" s="3480"/>
      <c r="AV12" s="3480"/>
      <c r="AW12" s="3480" t="s">
        <v>3452</v>
      </c>
      <c r="AX12" s="3480" t="s">
        <v>3540</v>
      </c>
      <c r="AY12" s="3484" t="s">
        <v>3648</v>
      </c>
      <c r="AZ12" s="3472" t="s">
        <v>3453</v>
      </c>
      <c r="BA12" s="3532" t="s">
        <v>3453</v>
      </c>
      <c r="BB12" s="3533" t="s">
        <v>3453</v>
      </c>
      <c r="BC12" s="3532" t="s">
        <v>3453</v>
      </c>
      <c r="BD12" s="3534" t="s">
        <v>3453</v>
      </c>
      <c r="BE12" s="3480" t="s">
        <v>3453</v>
      </c>
      <c r="BF12" s="3486" t="s">
        <v>3453</v>
      </c>
      <c r="BG12" s="3535">
        <v>38711</v>
      </c>
      <c r="BH12" s="3472" t="s">
        <v>3453</v>
      </c>
      <c r="BI12" s="3487" t="s">
        <v>3627</v>
      </c>
      <c r="BJ12" s="3493">
        <v>38758</v>
      </c>
      <c r="BK12" s="3493"/>
      <c r="BL12" s="3472" t="s">
        <v>3454</v>
      </c>
      <c r="BM12" s="3480"/>
      <c r="BN12" s="3480"/>
      <c r="BO12" s="3480"/>
      <c r="BP12" s="3480"/>
      <c r="BQ12" s="3480">
        <v>6876</v>
      </c>
      <c r="BR12" s="3480">
        <v>6936</v>
      </c>
      <c r="BS12" s="3529"/>
      <c r="BT12" s="3529"/>
      <c r="BU12" s="3529"/>
    </row>
    <row r="13" spans="1:73" s="3490" customFormat="1" ht="12">
      <c r="A13" s="3471" t="s">
        <v>3649</v>
      </c>
      <c r="B13" s="3472" t="s">
        <v>3650</v>
      </c>
      <c r="C13" s="3473" t="s">
        <v>3651</v>
      </c>
      <c r="D13" s="3473" t="s">
        <v>3652</v>
      </c>
      <c r="E13" s="3492" t="s">
        <v>3606</v>
      </c>
      <c r="F13" s="3492" t="s">
        <v>3607</v>
      </c>
      <c r="G13" s="3472"/>
      <c r="H13" s="3492" t="s">
        <v>3653</v>
      </c>
      <c r="I13" s="3472" t="s">
        <v>3654</v>
      </c>
      <c r="J13" s="3472" t="s">
        <v>3655</v>
      </c>
      <c r="K13" s="3472" t="s">
        <v>3610</v>
      </c>
      <c r="L13" s="3475">
        <v>100.79</v>
      </c>
      <c r="M13" s="3472">
        <v>17</v>
      </c>
      <c r="N13" s="3472" t="s">
        <v>3656</v>
      </c>
      <c r="O13" s="3472">
        <v>82.23</v>
      </c>
      <c r="P13" s="3472" t="s">
        <v>3457</v>
      </c>
      <c r="Q13" s="3504">
        <v>504982</v>
      </c>
      <c r="R13" s="3472">
        <v>5010</v>
      </c>
      <c r="S13" s="3500">
        <v>49.99</v>
      </c>
      <c r="T13" s="3498">
        <v>499900</v>
      </c>
      <c r="U13" s="3472">
        <v>4960</v>
      </c>
      <c r="V13" s="3495">
        <v>0.1</v>
      </c>
      <c r="W13" s="3479">
        <v>44.99</v>
      </c>
      <c r="X13" s="3530">
        <v>449900</v>
      </c>
      <c r="Y13" s="3480">
        <v>2006</v>
      </c>
      <c r="Z13" s="3480">
        <v>2</v>
      </c>
      <c r="AA13" s="3480">
        <v>23</v>
      </c>
      <c r="AB13" s="3472">
        <v>1495</v>
      </c>
      <c r="AC13" s="3472" t="s">
        <v>3657</v>
      </c>
      <c r="AD13" s="3471"/>
      <c r="AE13" s="3483" t="s">
        <v>3447</v>
      </c>
      <c r="AF13" s="3476" t="s">
        <v>3636</v>
      </c>
      <c r="AG13" s="3481" t="s">
        <v>3448</v>
      </c>
      <c r="AH13" s="3471"/>
      <c r="AI13" s="3483" t="s">
        <v>3612</v>
      </c>
      <c r="AJ13" s="3503">
        <v>39021</v>
      </c>
      <c r="AK13" s="3482">
        <v>2</v>
      </c>
      <c r="AL13" s="3480">
        <v>67641700</v>
      </c>
      <c r="AM13" s="3480"/>
      <c r="AN13" s="3472" t="s">
        <v>3658</v>
      </c>
      <c r="AO13" s="3480"/>
      <c r="AP13" s="3483" t="s">
        <v>3450</v>
      </c>
      <c r="AQ13" s="3472" t="s">
        <v>3595</v>
      </c>
      <c r="AR13" s="3480" t="s">
        <v>3596</v>
      </c>
      <c r="AS13" s="3480" t="s">
        <v>3596</v>
      </c>
      <c r="AT13" s="3480" t="s">
        <v>3596</v>
      </c>
      <c r="AU13" s="3480"/>
      <c r="AV13" s="3480"/>
      <c r="AW13" s="3480" t="s">
        <v>3614</v>
      </c>
      <c r="AX13" s="3480" t="s">
        <v>3615</v>
      </c>
      <c r="AY13" s="3484" t="s">
        <v>3659</v>
      </c>
      <c r="AZ13" s="3471" t="s">
        <v>3596</v>
      </c>
      <c r="BA13" s="3532" t="s">
        <v>3596</v>
      </c>
      <c r="BB13" s="3533" t="s">
        <v>3596</v>
      </c>
      <c r="BC13" s="3532" t="s">
        <v>3596</v>
      </c>
      <c r="BD13" s="3534" t="s">
        <v>3596</v>
      </c>
      <c r="BE13" s="3480" t="s">
        <v>3596</v>
      </c>
      <c r="BF13" s="3486" t="s">
        <v>3596</v>
      </c>
      <c r="BG13" s="3535">
        <v>38756</v>
      </c>
      <c r="BH13" s="3472" t="s">
        <v>3453</v>
      </c>
      <c r="BI13" s="3472" t="s">
        <v>3552</v>
      </c>
      <c r="BJ13" s="3493">
        <v>38770</v>
      </c>
      <c r="BK13" s="3493"/>
      <c r="BL13" s="3472" t="s">
        <v>3454</v>
      </c>
      <c r="BM13" s="3480"/>
      <c r="BN13" s="3480"/>
      <c r="BO13" s="3480"/>
      <c r="BP13" s="3480"/>
      <c r="BQ13" s="3480">
        <v>6079</v>
      </c>
      <c r="BR13" s="3480">
        <v>6141</v>
      </c>
      <c r="BS13" s="3529"/>
      <c r="BT13" s="3529"/>
      <c r="BU13" s="3529"/>
    </row>
    <row r="14" spans="1:73" s="3490" customFormat="1" ht="12">
      <c r="A14" s="3471" t="s">
        <v>3660</v>
      </c>
      <c r="B14" s="3472" t="s">
        <v>3661</v>
      </c>
      <c r="C14" s="3473" t="s">
        <v>3662</v>
      </c>
      <c r="D14" s="3473" t="s">
        <v>3663</v>
      </c>
      <c r="E14" s="3492" t="s">
        <v>3606</v>
      </c>
      <c r="F14" s="3492" t="s">
        <v>3607</v>
      </c>
      <c r="G14" s="3472"/>
      <c r="H14" s="3492" t="s">
        <v>3565</v>
      </c>
      <c r="I14" s="3472" t="s">
        <v>3664</v>
      </c>
      <c r="J14" s="3472" t="s">
        <v>3665</v>
      </c>
      <c r="K14" s="3472" t="s">
        <v>3610</v>
      </c>
      <c r="L14" s="3475">
        <v>90.61</v>
      </c>
      <c r="M14" s="3472">
        <v>6</v>
      </c>
      <c r="N14" s="3472" t="s">
        <v>3568</v>
      </c>
      <c r="O14" s="3472">
        <v>76.56</v>
      </c>
      <c r="P14" s="3472" t="s">
        <v>3457</v>
      </c>
      <c r="Q14" s="3504">
        <v>518101</v>
      </c>
      <c r="R14" s="3472">
        <v>5718</v>
      </c>
      <c r="S14" s="3500">
        <v>51.35</v>
      </c>
      <c r="T14" s="3498">
        <v>513500</v>
      </c>
      <c r="U14" s="3472">
        <v>5668</v>
      </c>
      <c r="V14" s="3495">
        <v>0.1</v>
      </c>
      <c r="W14" s="3479">
        <v>46.21</v>
      </c>
      <c r="X14" s="3530">
        <v>462100</v>
      </c>
      <c r="Y14" s="3480">
        <v>2006</v>
      </c>
      <c r="Z14" s="3480">
        <v>2</v>
      </c>
      <c r="AA14" s="3480">
        <v>23</v>
      </c>
      <c r="AB14" s="3472">
        <v>1500</v>
      </c>
      <c r="AC14" s="3472" t="s">
        <v>3590</v>
      </c>
      <c r="AD14" s="3471"/>
      <c r="AE14" s="3483" t="s">
        <v>3447</v>
      </c>
      <c r="AF14" s="3472" t="s">
        <v>3591</v>
      </c>
      <c r="AG14" s="3481" t="s">
        <v>3448</v>
      </c>
      <c r="AH14" s="3471"/>
      <c r="AI14" s="3483" t="s">
        <v>3612</v>
      </c>
      <c r="AJ14" s="3503">
        <v>39066</v>
      </c>
      <c r="AK14" s="3482">
        <v>2</v>
      </c>
      <c r="AL14" s="3480">
        <v>67641700</v>
      </c>
      <c r="AM14" s="3480"/>
      <c r="AN14" s="3472" t="s">
        <v>3570</v>
      </c>
      <c r="AO14" s="3480"/>
      <c r="AP14" s="3483" t="s">
        <v>3450</v>
      </c>
      <c r="AQ14" s="3472" t="s">
        <v>3613</v>
      </c>
      <c r="AR14" s="3480" t="s">
        <v>3596</v>
      </c>
      <c r="AS14" s="3480" t="s">
        <v>3596</v>
      </c>
      <c r="AT14" s="3480" t="s">
        <v>3596</v>
      </c>
      <c r="AU14" s="3480"/>
      <c r="AV14" s="3480"/>
      <c r="AW14" s="3480" t="s">
        <v>3614</v>
      </c>
      <c r="AX14" s="3480" t="s">
        <v>3615</v>
      </c>
      <c r="AY14" s="3484" t="s">
        <v>3666</v>
      </c>
      <c r="AZ14" s="3471" t="s">
        <v>3596</v>
      </c>
      <c r="BA14" s="3532" t="s">
        <v>3596</v>
      </c>
      <c r="BB14" s="3533" t="s">
        <v>3596</v>
      </c>
      <c r="BC14" s="3532" t="s">
        <v>3596</v>
      </c>
      <c r="BD14" s="3534" t="s">
        <v>3596</v>
      </c>
      <c r="BE14" s="3480" t="s">
        <v>3596</v>
      </c>
      <c r="BF14" s="3486" t="s">
        <v>3596</v>
      </c>
      <c r="BG14" s="3535">
        <v>38738</v>
      </c>
      <c r="BH14" s="3472" t="s">
        <v>3453</v>
      </c>
      <c r="BI14" s="3472" t="s">
        <v>3552</v>
      </c>
      <c r="BJ14" s="3493">
        <v>38770</v>
      </c>
      <c r="BK14" s="3493"/>
      <c r="BL14" s="3472" t="s">
        <v>3454</v>
      </c>
      <c r="BM14" s="3480"/>
      <c r="BN14" s="3480"/>
      <c r="BO14" s="3480"/>
      <c r="BP14" s="3480"/>
      <c r="BQ14" s="3480">
        <v>6707</v>
      </c>
      <c r="BR14" s="3480">
        <v>6767</v>
      </c>
      <c r="BS14" s="3529"/>
      <c r="BT14" s="3529"/>
      <c r="BU14" s="3529"/>
    </row>
    <row r="15" spans="1:73" s="3490" customFormat="1" ht="12">
      <c r="A15" s="3471" t="s">
        <v>3667</v>
      </c>
      <c r="B15" s="3472" t="s">
        <v>3668</v>
      </c>
      <c r="C15" s="3473" t="s">
        <v>3669</v>
      </c>
      <c r="D15" s="3473" t="s">
        <v>3670</v>
      </c>
      <c r="E15" s="3492" t="s">
        <v>3606</v>
      </c>
      <c r="F15" s="3492" t="s">
        <v>3607</v>
      </c>
      <c r="G15" s="3472"/>
      <c r="H15" s="3492" t="s">
        <v>3565</v>
      </c>
      <c r="I15" s="3472" t="s">
        <v>3671</v>
      </c>
      <c r="J15" s="3472" t="s">
        <v>3672</v>
      </c>
      <c r="K15" s="3472" t="s">
        <v>3610</v>
      </c>
      <c r="L15" s="3475">
        <v>102.2</v>
      </c>
      <c r="M15" s="3472">
        <v>10</v>
      </c>
      <c r="N15" s="3472" t="s">
        <v>3624</v>
      </c>
      <c r="O15" s="3472">
        <v>86.36</v>
      </c>
      <c r="P15" s="3472" t="s">
        <v>3457</v>
      </c>
      <c r="Q15" s="3504">
        <v>587650</v>
      </c>
      <c r="R15" s="3472">
        <v>5750</v>
      </c>
      <c r="S15" s="3500">
        <v>58.25</v>
      </c>
      <c r="T15" s="3498">
        <v>582500</v>
      </c>
      <c r="U15" s="3472">
        <v>5700</v>
      </c>
      <c r="V15" s="3495">
        <v>0.1</v>
      </c>
      <c r="W15" s="3479">
        <v>52.42</v>
      </c>
      <c r="X15" s="3530">
        <v>524200</v>
      </c>
      <c r="Y15" s="3480">
        <v>2006</v>
      </c>
      <c r="Z15" s="3480">
        <v>2</v>
      </c>
      <c r="AA15" s="3480">
        <v>23</v>
      </c>
      <c r="AB15" s="3472">
        <v>1500</v>
      </c>
      <c r="AC15" s="3472" t="s">
        <v>3657</v>
      </c>
      <c r="AD15" s="3471"/>
      <c r="AE15" s="3483" t="s">
        <v>3447</v>
      </c>
      <c r="AF15" s="3472" t="s">
        <v>3636</v>
      </c>
      <c r="AG15" s="3481" t="s">
        <v>3448</v>
      </c>
      <c r="AH15" s="3471"/>
      <c r="AI15" s="3483" t="s">
        <v>3612</v>
      </c>
      <c r="AJ15" s="3503">
        <v>39066</v>
      </c>
      <c r="AK15" s="3482">
        <v>2</v>
      </c>
      <c r="AL15" s="3480">
        <v>67641700</v>
      </c>
      <c r="AM15" s="3480"/>
      <c r="AN15" s="3472" t="s">
        <v>3570</v>
      </c>
      <c r="AO15" s="3480"/>
      <c r="AP15" s="3483" t="s">
        <v>3450</v>
      </c>
      <c r="AQ15" s="3472" t="s">
        <v>3613</v>
      </c>
      <c r="AR15" s="3480" t="s">
        <v>3596</v>
      </c>
      <c r="AS15" s="3480" t="s">
        <v>3596</v>
      </c>
      <c r="AT15" s="3480" t="s">
        <v>3596</v>
      </c>
      <c r="AU15" s="3480"/>
      <c r="AV15" s="3480"/>
      <c r="AW15" s="3480" t="s">
        <v>3614</v>
      </c>
      <c r="AX15" s="3480" t="s">
        <v>3615</v>
      </c>
      <c r="AY15" s="3484" t="s">
        <v>3673</v>
      </c>
      <c r="AZ15" s="3471" t="s">
        <v>3596</v>
      </c>
      <c r="BA15" s="3532" t="s">
        <v>3596</v>
      </c>
      <c r="BB15" s="3533" t="s">
        <v>3597</v>
      </c>
      <c r="BC15" s="3532" t="s">
        <v>3596</v>
      </c>
      <c r="BD15" s="3534" t="s">
        <v>3596</v>
      </c>
      <c r="BE15" s="3480" t="s">
        <v>3596</v>
      </c>
      <c r="BF15" s="3486" t="s">
        <v>3596</v>
      </c>
      <c r="BG15" s="3535">
        <v>38754</v>
      </c>
      <c r="BH15" s="3472" t="s">
        <v>3453</v>
      </c>
      <c r="BI15" s="3472" t="s">
        <v>3552</v>
      </c>
      <c r="BJ15" s="3493">
        <v>38770</v>
      </c>
      <c r="BK15" s="3493"/>
      <c r="BL15" s="3472" t="s">
        <v>3454</v>
      </c>
      <c r="BM15" s="3480"/>
      <c r="BN15" s="3480"/>
      <c r="BO15" s="3480"/>
      <c r="BP15" s="3480"/>
      <c r="BQ15" s="3480">
        <v>6745</v>
      </c>
      <c r="BR15" s="3480">
        <v>6805</v>
      </c>
      <c r="BS15" s="3529"/>
      <c r="BT15" s="3529"/>
      <c r="BU15" s="3529"/>
    </row>
    <row r="16" spans="1:73" s="3490" customFormat="1" ht="12">
      <c r="A16" s="3472" t="s">
        <v>3674</v>
      </c>
      <c r="B16" s="3472" t="s">
        <v>3675</v>
      </c>
      <c r="C16" s="3473" t="s">
        <v>3676</v>
      </c>
      <c r="D16" s="3473" t="s">
        <v>3677</v>
      </c>
      <c r="E16" s="3492" t="s">
        <v>3446</v>
      </c>
      <c r="F16" s="3492" t="s">
        <v>3678</v>
      </c>
      <c r="G16" s="3472"/>
      <c r="H16" s="3492" t="s">
        <v>3597</v>
      </c>
      <c r="I16" s="3476" t="s">
        <v>3679</v>
      </c>
      <c r="J16" s="3472" t="s">
        <v>3680</v>
      </c>
      <c r="K16" s="3472" t="s">
        <v>3549</v>
      </c>
      <c r="L16" s="3475">
        <v>96.06</v>
      </c>
      <c r="M16" s="3472">
        <v>13</v>
      </c>
      <c r="N16" s="3472" t="s">
        <v>3656</v>
      </c>
      <c r="O16" s="3472">
        <v>77</v>
      </c>
      <c r="P16" s="3472" t="s">
        <v>3457</v>
      </c>
      <c r="Q16" s="3504">
        <v>492788</v>
      </c>
      <c r="R16" s="3472">
        <v>5130</v>
      </c>
      <c r="S16" s="3500">
        <v>48.79</v>
      </c>
      <c r="T16" s="3498">
        <v>487900</v>
      </c>
      <c r="U16" s="3472">
        <v>5080</v>
      </c>
      <c r="V16" s="3495">
        <v>0.1</v>
      </c>
      <c r="W16" s="3479">
        <v>43.91</v>
      </c>
      <c r="X16" s="3530">
        <v>439099.99999999994</v>
      </c>
      <c r="Y16" s="3480">
        <v>2006</v>
      </c>
      <c r="Z16" s="3480">
        <v>2</v>
      </c>
      <c r="AA16" s="3480">
        <v>24</v>
      </c>
      <c r="AB16" s="3472">
        <v>1460</v>
      </c>
      <c r="AC16" s="3472" t="s">
        <v>3657</v>
      </c>
      <c r="AD16" s="3471"/>
      <c r="AE16" s="3483" t="s">
        <v>3447</v>
      </c>
      <c r="AF16" s="3476" t="s">
        <v>3591</v>
      </c>
      <c r="AG16" s="3481" t="s">
        <v>3448</v>
      </c>
      <c r="AH16" s="3471"/>
      <c r="AI16" s="3483" t="s">
        <v>3538</v>
      </c>
      <c r="AJ16" s="3503">
        <v>39082</v>
      </c>
      <c r="AK16" s="3482">
        <v>2</v>
      </c>
      <c r="AL16" s="3480">
        <v>67641700</v>
      </c>
      <c r="AM16" s="3480"/>
      <c r="AN16" s="3483" t="s">
        <v>3658</v>
      </c>
      <c r="AO16" s="3472"/>
      <c r="AP16" s="3483" t="s">
        <v>3450</v>
      </c>
      <c r="AQ16" s="3480" t="s">
        <v>3451</v>
      </c>
      <c r="AR16" s="3480" t="s">
        <v>3453</v>
      </c>
      <c r="AS16" s="3480" t="s">
        <v>3453</v>
      </c>
      <c r="AT16" s="3480" t="s">
        <v>3453</v>
      </c>
      <c r="AU16" s="3480"/>
      <c r="AV16" s="3480"/>
      <c r="AW16" s="3480" t="s">
        <v>3452</v>
      </c>
      <c r="AX16" s="3480" t="s">
        <v>3540</v>
      </c>
      <c r="AY16" s="3484" t="s">
        <v>3681</v>
      </c>
      <c r="AZ16" s="3472" t="s">
        <v>3453</v>
      </c>
      <c r="BA16" s="3532" t="s">
        <v>3453</v>
      </c>
      <c r="BB16" s="3533" t="s">
        <v>3453</v>
      </c>
      <c r="BC16" s="3532" t="s">
        <v>3453</v>
      </c>
      <c r="BD16" s="3534" t="s">
        <v>3453</v>
      </c>
      <c r="BE16" s="3480" t="s">
        <v>3453</v>
      </c>
      <c r="BF16" s="3486" t="s">
        <v>3453</v>
      </c>
      <c r="BG16" s="3535">
        <v>38759</v>
      </c>
      <c r="BH16" s="3472" t="s">
        <v>3453</v>
      </c>
      <c r="BI16" s="3487" t="s">
        <v>3682</v>
      </c>
      <c r="BJ16" s="3493">
        <v>38771</v>
      </c>
      <c r="BK16" s="3493"/>
      <c r="BL16" s="3472" t="s">
        <v>3454</v>
      </c>
      <c r="BM16" s="3480"/>
      <c r="BN16" s="3480"/>
      <c r="BO16" s="3480"/>
      <c r="BP16" s="3480"/>
      <c r="BQ16" s="3480">
        <v>6336</v>
      </c>
      <c r="BR16" s="3480">
        <v>6400</v>
      </c>
      <c r="BS16" s="3529"/>
      <c r="BT16" s="3529"/>
      <c r="BU16" s="3529"/>
    </row>
    <row r="17" spans="1:73" s="3490" customFormat="1" ht="12">
      <c r="A17" s="3472" t="s">
        <v>3683</v>
      </c>
      <c r="B17" s="3472" t="s">
        <v>3684</v>
      </c>
      <c r="C17" s="3473" t="s">
        <v>3685</v>
      </c>
      <c r="D17" s="3473" t="s">
        <v>3686</v>
      </c>
      <c r="E17" s="3492" t="s">
        <v>3446</v>
      </c>
      <c r="F17" s="3492" t="s">
        <v>3545</v>
      </c>
      <c r="G17" s="3472"/>
      <c r="H17" s="3492" t="s">
        <v>3687</v>
      </c>
      <c r="I17" s="3476" t="s">
        <v>3688</v>
      </c>
      <c r="J17" s="3472" t="s">
        <v>3689</v>
      </c>
      <c r="K17" s="3472" t="s">
        <v>3549</v>
      </c>
      <c r="L17" s="3494">
        <v>127.48</v>
      </c>
      <c r="M17" s="3472">
        <v>7</v>
      </c>
      <c r="N17" s="3472" t="s">
        <v>3690</v>
      </c>
      <c r="O17" s="3472">
        <v>107.7</v>
      </c>
      <c r="P17" s="3472" t="s">
        <v>3457</v>
      </c>
      <c r="Q17" s="3504">
        <v>730560</v>
      </c>
      <c r="R17" s="3472">
        <v>5731</v>
      </c>
      <c r="S17" s="3500">
        <v>72.42</v>
      </c>
      <c r="T17" s="3498">
        <v>724200</v>
      </c>
      <c r="U17" s="3472">
        <v>5681</v>
      </c>
      <c r="V17" s="3495">
        <v>0.1</v>
      </c>
      <c r="W17" s="3479">
        <v>65.17</v>
      </c>
      <c r="X17" s="3530">
        <v>651700</v>
      </c>
      <c r="Y17" s="3480">
        <v>2006</v>
      </c>
      <c r="Z17" s="3480">
        <v>2</v>
      </c>
      <c r="AA17" s="3480">
        <v>27</v>
      </c>
      <c r="AB17" s="3472">
        <v>1500</v>
      </c>
      <c r="AC17" s="3472" t="s">
        <v>3537</v>
      </c>
      <c r="AD17" s="3471"/>
      <c r="AE17" s="3483" t="s">
        <v>3447</v>
      </c>
      <c r="AF17" s="3476" t="s">
        <v>3591</v>
      </c>
      <c r="AG17" s="3481" t="s">
        <v>3448</v>
      </c>
      <c r="AH17" s="3471"/>
      <c r="AI17" s="3483" t="s">
        <v>3538</v>
      </c>
      <c r="AJ17" s="3503">
        <v>39051</v>
      </c>
      <c r="AK17" s="3482">
        <v>2</v>
      </c>
      <c r="AL17" s="3480">
        <v>67641700</v>
      </c>
      <c r="AM17" s="3480"/>
      <c r="AN17" s="3483" t="s">
        <v>3691</v>
      </c>
      <c r="AO17" s="3472"/>
      <c r="AP17" s="3483" t="s">
        <v>3450</v>
      </c>
      <c r="AQ17" s="3480" t="s">
        <v>3451</v>
      </c>
      <c r="AR17" s="3480" t="s">
        <v>3453</v>
      </c>
      <c r="AS17" s="3480" t="s">
        <v>3453</v>
      </c>
      <c r="AT17" s="3480" t="s">
        <v>3453</v>
      </c>
      <c r="AU17" s="3480"/>
      <c r="AV17" s="3480"/>
      <c r="AW17" s="3480" t="s">
        <v>3452</v>
      </c>
      <c r="AX17" s="3480" t="s">
        <v>3540</v>
      </c>
      <c r="AY17" s="3484" t="s">
        <v>3692</v>
      </c>
      <c r="AZ17" s="3472" t="s">
        <v>3453</v>
      </c>
      <c r="BA17" s="3532" t="s">
        <v>3453</v>
      </c>
      <c r="BB17" s="3533" t="s">
        <v>3453</v>
      </c>
      <c r="BC17" s="3532" t="s">
        <v>3453</v>
      </c>
      <c r="BD17" s="3534" t="s">
        <v>3453</v>
      </c>
      <c r="BE17" s="3480" t="s">
        <v>3453</v>
      </c>
      <c r="BF17" s="3486" t="s">
        <v>3453</v>
      </c>
      <c r="BG17" s="3535">
        <v>38716</v>
      </c>
      <c r="BH17" s="3472" t="s">
        <v>3453</v>
      </c>
      <c r="BI17" s="3487" t="s">
        <v>3682</v>
      </c>
      <c r="BJ17" s="3489">
        <v>38772</v>
      </c>
      <c r="BK17" s="3493"/>
      <c r="BL17" s="3472" t="s">
        <v>3454</v>
      </c>
      <c r="BM17" s="3480"/>
      <c r="BN17" s="3480"/>
      <c r="BO17" s="3480"/>
      <c r="BP17" s="3480"/>
      <c r="BQ17" s="3480">
        <v>6724</v>
      </c>
      <c r="BR17" s="3480">
        <v>6783</v>
      </c>
      <c r="BS17" s="3529"/>
      <c r="BT17" s="3529"/>
      <c r="BU17" s="3529"/>
    </row>
    <row r="18" spans="1:73" s="3490" customFormat="1" ht="12">
      <c r="A18" s="3472" t="s">
        <v>3693</v>
      </c>
      <c r="B18" s="3472" t="s">
        <v>3694</v>
      </c>
      <c r="C18" s="3473" t="s">
        <v>3695</v>
      </c>
      <c r="D18" s="3473" t="s">
        <v>3696</v>
      </c>
      <c r="E18" s="3492" t="s">
        <v>3446</v>
      </c>
      <c r="F18" s="3492" t="s">
        <v>3545</v>
      </c>
      <c r="G18" s="3472"/>
      <c r="H18" s="3492" t="s">
        <v>3687</v>
      </c>
      <c r="I18" s="3476" t="s">
        <v>3697</v>
      </c>
      <c r="J18" s="3472" t="s">
        <v>3698</v>
      </c>
      <c r="K18" s="3472" t="s">
        <v>3549</v>
      </c>
      <c r="L18" s="3494">
        <v>126.62</v>
      </c>
      <c r="M18" s="3472">
        <v>6</v>
      </c>
      <c r="N18" s="3472" t="s">
        <v>3690</v>
      </c>
      <c r="O18" s="3472">
        <v>106.97</v>
      </c>
      <c r="P18" s="3472" t="s">
        <v>3457</v>
      </c>
      <c r="Q18" s="3504">
        <v>728130</v>
      </c>
      <c r="R18" s="3472">
        <v>5751</v>
      </c>
      <c r="S18" s="3500">
        <v>72.180000000000007</v>
      </c>
      <c r="T18" s="3498">
        <v>721800.00000000012</v>
      </c>
      <c r="U18" s="3472">
        <v>5701</v>
      </c>
      <c r="V18" s="3495">
        <v>0.1</v>
      </c>
      <c r="W18" s="3479">
        <v>64.959999999999994</v>
      </c>
      <c r="X18" s="3530">
        <v>649599.99999999988</v>
      </c>
      <c r="Y18" s="3480">
        <v>2006</v>
      </c>
      <c r="Z18" s="3480">
        <v>3</v>
      </c>
      <c r="AA18" s="3505">
        <v>1</v>
      </c>
      <c r="AB18" s="3472">
        <v>1500</v>
      </c>
      <c r="AC18" s="3472" t="s">
        <v>3537</v>
      </c>
      <c r="AD18" s="3471"/>
      <c r="AE18" s="3483" t="s">
        <v>3447</v>
      </c>
      <c r="AF18" s="3476" t="s">
        <v>3591</v>
      </c>
      <c r="AG18" s="3481" t="s">
        <v>3448</v>
      </c>
      <c r="AH18" s="3471"/>
      <c r="AI18" s="3483" t="s">
        <v>3538</v>
      </c>
      <c r="AJ18" s="3503">
        <v>39051</v>
      </c>
      <c r="AK18" s="3482">
        <v>3</v>
      </c>
      <c r="AL18" s="3480">
        <v>67641700</v>
      </c>
      <c r="AM18" s="3480"/>
      <c r="AN18" s="3483" t="s">
        <v>3699</v>
      </c>
      <c r="AO18" s="3472"/>
      <c r="AP18" s="3483" t="s">
        <v>3450</v>
      </c>
      <c r="AQ18" s="3480" t="s">
        <v>3451</v>
      </c>
      <c r="AR18" s="3480" t="s">
        <v>3453</v>
      </c>
      <c r="AS18" s="3480" t="s">
        <v>3453</v>
      </c>
      <c r="AT18" s="3480" t="s">
        <v>3453</v>
      </c>
      <c r="AU18" s="3480"/>
      <c r="AV18" s="3480"/>
      <c r="AW18" s="3480" t="s">
        <v>3452</v>
      </c>
      <c r="AX18" s="3480" t="s">
        <v>3540</v>
      </c>
      <c r="AY18" s="3484" t="s">
        <v>3700</v>
      </c>
      <c r="AZ18" s="3472" t="s">
        <v>3453</v>
      </c>
      <c r="BA18" s="3532" t="s">
        <v>3453</v>
      </c>
      <c r="BB18" s="3533" t="s">
        <v>3453</v>
      </c>
      <c r="BC18" s="3532" t="s">
        <v>3453</v>
      </c>
      <c r="BD18" s="3534" t="s">
        <v>3453</v>
      </c>
      <c r="BE18" s="3480" t="s">
        <v>3453</v>
      </c>
      <c r="BF18" s="3486" t="s">
        <v>3453</v>
      </c>
      <c r="BG18" s="3535">
        <v>38732</v>
      </c>
      <c r="BH18" s="3472" t="s">
        <v>3453</v>
      </c>
      <c r="BI18" s="3487" t="s">
        <v>3701</v>
      </c>
      <c r="BJ18" s="3493">
        <v>38772</v>
      </c>
      <c r="BK18" s="3493"/>
      <c r="BL18" s="3472" t="s">
        <v>3454</v>
      </c>
      <c r="BM18" s="3480"/>
      <c r="BN18" s="3480"/>
      <c r="BO18" s="3480"/>
      <c r="BP18" s="3480"/>
      <c r="BQ18" s="3480">
        <v>6748</v>
      </c>
      <c r="BR18" s="3480">
        <v>6807</v>
      </c>
      <c r="BS18" s="3529"/>
      <c r="BT18" s="3529"/>
      <c r="BU18" s="3529"/>
    </row>
    <row r="19" spans="1:73" s="3490" customFormat="1" ht="12">
      <c r="A19" s="3472" t="s">
        <v>3702</v>
      </c>
      <c r="B19" s="3472" t="s">
        <v>3703</v>
      </c>
      <c r="C19" s="3473" t="s">
        <v>3704</v>
      </c>
      <c r="D19" s="3473" t="s">
        <v>3705</v>
      </c>
      <c r="E19" s="3492" t="s">
        <v>3446</v>
      </c>
      <c r="F19" s="3492" t="s">
        <v>3545</v>
      </c>
      <c r="G19" s="3472"/>
      <c r="H19" s="3492" t="s">
        <v>3706</v>
      </c>
      <c r="I19" s="3476" t="s">
        <v>3707</v>
      </c>
      <c r="J19" s="3472" t="s">
        <v>3708</v>
      </c>
      <c r="K19" s="3472" t="s">
        <v>3549</v>
      </c>
      <c r="L19" s="3494">
        <v>99.79</v>
      </c>
      <c r="M19" s="3472">
        <v>17</v>
      </c>
      <c r="N19" s="3472" t="s">
        <v>3656</v>
      </c>
      <c r="O19" s="3472">
        <v>82.23</v>
      </c>
      <c r="P19" s="3472" t="s">
        <v>3457</v>
      </c>
      <c r="Q19" s="3504">
        <v>499136</v>
      </c>
      <c r="R19" s="3472">
        <v>5002</v>
      </c>
      <c r="S19" s="3500">
        <v>49.41</v>
      </c>
      <c r="T19" s="3498">
        <v>494099.99999999994</v>
      </c>
      <c r="U19" s="3472">
        <v>4952</v>
      </c>
      <c r="V19" s="3495">
        <v>0.1</v>
      </c>
      <c r="W19" s="3479">
        <v>44.46</v>
      </c>
      <c r="X19" s="3530">
        <v>444600</v>
      </c>
      <c r="Y19" s="3480">
        <v>2006</v>
      </c>
      <c r="Z19" s="3480">
        <v>3</v>
      </c>
      <c r="AA19" s="3505">
        <v>3</v>
      </c>
      <c r="AB19" s="3472">
        <v>1480</v>
      </c>
      <c r="AC19" s="3472" t="s">
        <v>3537</v>
      </c>
      <c r="AD19" s="3471"/>
      <c r="AE19" s="3483" t="s">
        <v>3447</v>
      </c>
      <c r="AF19" s="3476" t="s">
        <v>3709</v>
      </c>
      <c r="AG19" s="3481" t="s">
        <v>3448</v>
      </c>
      <c r="AH19" s="3471"/>
      <c r="AI19" s="3483" t="s">
        <v>3538</v>
      </c>
      <c r="AJ19" s="3503">
        <v>38990</v>
      </c>
      <c r="AK19" s="3482">
        <v>3</v>
      </c>
      <c r="AL19" s="3480">
        <v>67641700</v>
      </c>
      <c r="AM19" s="3480"/>
      <c r="AN19" s="3483" t="s">
        <v>3699</v>
      </c>
      <c r="AO19" s="3472"/>
      <c r="AP19" s="3483" t="s">
        <v>3450</v>
      </c>
      <c r="AQ19" s="3480" t="s">
        <v>3451</v>
      </c>
      <c r="AR19" s="3480" t="s">
        <v>3453</v>
      </c>
      <c r="AS19" s="3480" t="s">
        <v>3453</v>
      </c>
      <c r="AT19" s="3480" t="s">
        <v>3453</v>
      </c>
      <c r="AU19" s="3480"/>
      <c r="AV19" s="3480"/>
      <c r="AW19" s="3480" t="s">
        <v>3452</v>
      </c>
      <c r="AX19" s="3480" t="s">
        <v>3540</v>
      </c>
      <c r="AY19" s="3484" t="s">
        <v>3710</v>
      </c>
      <c r="AZ19" s="3472" t="s">
        <v>3453</v>
      </c>
      <c r="BA19" s="3532" t="s">
        <v>3453</v>
      </c>
      <c r="BB19" s="3533" t="s">
        <v>3453</v>
      </c>
      <c r="BC19" s="3532" t="s">
        <v>3453</v>
      </c>
      <c r="BD19" s="3534" t="s">
        <v>3453</v>
      </c>
      <c r="BE19" s="3480" t="s">
        <v>3453</v>
      </c>
      <c r="BF19" s="3486" t="s">
        <v>3453</v>
      </c>
      <c r="BG19" s="3535">
        <v>38744</v>
      </c>
      <c r="BH19" s="3472" t="s">
        <v>3453</v>
      </c>
      <c r="BI19" s="3487" t="s">
        <v>3701</v>
      </c>
      <c r="BJ19" s="3493">
        <v>38776</v>
      </c>
      <c r="BK19" s="3493"/>
      <c r="BL19" s="3472" t="s">
        <v>3454</v>
      </c>
      <c r="BM19" s="3480"/>
      <c r="BN19" s="3480"/>
      <c r="BO19" s="3480"/>
      <c r="BP19" s="3480"/>
      <c r="BQ19" s="3480">
        <v>6009</v>
      </c>
      <c r="BR19" s="3480">
        <v>6070</v>
      </c>
      <c r="BS19" s="3529"/>
      <c r="BT19" s="3529"/>
      <c r="BU19" s="3529"/>
    </row>
    <row r="20" spans="1:73" s="3490" customFormat="1" ht="12">
      <c r="A20" s="3471" t="s">
        <v>3711</v>
      </c>
      <c r="B20" s="3472" t="s">
        <v>3712</v>
      </c>
      <c r="C20" s="3473" t="s">
        <v>3713</v>
      </c>
      <c r="D20" s="3473" t="s">
        <v>3714</v>
      </c>
      <c r="E20" s="3492" t="s">
        <v>3583</v>
      </c>
      <c r="F20" s="3492" t="s">
        <v>3584</v>
      </c>
      <c r="G20" s="3472"/>
      <c r="H20" s="3492" t="s">
        <v>3621</v>
      </c>
      <c r="I20" s="3472" t="s">
        <v>3715</v>
      </c>
      <c r="J20" s="3472" t="s">
        <v>3716</v>
      </c>
      <c r="K20" s="3472" t="s">
        <v>3588</v>
      </c>
      <c r="L20" s="3494">
        <v>126.9</v>
      </c>
      <c r="M20" s="3472">
        <v>3</v>
      </c>
      <c r="N20" s="3472" t="s">
        <v>3690</v>
      </c>
      <c r="O20" s="3472">
        <v>107.23</v>
      </c>
      <c r="P20" s="3472" t="s">
        <v>3457</v>
      </c>
      <c r="Q20" s="3504">
        <v>720792</v>
      </c>
      <c r="R20" s="3472">
        <v>5680</v>
      </c>
      <c r="S20" s="3500">
        <v>71.44</v>
      </c>
      <c r="T20" s="3498">
        <v>714400</v>
      </c>
      <c r="U20" s="3472">
        <v>5630</v>
      </c>
      <c r="V20" s="3495">
        <v>0.1</v>
      </c>
      <c r="W20" s="3479">
        <v>64.290000000000006</v>
      </c>
      <c r="X20" s="3530">
        <v>642900.00000000012</v>
      </c>
      <c r="Y20" s="3480">
        <v>2006</v>
      </c>
      <c r="Z20" s="3480">
        <v>3</v>
      </c>
      <c r="AA20" s="3480">
        <v>7</v>
      </c>
      <c r="AB20" s="3472">
        <v>1500</v>
      </c>
      <c r="AC20" s="3472" t="s">
        <v>3657</v>
      </c>
      <c r="AD20" s="3471"/>
      <c r="AE20" s="3483" t="s">
        <v>3447</v>
      </c>
      <c r="AF20" s="3472" t="s">
        <v>3591</v>
      </c>
      <c r="AG20" s="3481" t="s">
        <v>3448</v>
      </c>
      <c r="AH20" s="3471"/>
      <c r="AI20" s="3483" t="s">
        <v>3592</v>
      </c>
      <c r="AJ20" s="3503">
        <v>39066</v>
      </c>
      <c r="AK20" s="3482">
        <v>3</v>
      </c>
      <c r="AL20" s="3480">
        <v>67641700</v>
      </c>
      <c r="AM20" s="3480"/>
      <c r="AN20" s="3472" t="s">
        <v>3625</v>
      </c>
      <c r="AO20" s="3480"/>
      <c r="AP20" s="3483" t="s">
        <v>3450</v>
      </c>
      <c r="AQ20" s="3472" t="s">
        <v>3595</v>
      </c>
      <c r="AR20" s="3480" t="s">
        <v>3597</v>
      </c>
      <c r="AS20" s="3480" t="s">
        <v>3597</v>
      </c>
      <c r="AT20" s="3480" t="s">
        <v>3597</v>
      </c>
      <c r="AU20" s="3480"/>
      <c r="AV20" s="3480"/>
      <c r="AW20" s="3480" t="s">
        <v>3598</v>
      </c>
      <c r="AX20" s="3480" t="s">
        <v>3599</v>
      </c>
      <c r="AY20" s="3484" t="s">
        <v>3717</v>
      </c>
      <c r="AZ20" s="3471" t="s">
        <v>3597</v>
      </c>
      <c r="BA20" s="3532" t="s">
        <v>3597</v>
      </c>
      <c r="BB20" s="3533" t="s">
        <v>3597</v>
      </c>
      <c r="BC20" s="3532" t="s">
        <v>3597</v>
      </c>
      <c r="BD20" s="3534" t="s">
        <v>3597</v>
      </c>
      <c r="BE20" s="3480" t="s">
        <v>3597</v>
      </c>
      <c r="BF20" s="3486" t="s">
        <v>3597</v>
      </c>
      <c r="BG20" s="3535">
        <v>38766</v>
      </c>
      <c r="BH20" s="3472" t="s">
        <v>3453</v>
      </c>
      <c r="BI20" s="3472" t="s">
        <v>3682</v>
      </c>
      <c r="BJ20" s="3493">
        <v>38779</v>
      </c>
      <c r="BK20" s="3493"/>
      <c r="BL20" s="3472" t="s">
        <v>3454</v>
      </c>
      <c r="BM20" s="3480"/>
      <c r="BN20" s="3480"/>
      <c r="BO20" s="3480"/>
      <c r="BP20" s="3480"/>
      <c r="BQ20" s="3480">
        <v>6662</v>
      </c>
      <c r="BR20" s="3480">
        <v>6722</v>
      </c>
      <c r="BS20" s="3529"/>
      <c r="BT20" s="3529"/>
      <c r="BU20" s="3529"/>
    </row>
    <row r="21" spans="1:73" s="3490" customFormat="1" ht="12">
      <c r="A21" s="3472" t="s">
        <v>3718</v>
      </c>
      <c r="B21" s="3472" t="s">
        <v>3719</v>
      </c>
      <c r="C21" s="3473" t="s">
        <v>3720</v>
      </c>
      <c r="D21" s="3473" t="s">
        <v>3721</v>
      </c>
      <c r="E21" s="3492" t="s">
        <v>3446</v>
      </c>
      <c r="F21" s="3492" t="s">
        <v>3545</v>
      </c>
      <c r="G21" s="3472"/>
      <c r="H21" s="3492" t="s">
        <v>3687</v>
      </c>
      <c r="I21" s="3476" t="s">
        <v>3722</v>
      </c>
      <c r="J21" s="3472" t="s">
        <v>3723</v>
      </c>
      <c r="K21" s="3472" t="s">
        <v>3549</v>
      </c>
      <c r="L21" s="3494">
        <v>128.36000000000001</v>
      </c>
      <c r="M21" s="3472">
        <v>15</v>
      </c>
      <c r="N21" s="3472" t="s">
        <v>3690</v>
      </c>
      <c r="O21" s="3472">
        <v>108.44</v>
      </c>
      <c r="P21" s="3472" t="s">
        <v>3457</v>
      </c>
      <c r="Q21" s="3504">
        <v>743788</v>
      </c>
      <c r="R21" s="3472">
        <v>5795</v>
      </c>
      <c r="S21" s="3500">
        <v>73.739999999999995</v>
      </c>
      <c r="T21" s="3498">
        <v>737400</v>
      </c>
      <c r="U21" s="3472">
        <v>5745</v>
      </c>
      <c r="V21" s="3495">
        <v>0.1</v>
      </c>
      <c r="W21" s="3479">
        <v>66.36</v>
      </c>
      <c r="X21" s="3530">
        <v>663600</v>
      </c>
      <c r="Y21" s="3480">
        <v>2006</v>
      </c>
      <c r="Z21" s="3480">
        <v>3</v>
      </c>
      <c r="AA21" s="3480">
        <v>7</v>
      </c>
      <c r="AB21" s="3472">
        <v>1500</v>
      </c>
      <c r="AC21" s="3472" t="s">
        <v>3537</v>
      </c>
      <c r="AD21" s="3471"/>
      <c r="AE21" s="3483" t="s">
        <v>3447</v>
      </c>
      <c r="AF21" s="3476" t="s">
        <v>3591</v>
      </c>
      <c r="AG21" s="3481" t="s">
        <v>3448</v>
      </c>
      <c r="AH21" s="3471"/>
      <c r="AI21" s="3483" t="s">
        <v>3538</v>
      </c>
      <c r="AJ21" s="3503">
        <v>39051</v>
      </c>
      <c r="AK21" s="3482">
        <v>3</v>
      </c>
      <c r="AL21" s="3480">
        <v>67641700</v>
      </c>
      <c r="AM21" s="3480"/>
      <c r="AN21" s="3483" t="s">
        <v>3625</v>
      </c>
      <c r="AO21" s="3472"/>
      <c r="AP21" s="3483" t="s">
        <v>3450</v>
      </c>
      <c r="AQ21" s="3480" t="s">
        <v>3451</v>
      </c>
      <c r="AR21" s="3480" t="s">
        <v>3453</v>
      </c>
      <c r="AS21" s="3480" t="s">
        <v>3453</v>
      </c>
      <c r="AT21" s="3480" t="s">
        <v>3453</v>
      </c>
      <c r="AU21" s="3480"/>
      <c r="AV21" s="3480"/>
      <c r="AW21" s="3480" t="s">
        <v>3452</v>
      </c>
      <c r="AX21" s="3480" t="s">
        <v>3540</v>
      </c>
      <c r="AY21" s="3484" t="s">
        <v>3724</v>
      </c>
      <c r="AZ21" s="3472" t="s">
        <v>3453</v>
      </c>
      <c r="BA21" s="3532" t="s">
        <v>3453</v>
      </c>
      <c r="BB21" s="3533" t="s">
        <v>3453</v>
      </c>
      <c r="BC21" s="3532" t="s">
        <v>3453</v>
      </c>
      <c r="BD21" s="3534" t="s">
        <v>3453</v>
      </c>
      <c r="BE21" s="3480" t="s">
        <v>3453</v>
      </c>
      <c r="BF21" s="3486" t="s">
        <v>3453</v>
      </c>
      <c r="BG21" s="3535">
        <v>38771</v>
      </c>
      <c r="BH21" s="3472" t="s">
        <v>3453</v>
      </c>
      <c r="BI21" s="3487" t="s">
        <v>3682</v>
      </c>
      <c r="BJ21" s="3489">
        <v>38779</v>
      </c>
      <c r="BK21" s="3493"/>
      <c r="BL21" s="3472" t="s">
        <v>3454</v>
      </c>
      <c r="BM21" s="3480"/>
      <c r="BN21" s="3480"/>
      <c r="BO21" s="3480"/>
      <c r="BP21" s="3480"/>
      <c r="BQ21" s="3480">
        <v>6800</v>
      </c>
      <c r="BR21" s="3480">
        <v>6859</v>
      </c>
      <c r="BS21" s="3529"/>
      <c r="BT21" s="3529"/>
      <c r="BU21" s="3529"/>
    </row>
    <row r="22" spans="1:73" s="3490" customFormat="1" ht="13.2">
      <c r="A22" s="3472" t="s">
        <v>3725</v>
      </c>
      <c r="B22" s="3472" t="s">
        <v>3726</v>
      </c>
      <c r="C22" s="3473" t="s">
        <v>3727</v>
      </c>
      <c r="D22" s="3473" t="s">
        <v>3728</v>
      </c>
      <c r="E22" s="3492" t="s">
        <v>3446</v>
      </c>
      <c r="F22" s="3492" t="s">
        <v>3678</v>
      </c>
      <c r="G22" s="3472"/>
      <c r="H22" s="3492" t="s">
        <v>3597</v>
      </c>
      <c r="I22" s="3476" t="s">
        <v>3729</v>
      </c>
      <c r="J22" s="3472" t="s">
        <v>3730</v>
      </c>
      <c r="K22" s="3472" t="s">
        <v>3549</v>
      </c>
      <c r="L22" s="3494">
        <v>96.06</v>
      </c>
      <c r="M22" s="3472">
        <v>17</v>
      </c>
      <c r="N22" s="3472" t="s">
        <v>3656</v>
      </c>
      <c r="O22" s="3472">
        <v>77</v>
      </c>
      <c r="P22" s="3472" t="s">
        <v>3457</v>
      </c>
      <c r="Q22" s="3504">
        <v>500473</v>
      </c>
      <c r="R22" s="3472">
        <v>5210</v>
      </c>
      <c r="S22" s="3500">
        <v>49.56</v>
      </c>
      <c r="T22" s="3498">
        <v>495600</v>
      </c>
      <c r="U22" s="3472">
        <v>5160</v>
      </c>
      <c r="V22" s="3495">
        <v>0.1</v>
      </c>
      <c r="W22" s="3479">
        <v>44.6</v>
      </c>
      <c r="X22" s="3530">
        <v>446000</v>
      </c>
      <c r="Y22" s="3480">
        <v>2006</v>
      </c>
      <c r="Z22" s="3480">
        <v>3</v>
      </c>
      <c r="AA22" s="3480">
        <v>7</v>
      </c>
      <c r="AB22" s="3472">
        <v>1485</v>
      </c>
      <c r="AC22" s="3472" t="s">
        <v>3657</v>
      </c>
      <c r="AD22" s="3471"/>
      <c r="AE22" s="3483" t="s">
        <v>3447</v>
      </c>
      <c r="AF22" s="3476" t="s">
        <v>3591</v>
      </c>
      <c r="AG22" s="3481" t="s">
        <v>3448</v>
      </c>
      <c r="AH22" s="3471"/>
      <c r="AI22" s="3483" t="s">
        <v>3538</v>
      </c>
      <c r="AJ22" s="3503">
        <v>39082</v>
      </c>
      <c r="AK22" s="3482">
        <v>3</v>
      </c>
      <c r="AL22" s="3480">
        <v>67641700</v>
      </c>
      <c r="AM22" s="3480"/>
      <c r="AN22" s="3483" t="s">
        <v>3625</v>
      </c>
      <c r="AO22" s="3472"/>
      <c r="AP22" s="3483" t="s">
        <v>3450</v>
      </c>
      <c r="AQ22" s="3480" t="s">
        <v>3451</v>
      </c>
      <c r="AR22" s="3480" t="s">
        <v>3453</v>
      </c>
      <c r="AS22" s="3480" t="s">
        <v>3453</v>
      </c>
      <c r="AT22" s="3480" t="s">
        <v>3453</v>
      </c>
      <c r="AU22" s="3480"/>
      <c r="AV22" s="3480"/>
      <c r="AW22" s="3480" t="s">
        <v>3452</v>
      </c>
      <c r="AX22" s="3480" t="s">
        <v>3540</v>
      </c>
      <c r="AY22" s="3484" t="s">
        <v>3731</v>
      </c>
      <c r="AZ22" s="3472" t="s">
        <v>3453</v>
      </c>
      <c r="BA22" s="3532" t="s">
        <v>3453</v>
      </c>
      <c r="BB22" s="3533" t="s">
        <v>3453</v>
      </c>
      <c r="BC22" s="3532" t="s">
        <v>3453</v>
      </c>
      <c r="BD22" s="3534" t="s">
        <v>3453</v>
      </c>
      <c r="BE22" s="3480" t="s">
        <v>3453</v>
      </c>
      <c r="BF22" s="3486" t="s">
        <v>3453</v>
      </c>
      <c r="BG22" s="3535">
        <v>38763</v>
      </c>
      <c r="BH22" s="3472" t="s">
        <v>3453</v>
      </c>
      <c r="BI22" s="3487" t="s">
        <v>3682</v>
      </c>
      <c r="BJ22" s="3493">
        <v>38779</v>
      </c>
      <c r="BK22" s="3493"/>
      <c r="BL22" s="3472" t="s">
        <v>3454</v>
      </c>
      <c r="BM22" s="3480"/>
      <c r="BN22" s="3480"/>
      <c r="BO22" s="3480"/>
      <c r="BP22" s="3480"/>
      <c r="BQ22" s="3480">
        <v>6436</v>
      </c>
      <c r="BR22" s="3480">
        <v>6500</v>
      </c>
      <c r="BS22" s="3529"/>
      <c r="BT22" s="3529"/>
      <c r="BU22" s="3529"/>
    </row>
    <row r="23" spans="1:73" s="3490" customFormat="1" ht="12">
      <c r="A23" s="3472" t="s">
        <v>3732</v>
      </c>
      <c r="B23" s="3472" t="s">
        <v>3733</v>
      </c>
      <c r="C23" s="3473" t="s">
        <v>3734</v>
      </c>
      <c r="D23" s="3473" t="s">
        <v>3735</v>
      </c>
      <c r="E23" s="3492" t="s">
        <v>3446</v>
      </c>
      <c r="F23" s="3492" t="s">
        <v>3678</v>
      </c>
      <c r="G23" s="3472"/>
      <c r="H23" s="3492" t="s">
        <v>3597</v>
      </c>
      <c r="I23" s="3476" t="s">
        <v>3736</v>
      </c>
      <c r="J23" s="3472" t="s">
        <v>3737</v>
      </c>
      <c r="K23" s="3472" t="s">
        <v>3549</v>
      </c>
      <c r="L23" s="3494">
        <v>96.06</v>
      </c>
      <c r="M23" s="3472">
        <v>16</v>
      </c>
      <c r="N23" s="3472" t="s">
        <v>3656</v>
      </c>
      <c r="O23" s="3472">
        <v>77</v>
      </c>
      <c r="P23" s="3472" t="s">
        <v>3457</v>
      </c>
      <c r="Q23" s="3504">
        <v>498551</v>
      </c>
      <c r="R23" s="3472">
        <v>5190</v>
      </c>
      <c r="S23" s="3500">
        <v>49.37</v>
      </c>
      <c r="T23" s="3498">
        <v>493700</v>
      </c>
      <c r="U23" s="3472">
        <v>5140</v>
      </c>
      <c r="V23" s="3495">
        <v>0.1</v>
      </c>
      <c r="W23" s="3479">
        <v>44.43</v>
      </c>
      <c r="X23" s="3530">
        <v>444300</v>
      </c>
      <c r="Y23" s="3480">
        <v>2006</v>
      </c>
      <c r="Z23" s="3480">
        <v>3</v>
      </c>
      <c r="AA23" s="3480">
        <v>7</v>
      </c>
      <c r="AB23" s="3472">
        <v>1480</v>
      </c>
      <c r="AC23" s="3472" t="s">
        <v>3657</v>
      </c>
      <c r="AD23" s="3471"/>
      <c r="AE23" s="3483" t="s">
        <v>3447</v>
      </c>
      <c r="AF23" s="3476" t="s">
        <v>3591</v>
      </c>
      <c r="AG23" s="3481" t="s">
        <v>3448</v>
      </c>
      <c r="AH23" s="3471"/>
      <c r="AI23" s="3483" t="s">
        <v>3538</v>
      </c>
      <c r="AJ23" s="3503">
        <v>39082</v>
      </c>
      <c r="AK23" s="3482">
        <v>3</v>
      </c>
      <c r="AL23" s="3480">
        <v>67641700</v>
      </c>
      <c r="AM23" s="3480"/>
      <c r="AN23" s="3483" t="s">
        <v>3625</v>
      </c>
      <c r="AO23" s="3472"/>
      <c r="AP23" s="3483" t="s">
        <v>3450</v>
      </c>
      <c r="AQ23" s="3480" t="s">
        <v>3451</v>
      </c>
      <c r="AR23" s="3480" t="s">
        <v>3453</v>
      </c>
      <c r="AS23" s="3480" t="s">
        <v>3453</v>
      </c>
      <c r="AT23" s="3480" t="s">
        <v>3453</v>
      </c>
      <c r="AU23" s="3480"/>
      <c r="AV23" s="3480"/>
      <c r="AW23" s="3480" t="s">
        <v>3452</v>
      </c>
      <c r="AX23" s="3480" t="s">
        <v>3540</v>
      </c>
      <c r="AY23" s="3484" t="s">
        <v>3738</v>
      </c>
      <c r="AZ23" s="3472" t="s">
        <v>3453</v>
      </c>
      <c r="BA23" s="3532" t="s">
        <v>3453</v>
      </c>
      <c r="BB23" s="3533" t="s">
        <v>3453</v>
      </c>
      <c r="BC23" s="3532" t="s">
        <v>3453</v>
      </c>
      <c r="BD23" s="3534" t="s">
        <v>3453</v>
      </c>
      <c r="BE23" s="3480" t="s">
        <v>3453</v>
      </c>
      <c r="BF23" s="3486" t="s">
        <v>3453</v>
      </c>
      <c r="BG23" s="3535">
        <v>38767</v>
      </c>
      <c r="BH23" s="3472" t="s">
        <v>3453</v>
      </c>
      <c r="BI23" s="3487" t="s">
        <v>3682</v>
      </c>
      <c r="BJ23" s="3493">
        <v>38779</v>
      </c>
      <c r="BK23" s="3493"/>
      <c r="BL23" s="3472" t="s">
        <v>3454</v>
      </c>
      <c r="BM23" s="3480"/>
      <c r="BN23" s="3480"/>
      <c r="BO23" s="3480"/>
      <c r="BP23" s="3480"/>
      <c r="BQ23" s="3480">
        <v>6412</v>
      </c>
      <c r="BR23" s="3480">
        <v>6475</v>
      </c>
      <c r="BS23" s="3529"/>
      <c r="BT23" s="3529"/>
      <c r="BU23" s="3529"/>
    </row>
    <row r="24" spans="1:73" s="3490" customFormat="1" ht="12">
      <c r="A24" s="3472" t="s">
        <v>3739</v>
      </c>
      <c r="B24" s="3472" t="s">
        <v>3740</v>
      </c>
      <c r="C24" s="3473" t="s">
        <v>3741</v>
      </c>
      <c r="D24" s="3473" t="s">
        <v>3742</v>
      </c>
      <c r="E24" s="3492" t="s">
        <v>3446</v>
      </c>
      <c r="F24" s="3492" t="s">
        <v>3678</v>
      </c>
      <c r="G24" s="3472"/>
      <c r="H24" s="3492" t="s">
        <v>3597</v>
      </c>
      <c r="I24" s="3476" t="s">
        <v>3743</v>
      </c>
      <c r="J24" s="3472" t="s">
        <v>3744</v>
      </c>
      <c r="K24" s="3472" t="s">
        <v>3549</v>
      </c>
      <c r="L24" s="3494">
        <v>96.06</v>
      </c>
      <c r="M24" s="3472">
        <v>10</v>
      </c>
      <c r="N24" s="3472" t="s">
        <v>3656</v>
      </c>
      <c r="O24" s="3472">
        <v>77</v>
      </c>
      <c r="P24" s="3472" t="s">
        <v>3457</v>
      </c>
      <c r="Q24" s="3504">
        <v>488945</v>
      </c>
      <c r="R24" s="3472">
        <v>5090</v>
      </c>
      <c r="S24" s="3500">
        <v>48.41</v>
      </c>
      <c r="T24" s="3498">
        <v>484099.99999999994</v>
      </c>
      <c r="U24" s="3472">
        <v>5040</v>
      </c>
      <c r="V24" s="3495">
        <v>0.1</v>
      </c>
      <c r="W24" s="3479">
        <v>43.56</v>
      </c>
      <c r="X24" s="3530">
        <v>435600</v>
      </c>
      <c r="Y24" s="3480">
        <v>2006</v>
      </c>
      <c r="Z24" s="3480">
        <v>3</v>
      </c>
      <c r="AA24" s="3480">
        <v>7</v>
      </c>
      <c r="AB24" s="3472">
        <v>1450</v>
      </c>
      <c r="AC24" s="3472" t="s">
        <v>3657</v>
      </c>
      <c r="AD24" s="3471"/>
      <c r="AE24" s="3483" t="s">
        <v>3447</v>
      </c>
      <c r="AF24" s="3476" t="s">
        <v>3591</v>
      </c>
      <c r="AG24" s="3481" t="s">
        <v>3448</v>
      </c>
      <c r="AH24" s="3471"/>
      <c r="AI24" s="3483" t="s">
        <v>3538</v>
      </c>
      <c r="AJ24" s="3503">
        <v>39082</v>
      </c>
      <c r="AK24" s="3482">
        <v>3</v>
      </c>
      <c r="AL24" s="3480">
        <v>67641700</v>
      </c>
      <c r="AM24" s="3480"/>
      <c r="AN24" s="3483" t="s">
        <v>3625</v>
      </c>
      <c r="AO24" s="3472"/>
      <c r="AP24" s="3483" t="s">
        <v>3450</v>
      </c>
      <c r="AQ24" s="3480" t="s">
        <v>3451</v>
      </c>
      <c r="AR24" s="3480" t="s">
        <v>3453</v>
      </c>
      <c r="AS24" s="3480" t="s">
        <v>3453</v>
      </c>
      <c r="AT24" s="3480" t="s">
        <v>3453</v>
      </c>
      <c r="AU24" s="3480"/>
      <c r="AV24" s="3480"/>
      <c r="AW24" s="3480" t="s">
        <v>3452</v>
      </c>
      <c r="AX24" s="3480" t="s">
        <v>3540</v>
      </c>
      <c r="AY24" s="3484" t="s">
        <v>3745</v>
      </c>
      <c r="AZ24" s="3472" t="s">
        <v>3453</v>
      </c>
      <c r="BA24" s="3532" t="s">
        <v>3453</v>
      </c>
      <c r="BB24" s="3533" t="s">
        <v>3453</v>
      </c>
      <c r="BC24" s="3532" t="s">
        <v>3453</v>
      </c>
      <c r="BD24" s="3534" t="s">
        <v>3453</v>
      </c>
      <c r="BE24" s="3480" t="s">
        <v>3453</v>
      </c>
      <c r="BF24" s="3486" t="s">
        <v>3453</v>
      </c>
      <c r="BG24" s="3535">
        <v>38771</v>
      </c>
      <c r="BH24" s="3472" t="s">
        <v>3453</v>
      </c>
      <c r="BI24" s="3487" t="s">
        <v>3682</v>
      </c>
      <c r="BJ24" s="3493">
        <v>38779</v>
      </c>
      <c r="BK24" s="3493"/>
      <c r="BL24" s="3472" t="s">
        <v>3454</v>
      </c>
      <c r="BM24" s="3480"/>
      <c r="BN24" s="3480"/>
      <c r="BO24" s="3480"/>
      <c r="BP24" s="3480"/>
      <c r="BQ24" s="3480">
        <v>6287</v>
      </c>
      <c r="BR24" s="3480">
        <v>6350</v>
      </c>
      <c r="BS24" s="3529"/>
      <c r="BT24" s="3529"/>
      <c r="BU24" s="3529"/>
    </row>
    <row r="25" spans="1:73" s="3490" customFormat="1" ht="12">
      <c r="A25" s="3472" t="s">
        <v>3746</v>
      </c>
      <c r="B25" s="3472" t="s">
        <v>3747</v>
      </c>
      <c r="C25" s="3473" t="s">
        <v>3748</v>
      </c>
      <c r="D25" s="3473" t="s">
        <v>3749</v>
      </c>
      <c r="E25" s="3492" t="s">
        <v>3446</v>
      </c>
      <c r="F25" s="3492" t="s">
        <v>3545</v>
      </c>
      <c r="G25" s="3472"/>
      <c r="H25" s="3492" t="s">
        <v>3687</v>
      </c>
      <c r="I25" s="3476" t="s">
        <v>3750</v>
      </c>
      <c r="J25" s="3472" t="s">
        <v>3751</v>
      </c>
      <c r="K25" s="3472" t="s">
        <v>3549</v>
      </c>
      <c r="L25" s="3494">
        <v>126.91</v>
      </c>
      <c r="M25" s="3472">
        <v>3</v>
      </c>
      <c r="N25" s="3472" t="s">
        <v>3690</v>
      </c>
      <c r="O25" s="3472">
        <v>107.22</v>
      </c>
      <c r="P25" s="3472" t="s">
        <v>3457</v>
      </c>
      <c r="Q25" s="3504">
        <v>719580</v>
      </c>
      <c r="R25" s="3472">
        <v>5670</v>
      </c>
      <c r="S25" s="3500">
        <v>71.319999999999993</v>
      </c>
      <c r="T25" s="3498">
        <v>713199.99999999988</v>
      </c>
      <c r="U25" s="3472">
        <v>5620</v>
      </c>
      <c r="V25" s="3495">
        <v>0.1</v>
      </c>
      <c r="W25" s="3479">
        <v>64.180000000000007</v>
      </c>
      <c r="X25" s="3530">
        <v>641800.00000000012</v>
      </c>
      <c r="Y25" s="3480">
        <v>2006</v>
      </c>
      <c r="Z25" s="3480">
        <v>3</v>
      </c>
      <c r="AA25" s="3480">
        <v>7</v>
      </c>
      <c r="AB25" s="3472">
        <v>1500</v>
      </c>
      <c r="AC25" s="3472" t="s">
        <v>3657</v>
      </c>
      <c r="AD25" s="3471"/>
      <c r="AE25" s="3483" t="s">
        <v>3447</v>
      </c>
      <c r="AF25" s="3476" t="s">
        <v>3591</v>
      </c>
      <c r="AG25" s="3481" t="s">
        <v>3448</v>
      </c>
      <c r="AH25" s="3471"/>
      <c r="AI25" s="3483" t="s">
        <v>3538</v>
      </c>
      <c r="AJ25" s="3503">
        <v>39051</v>
      </c>
      <c r="AK25" s="3482">
        <v>3</v>
      </c>
      <c r="AL25" s="3480">
        <v>67641700</v>
      </c>
      <c r="AM25" s="3480"/>
      <c r="AN25" s="3483" t="s">
        <v>3625</v>
      </c>
      <c r="AO25" s="3472"/>
      <c r="AP25" s="3483" t="s">
        <v>3450</v>
      </c>
      <c r="AQ25" s="3480" t="s">
        <v>3451</v>
      </c>
      <c r="AR25" s="3480" t="s">
        <v>3453</v>
      </c>
      <c r="AS25" s="3480" t="s">
        <v>3453</v>
      </c>
      <c r="AT25" s="3480" t="s">
        <v>3453</v>
      </c>
      <c r="AU25" s="3480"/>
      <c r="AV25" s="3480"/>
      <c r="AW25" s="3480" t="s">
        <v>3452</v>
      </c>
      <c r="AX25" s="3480" t="s">
        <v>3540</v>
      </c>
      <c r="AY25" s="3484" t="s">
        <v>3752</v>
      </c>
      <c r="AZ25" s="3472" t="s">
        <v>3453</v>
      </c>
      <c r="BA25" s="3532" t="s">
        <v>3453</v>
      </c>
      <c r="BB25" s="3533" t="s">
        <v>3453</v>
      </c>
      <c r="BC25" s="3532" t="s">
        <v>3453</v>
      </c>
      <c r="BD25" s="3534" t="s">
        <v>3453</v>
      </c>
      <c r="BE25" s="3480" t="s">
        <v>3453</v>
      </c>
      <c r="BF25" s="3486" t="s">
        <v>3453</v>
      </c>
      <c r="BG25" s="3535">
        <v>38767</v>
      </c>
      <c r="BH25" s="3472" t="s">
        <v>3453</v>
      </c>
      <c r="BI25" s="3487" t="s">
        <v>3682</v>
      </c>
      <c r="BJ25" s="3489">
        <v>38779</v>
      </c>
      <c r="BK25" s="3493"/>
      <c r="BL25" s="3472" t="s">
        <v>3454</v>
      </c>
      <c r="BM25" s="3480"/>
      <c r="BN25" s="3480"/>
      <c r="BO25" s="3480"/>
      <c r="BP25" s="3480"/>
      <c r="BQ25" s="3480">
        <v>6652</v>
      </c>
      <c r="BR25" s="3480">
        <v>6711</v>
      </c>
      <c r="BS25" s="3529"/>
      <c r="BT25" s="3529"/>
      <c r="BU25" s="3529"/>
    </row>
    <row r="26" spans="1:73" s="3537" customFormat="1">
      <c r="A26" s="3472" t="s">
        <v>3753</v>
      </c>
      <c r="B26" s="3472" t="s">
        <v>3754</v>
      </c>
      <c r="C26" s="3473" t="s">
        <v>3755</v>
      </c>
      <c r="D26" s="3473" t="s">
        <v>3756</v>
      </c>
      <c r="E26" s="3492" t="s">
        <v>3446</v>
      </c>
      <c r="F26" s="3492" t="s">
        <v>3545</v>
      </c>
      <c r="G26" s="3472"/>
      <c r="H26" s="3492" t="s">
        <v>3687</v>
      </c>
      <c r="I26" s="3476" t="s">
        <v>3757</v>
      </c>
      <c r="J26" s="3472" t="s">
        <v>3758</v>
      </c>
      <c r="K26" s="3472" t="s">
        <v>3549</v>
      </c>
      <c r="L26" s="3494">
        <v>90.62</v>
      </c>
      <c r="M26" s="3472">
        <v>2</v>
      </c>
      <c r="N26" s="3472" t="s">
        <v>3656</v>
      </c>
      <c r="O26" s="3472">
        <v>76.56</v>
      </c>
      <c r="P26" s="3472" t="s">
        <v>3457</v>
      </c>
      <c r="Q26" s="3504">
        <v>521971</v>
      </c>
      <c r="R26" s="3472">
        <v>5760</v>
      </c>
      <c r="S26" s="3500">
        <v>51.74</v>
      </c>
      <c r="T26" s="3498">
        <v>517400</v>
      </c>
      <c r="U26" s="3472">
        <v>5710</v>
      </c>
      <c r="V26" s="3495">
        <v>0.1</v>
      </c>
      <c r="W26" s="3479">
        <v>46.56</v>
      </c>
      <c r="X26" s="3530">
        <v>465600</v>
      </c>
      <c r="Y26" s="3480">
        <v>2006</v>
      </c>
      <c r="Z26" s="3480">
        <v>3</v>
      </c>
      <c r="AA26" s="3480">
        <v>9</v>
      </c>
      <c r="AB26" s="3472">
        <v>1500</v>
      </c>
      <c r="AC26" s="3472" t="s">
        <v>3537</v>
      </c>
      <c r="AD26" s="3471"/>
      <c r="AE26" s="3483" t="s">
        <v>3447</v>
      </c>
      <c r="AF26" s="3476" t="s">
        <v>3591</v>
      </c>
      <c r="AG26" s="3481" t="s">
        <v>3448</v>
      </c>
      <c r="AH26" s="3471"/>
      <c r="AI26" s="3483" t="s">
        <v>3538</v>
      </c>
      <c r="AJ26" s="3503">
        <v>39051</v>
      </c>
      <c r="AK26" s="3482">
        <v>3</v>
      </c>
      <c r="AL26" s="3480">
        <v>67641700</v>
      </c>
      <c r="AM26" s="3480"/>
      <c r="AN26" s="3483" t="s">
        <v>3625</v>
      </c>
      <c r="AO26" s="3472"/>
      <c r="AP26" s="3483" t="s">
        <v>3450</v>
      </c>
      <c r="AQ26" s="3480" t="s">
        <v>3451</v>
      </c>
      <c r="AR26" s="3480" t="s">
        <v>3453</v>
      </c>
      <c r="AS26" s="3480" t="s">
        <v>3453</v>
      </c>
      <c r="AT26" s="3480" t="s">
        <v>3453</v>
      </c>
      <c r="AU26" s="3480"/>
      <c r="AV26" s="3480"/>
      <c r="AW26" s="3480" t="s">
        <v>3452</v>
      </c>
      <c r="AX26" s="3480" t="s">
        <v>3540</v>
      </c>
      <c r="AY26" s="3484" t="s">
        <v>3759</v>
      </c>
      <c r="AZ26" s="3472" t="s">
        <v>3453</v>
      </c>
      <c r="BA26" s="3532" t="s">
        <v>3453</v>
      </c>
      <c r="BB26" s="3533" t="s">
        <v>3453</v>
      </c>
      <c r="BC26" s="3532" t="s">
        <v>3453</v>
      </c>
      <c r="BD26" s="3534" t="s">
        <v>3453</v>
      </c>
      <c r="BE26" s="3480" t="s">
        <v>3453</v>
      </c>
      <c r="BF26" s="3486" t="s">
        <v>3453</v>
      </c>
      <c r="BG26" s="3535">
        <v>38772</v>
      </c>
      <c r="BH26" s="3472" t="s">
        <v>3453</v>
      </c>
      <c r="BI26" s="3487" t="s">
        <v>3701</v>
      </c>
      <c r="BJ26" s="3493">
        <v>38783</v>
      </c>
      <c r="BK26" s="3493"/>
      <c r="BL26" s="3472" t="s">
        <v>3454</v>
      </c>
      <c r="BM26" s="3480"/>
      <c r="BN26" s="3480"/>
      <c r="BO26" s="3480"/>
      <c r="BP26" s="3480"/>
      <c r="BQ26" s="3480">
        <v>6758</v>
      </c>
      <c r="BR26" s="3480">
        <v>6818</v>
      </c>
      <c r="BS26" s="3529"/>
      <c r="BT26" s="3529"/>
      <c r="BU26" s="3529"/>
    </row>
    <row r="27" spans="1:73" s="3537" customFormat="1">
      <c r="A27" s="3472" t="s">
        <v>3760</v>
      </c>
      <c r="B27" s="3472" t="s">
        <v>3761</v>
      </c>
      <c r="C27" s="3473" t="s">
        <v>3762</v>
      </c>
      <c r="D27" s="3473" t="s">
        <v>3763</v>
      </c>
      <c r="E27" s="3492" t="s">
        <v>3446</v>
      </c>
      <c r="F27" s="3492" t="s">
        <v>3545</v>
      </c>
      <c r="G27" s="3472"/>
      <c r="H27" s="3492" t="s">
        <v>3687</v>
      </c>
      <c r="I27" s="3476" t="s">
        <v>3764</v>
      </c>
      <c r="J27" s="3472" t="s">
        <v>3765</v>
      </c>
      <c r="K27" s="3472" t="s">
        <v>3549</v>
      </c>
      <c r="L27" s="3494">
        <v>90.62</v>
      </c>
      <c r="M27" s="3472">
        <v>11</v>
      </c>
      <c r="N27" s="3472" t="s">
        <v>3656</v>
      </c>
      <c r="O27" s="3472">
        <v>76.56</v>
      </c>
      <c r="P27" s="3472" t="s">
        <v>3457</v>
      </c>
      <c r="Q27" s="3504">
        <v>540095</v>
      </c>
      <c r="R27" s="3472">
        <v>5960</v>
      </c>
      <c r="S27" s="3500">
        <v>53.55</v>
      </c>
      <c r="T27" s="3498">
        <v>535500</v>
      </c>
      <c r="U27" s="3472">
        <v>5910</v>
      </c>
      <c r="V27" s="3495">
        <v>0.1</v>
      </c>
      <c r="W27" s="3479">
        <v>48.19</v>
      </c>
      <c r="X27" s="3530">
        <v>481900</v>
      </c>
      <c r="Y27" s="3480">
        <v>2006</v>
      </c>
      <c r="Z27" s="3480">
        <v>3</v>
      </c>
      <c r="AA27" s="3480">
        <v>9</v>
      </c>
      <c r="AB27" s="3472">
        <v>1500</v>
      </c>
      <c r="AC27" s="3472" t="s">
        <v>3537</v>
      </c>
      <c r="AD27" s="3471"/>
      <c r="AE27" s="3483" t="s">
        <v>3447</v>
      </c>
      <c r="AF27" s="3476" t="s">
        <v>3591</v>
      </c>
      <c r="AG27" s="3481" t="s">
        <v>3448</v>
      </c>
      <c r="AH27" s="3471"/>
      <c r="AI27" s="3483" t="s">
        <v>3538</v>
      </c>
      <c r="AJ27" s="3503">
        <v>39051</v>
      </c>
      <c r="AK27" s="3482">
        <v>3</v>
      </c>
      <c r="AL27" s="3480">
        <v>67641700</v>
      </c>
      <c r="AM27" s="3480"/>
      <c r="AN27" s="3483" t="s">
        <v>3625</v>
      </c>
      <c r="AO27" s="3472"/>
      <c r="AP27" s="3483" t="s">
        <v>3450</v>
      </c>
      <c r="AQ27" s="3480" t="s">
        <v>3451</v>
      </c>
      <c r="AR27" s="3480" t="s">
        <v>3453</v>
      </c>
      <c r="AS27" s="3480" t="s">
        <v>3453</v>
      </c>
      <c r="AT27" s="3480" t="s">
        <v>3453</v>
      </c>
      <c r="AU27" s="3480"/>
      <c r="AV27" s="3480"/>
      <c r="AW27" s="3480" t="s">
        <v>3452</v>
      </c>
      <c r="AX27" s="3480" t="s">
        <v>3540</v>
      </c>
      <c r="AY27" s="3484" t="s">
        <v>3766</v>
      </c>
      <c r="AZ27" s="3472" t="s">
        <v>3453</v>
      </c>
      <c r="BA27" s="3532" t="s">
        <v>3453</v>
      </c>
      <c r="BB27" s="3533" t="s">
        <v>3453</v>
      </c>
      <c r="BC27" s="3532" t="s">
        <v>3453</v>
      </c>
      <c r="BD27" s="3534" t="s">
        <v>3453</v>
      </c>
      <c r="BE27" s="3480" t="s">
        <v>3453</v>
      </c>
      <c r="BF27" s="3486" t="s">
        <v>3453</v>
      </c>
      <c r="BG27" s="3535">
        <v>38758</v>
      </c>
      <c r="BH27" s="3472" t="s">
        <v>3453</v>
      </c>
      <c r="BI27" s="3487" t="s">
        <v>3701</v>
      </c>
      <c r="BJ27" s="3493">
        <v>38784</v>
      </c>
      <c r="BK27" s="3493"/>
      <c r="BL27" s="3472" t="s">
        <v>3454</v>
      </c>
      <c r="BM27" s="3480"/>
      <c r="BN27" s="3480"/>
      <c r="BO27" s="3480"/>
      <c r="BP27" s="3480"/>
      <c r="BQ27" s="3480">
        <v>6995</v>
      </c>
      <c r="BR27" s="3480">
        <v>7055</v>
      </c>
      <c r="BS27" s="3529"/>
      <c r="BT27" s="3529"/>
      <c r="BU27" s="3529"/>
    </row>
    <row r="28" spans="1:73" s="3490" customFormat="1" ht="12">
      <c r="A28" s="3472" t="s">
        <v>3767</v>
      </c>
      <c r="B28" s="3472" t="s">
        <v>3768</v>
      </c>
      <c r="C28" s="3473" t="s">
        <v>3769</v>
      </c>
      <c r="D28" s="3473" t="s">
        <v>3770</v>
      </c>
      <c r="E28" s="3492" t="s">
        <v>3446</v>
      </c>
      <c r="F28" s="3492" t="s">
        <v>3545</v>
      </c>
      <c r="G28" s="3472"/>
      <c r="H28" s="3492" t="s">
        <v>3585</v>
      </c>
      <c r="I28" s="3476" t="s">
        <v>3771</v>
      </c>
      <c r="J28" s="3472" t="s">
        <v>3772</v>
      </c>
      <c r="K28" s="3472" t="s">
        <v>3549</v>
      </c>
      <c r="L28" s="3494">
        <v>100.79</v>
      </c>
      <c r="M28" s="3472">
        <v>14</v>
      </c>
      <c r="N28" s="3472" t="s">
        <v>3773</v>
      </c>
      <c r="O28" s="3472">
        <v>82.23</v>
      </c>
      <c r="P28" s="3472" t="s">
        <v>3457</v>
      </c>
      <c r="Q28" s="3504">
        <v>508990</v>
      </c>
      <c r="R28" s="3472">
        <v>5050</v>
      </c>
      <c r="S28" s="3500">
        <v>50.39</v>
      </c>
      <c r="T28" s="3498">
        <v>503900</v>
      </c>
      <c r="U28" s="3472">
        <v>5000</v>
      </c>
      <c r="V28" s="3495">
        <v>0.1</v>
      </c>
      <c r="W28" s="3479">
        <v>45.35</v>
      </c>
      <c r="X28" s="3530">
        <v>453500</v>
      </c>
      <c r="Y28" s="3480">
        <v>2006</v>
      </c>
      <c r="Z28" s="3480">
        <v>3</v>
      </c>
      <c r="AA28" s="3505">
        <v>9</v>
      </c>
      <c r="AB28" s="3472">
        <v>1500</v>
      </c>
      <c r="AC28" s="3472" t="s">
        <v>3537</v>
      </c>
      <c r="AD28" s="3471"/>
      <c r="AE28" s="3483" t="s">
        <v>3447</v>
      </c>
      <c r="AF28" s="3476" t="s">
        <v>3591</v>
      </c>
      <c r="AG28" s="3481" t="s">
        <v>3448</v>
      </c>
      <c r="AH28" s="3471"/>
      <c r="AI28" s="3483" t="s">
        <v>3538</v>
      </c>
      <c r="AJ28" s="3503">
        <v>39021</v>
      </c>
      <c r="AK28" s="3482">
        <v>3</v>
      </c>
      <c r="AL28" s="3480">
        <v>67641700</v>
      </c>
      <c r="AM28" s="3480"/>
      <c r="AN28" s="3483" t="s">
        <v>3625</v>
      </c>
      <c r="AO28" s="3472"/>
      <c r="AP28" s="3483" t="s">
        <v>3450</v>
      </c>
      <c r="AQ28" s="3480" t="s">
        <v>3451</v>
      </c>
      <c r="AR28" s="3480" t="s">
        <v>3453</v>
      </c>
      <c r="AS28" s="3480" t="s">
        <v>3453</v>
      </c>
      <c r="AT28" s="3480" t="s">
        <v>3453</v>
      </c>
      <c r="AU28" s="3480"/>
      <c r="AV28" s="3480"/>
      <c r="AW28" s="3480" t="s">
        <v>3452</v>
      </c>
      <c r="AX28" s="3480" t="s">
        <v>3540</v>
      </c>
      <c r="AY28" s="3484" t="s">
        <v>3774</v>
      </c>
      <c r="AZ28" s="3472" t="s">
        <v>3453</v>
      </c>
      <c r="BA28" s="3532" t="s">
        <v>3453</v>
      </c>
      <c r="BB28" s="3533" t="s">
        <v>3453</v>
      </c>
      <c r="BC28" s="3532" t="s">
        <v>3453</v>
      </c>
      <c r="BD28" s="3534" t="s">
        <v>3453</v>
      </c>
      <c r="BE28" s="3480" t="s">
        <v>3453</v>
      </c>
      <c r="BF28" s="3486" t="s">
        <v>3453</v>
      </c>
      <c r="BG28" s="3535">
        <v>38774</v>
      </c>
      <c r="BH28" s="3472" t="s">
        <v>3453</v>
      </c>
      <c r="BI28" s="3487" t="s">
        <v>3701</v>
      </c>
      <c r="BJ28" s="3493">
        <v>38783</v>
      </c>
      <c r="BK28" s="3493"/>
      <c r="BL28" s="3472" t="s">
        <v>3454</v>
      </c>
      <c r="BM28" s="3480"/>
      <c r="BN28" s="3480"/>
      <c r="BO28" s="3480"/>
      <c r="BP28" s="3480"/>
      <c r="BQ28" s="3480">
        <v>6128</v>
      </c>
      <c r="BR28" s="3480">
        <v>6190</v>
      </c>
      <c r="BS28" s="3529"/>
      <c r="BT28" s="3529"/>
      <c r="BU28" s="3529"/>
    </row>
    <row r="29" spans="1:73" s="3490" customFormat="1" ht="13.2">
      <c r="A29" s="3472" t="s">
        <v>3775</v>
      </c>
      <c r="B29" s="3472" t="s">
        <v>3776</v>
      </c>
      <c r="C29" s="3473" t="s">
        <v>3777</v>
      </c>
      <c r="D29" s="3473" t="s">
        <v>3778</v>
      </c>
      <c r="E29" s="3492" t="s">
        <v>3446</v>
      </c>
      <c r="F29" s="3492" t="s">
        <v>3678</v>
      </c>
      <c r="G29" s="3472"/>
      <c r="H29" s="3492" t="s">
        <v>3597</v>
      </c>
      <c r="I29" s="3476" t="s">
        <v>3779</v>
      </c>
      <c r="J29" s="3472" t="s">
        <v>3780</v>
      </c>
      <c r="K29" s="3472" t="s">
        <v>3549</v>
      </c>
      <c r="L29" s="3494">
        <v>96.06</v>
      </c>
      <c r="M29" s="3472">
        <v>13</v>
      </c>
      <c r="N29" s="3472" t="s">
        <v>3773</v>
      </c>
      <c r="O29" s="3472">
        <v>77</v>
      </c>
      <c r="P29" s="3472" t="s">
        <v>3457</v>
      </c>
      <c r="Q29" s="3504">
        <v>494709</v>
      </c>
      <c r="R29" s="3472">
        <v>5150</v>
      </c>
      <c r="S29" s="3500">
        <v>48.99</v>
      </c>
      <c r="T29" s="3498">
        <v>489900</v>
      </c>
      <c r="U29" s="3472">
        <v>5100</v>
      </c>
      <c r="V29" s="3495">
        <v>0.1</v>
      </c>
      <c r="W29" s="3479">
        <v>44.09</v>
      </c>
      <c r="X29" s="3530">
        <v>440900.00000000006</v>
      </c>
      <c r="Y29" s="3480">
        <v>2006</v>
      </c>
      <c r="Z29" s="3480">
        <v>3</v>
      </c>
      <c r="AA29" s="3505">
        <v>9</v>
      </c>
      <c r="AB29" s="3472">
        <v>1465</v>
      </c>
      <c r="AC29" s="3472" t="s">
        <v>3537</v>
      </c>
      <c r="AD29" s="3471"/>
      <c r="AE29" s="3483" t="s">
        <v>3447</v>
      </c>
      <c r="AF29" s="3476" t="s">
        <v>3781</v>
      </c>
      <c r="AG29" s="3481" t="s">
        <v>3448</v>
      </c>
      <c r="AH29" s="3471"/>
      <c r="AI29" s="3483" t="s">
        <v>3538</v>
      </c>
      <c r="AJ29" s="3503">
        <v>39082</v>
      </c>
      <c r="AK29" s="3482">
        <v>3</v>
      </c>
      <c r="AL29" s="3480">
        <v>67641700</v>
      </c>
      <c r="AM29" s="3480"/>
      <c r="AN29" s="3483" t="s">
        <v>3625</v>
      </c>
      <c r="AO29" s="3472"/>
      <c r="AP29" s="3483" t="s">
        <v>3450</v>
      </c>
      <c r="AQ29" s="3480" t="s">
        <v>3451</v>
      </c>
      <c r="AR29" s="3480" t="s">
        <v>3453</v>
      </c>
      <c r="AS29" s="3480" t="s">
        <v>3453</v>
      </c>
      <c r="AT29" s="3480" t="s">
        <v>3453</v>
      </c>
      <c r="AU29" s="3480"/>
      <c r="AV29" s="3480"/>
      <c r="AW29" s="3480" t="s">
        <v>3452</v>
      </c>
      <c r="AX29" s="3480" t="s">
        <v>3540</v>
      </c>
      <c r="AY29" s="3484" t="s">
        <v>3782</v>
      </c>
      <c r="AZ29" s="3472" t="s">
        <v>3453</v>
      </c>
      <c r="BA29" s="3532" t="s">
        <v>3453</v>
      </c>
      <c r="BB29" s="3533" t="s">
        <v>3453</v>
      </c>
      <c r="BC29" s="3532" t="s">
        <v>3453</v>
      </c>
      <c r="BD29" s="3534" t="s">
        <v>3453</v>
      </c>
      <c r="BE29" s="3480" t="s">
        <v>3453</v>
      </c>
      <c r="BF29" s="3486" t="s">
        <v>3453</v>
      </c>
      <c r="BG29" s="3535">
        <v>38774</v>
      </c>
      <c r="BH29" s="3472" t="s">
        <v>3453</v>
      </c>
      <c r="BI29" s="3487" t="s">
        <v>3701</v>
      </c>
      <c r="BJ29" s="3493">
        <v>38783</v>
      </c>
      <c r="BK29" s="3493"/>
      <c r="BL29" s="3472" t="s">
        <v>3454</v>
      </c>
      <c r="BM29" s="3480"/>
      <c r="BN29" s="3480"/>
      <c r="BO29" s="3480"/>
      <c r="BP29" s="3480"/>
      <c r="BQ29" s="3480">
        <v>6362</v>
      </c>
      <c r="BR29" s="3480">
        <v>6425</v>
      </c>
      <c r="BS29" s="3529"/>
      <c r="BT29" s="3529"/>
      <c r="BU29" s="3529"/>
    </row>
    <row r="30" spans="1:73" s="3490" customFormat="1" ht="12">
      <c r="A30" s="3472" t="s">
        <v>3783</v>
      </c>
      <c r="B30" s="3472" t="s">
        <v>3784</v>
      </c>
      <c r="C30" s="3473" t="s">
        <v>3785</v>
      </c>
      <c r="D30" s="3473" t="s">
        <v>3786</v>
      </c>
      <c r="E30" s="3492" t="s">
        <v>3446</v>
      </c>
      <c r="F30" s="3492" t="s">
        <v>3545</v>
      </c>
      <c r="G30" s="3472"/>
      <c r="H30" s="3492" t="s">
        <v>3621</v>
      </c>
      <c r="I30" s="3476" t="s">
        <v>3787</v>
      </c>
      <c r="J30" s="3472" t="s">
        <v>3788</v>
      </c>
      <c r="K30" s="3472" t="s">
        <v>3549</v>
      </c>
      <c r="L30" s="3494">
        <v>126.9</v>
      </c>
      <c r="M30" s="3472">
        <v>5</v>
      </c>
      <c r="N30" s="3472" t="s">
        <v>3789</v>
      </c>
      <c r="O30" s="3472">
        <v>107.23</v>
      </c>
      <c r="P30" s="3472" t="s">
        <v>3457</v>
      </c>
      <c r="Q30" s="3504">
        <v>728406</v>
      </c>
      <c r="R30" s="3472">
        <v>5740</v>
      </c>
      <c r="S30" s="3500">
        <v>72.2</v>
      </c>
      <c r="T30" s="3498">
        <v>722000</v>
      </c>
      <c r="U30" s="3472">
        <v>5690</v>
      </c>
      <c r="V30" s="3495">
        <v>0.1</v>
      </c>
      <c r="W30" s="3479">
        <v>64.98</v>
      </c>
      <c r="X30" s="3530">
        <v>649800</v>
      </c>
      <c r="Y30" s="3480">
        <v>2006</v>
      </c>
      <c r="Z30" s="3480">
        <v>3</v>
      </c>
      <c r="AA30" s="3505">
        <v>9</v>
      </c>
      <c r="AB30" s="3472">
        <v>1500</v>
      </c>
      <c r="AC30" s="3472" t="s">
        <v>3537</v>
      </c>
      <c r="AD30" s="3471"/>
      <c r="AE30" s="3483" t="s">
        <v>3447</v>
      </c>
      <c r="AF30" s="3476" t="s">
        <v>3781</v>
      </c>
      <c r="AG30" s="3481" t="s">
        <v>3448</v>
      </c>
      <c r="AH30" s="3471"/>
      <c r="AI30" s="3483" t="s">
        <v>3538</v>
      </c>
      <c r="AJ30" s="3503">
        <v>39066</v>
      </c>
      <c r="AK30" s="3482">
        <v>3</v>
      </c>
      <c r="AL30" s="3480">
        <v>67641700</v>
      </c>
      <c r="AM30" s="3480"/>
      <c r="AN30" s="3483" t="s">
        <v>3625</v>
      </c>
      <c r="AO30" s="3472"/>
      <c r="AP30" s="3483" t="s">
        <v>3450</v>
      </c>
      <c r="AQ30" s="3480" t="s">
        <v>3451</v>
      </c>
      <c r="AR30" s="3480" t="s">
        <v>3453</v>
      </c>
      <c r="AS30" s="3480" t="s">
        <v>3453</v>
      </c>
      <c r="AT30" s="3480" t="s">
        <v>3453</v>
      </c>
      <c r="AU30" s="3480"/>
      <c r="AV30" s="3480"/>
      <c r="AW30" s="3480" t="s">
        <v>3452</v>
      </c>
      <c r="AX30" s="3480" t="s">
        <v>3540</v>
      </c>
      <c r="AY30" s="3484" t="s">
        <v>3790</v>
      </c>
      <c r="AZ30" s="3472" t="s">
        <v>3453</v>
      </c>
      <c r="BA30" s="3532" t="s">
        <v>3453</v>
      </c>
      <c r="BB30" s="3533" t="s">
        <v>3453</v>
      </c>
      <c r="BC30" s="3532" t="s">
        <v>3453</v>
      </c>
      <c r="BD30" s="3534" t="s">
        <v>3453</v>
      </c>
      <c r="BE30" s="3480" t="s">
        <v>3453</v>
      </c>
      <c r="BF30" s="3486" t="s">
        <v>3453</v>
      </c>
      <c r="BG30" s="3535">
        <v>38769</v>
      </c>
      <c r="BH30" s="3472" t="s">
        <v>3453</v>
      </c>
      <c r="BI30" s="3487" t="s">
        <v>3701</v>
      </c>
      <c r="BJ30" s="3493">
        <v>38783</v>
      </c>
      <c r="BK30" s="3493"/>
      <c r="BL30" s="3472" t="s">
        <v>3454</v>
      </c>
      <c r="BM30" s="3480"/>
      <c r="BN30" s="3480"/>
      <c r="BO30" s="3480"/>
      <c r="BP30" s="3480"/>
      <c r="BQ30" s="3480">
        <v>6733</v>
      </c>
      <c r="BR30" s="3480">
        <v>6793</v>
      </c>
      <c r="BS30" s="3529"/>
      <c r="BT30" s="3529"/>
      <c r="BU30" s="3529"/>
    </row>
    <row r="31" spans="1:73" s="3537" customFormat="1">
      <c r="A31" s="3472" t="s">
        <v>3791</v>
      </c>
      <c r="B31" s="3472" t="s">
        <v>3792</v>
      </c>
      <c r="C31" s="3473" t="s">
        <v>3793</v>
      </c>
      <c r="D31" s="3473" t="s">
        <v>3794</v>
      </c>
      <c r="E31" s="3492" t="s">
        <v>3446</v>
      </c>
      <c r="F31" s="3492" t="s">
        <v>3545</v>
      </c>
      <c r="G31" s="3472"/>
      <c r="H31" s="3492" t="s">
        <v>3687</v>
      </c>
      <c r="I31" s="3476" t="s">
        <v>3795</v>
      </c>
      <c r="J31" s="3472" t="s">
        <v>3796</v>
      </c>
      <c r="K31" s="3472" t="s">
        <v>3549</v>
      </c>
      <c r="L31" s="3494">
        <v>126.62</v>
      </c>
      <c r="M31" s="3472">
        <v>13</v>
      </c>
      <c r="N31" s="3472" t="s">
        <v>3690</v>
      </c>
      <c r="O31" s="3472">
        <v>106.97</v>
      </c>
      <c r="P31" s="3472" t="s">
        <v>3457</v>
      </c>
      <c r="Q31" s="3504">
        <v>770926</v>
      </c>
      <c r="R31" s="3472">
        <v>6089</v>
      </c>
      <c r="S31" s="3500">
        <v>76.459999999999994</v>
      </c>
      <c r="T31" s="3498">
        <v>764600</v>
      </c>
      <c r="U31" s="3472">
        <v>6039</v>
      </c>
      <c r="V31" s="3495">
        <v>0.1</v>
      </c>
      <c r="W31" s="3479">
        <v>68.81</v>
      </c>
      <c r="X31" s="3530">
        <v>688100</v>
      </c>
      <c r="Y31" s="3480">
        <v>2006</v>
      </c>
      <c r="Z31" s="3480">
        <v>3</v>
      </c>
      <c r="AA31" s="3480">
        <v>13</v>
      </c>
      <c r="AB31" s="3472">
        <v>1500</v>
      </c>
      <c r="AC31" s="3472" t="s">
        <v>3657</v>
      </c>
      <c r="AD31" s="3471"/>
      <c r="AE31" s="3483" t="s">
        <v>3447</v>
      </c>
      <c r="AF31" s="3476" t="s">
        <v>3591</v>
      </c>
      <c r="AG31" s="3481" t="s">
        <v>3448</v>
      </c>
      <c r="AH31" s="3471"/>
      <c r="AI31" s="3483" t="s">
        <v>3538</v>
      </c>
      <c r="AJ31" s="3503">
        <v>39051</v>
      </c>
      <c r="AK31" s="3482">
        <v>3</v>
      </c>
      <c r="AL31" s="3480">
        <v>67641700</v>
      </c>
      <c r="AM31" s="3480"/>
      <c r="AN31" s="3483" t="s">
        <v>3658</v>
      </c>
      <c r="AO31" s="3472"/>
      <c r="AP31" s="3483" t="s">
        <v>3450</v>
      </c>
      <c r="AQ31" s="3480" t="s">
        <v>3451</v>
      </c>
      <c r="AR31" s="3480" t="s">
        <v>3453</v>
      </c>
      <c r="AS31" s="3480" t="s">
        <v>3453</v>
      </c>
      <c r="AT31" s="3480" t="s">
        <v>3453</v>
      </c>
      <c r="AU31" s="3480"/>
      <c r="AV31" s="3480"/>
      <c r="AW31" s="3480" t="s">
        <v>3452</v>
      </c>
      <c r="AX31" s="3480" t="s">
        <v>3540</v>
      </c>
      <c r="AY31" s="3484" t="s">
        <v>3797</v>
      </c>
      <c r="AZ31" s="3472" t="s">
        <v>3453</v>
      </c>
      <c r="BA31" s="3532" t="s">
        <v>3453</v>
      </c>
      <c r="BB31" s="3533" t="s">
        <v>3453</v>
      </c>
      <c r="BC31" s="3532" t="s">
        <v>3453</v>
      </c>
      <c r="BD31" s="3534" t="s">
        <v>3453</v>
      </c>
      <c r="BE31" s="3480" t="s">
        <v>3453</v>
      </c>
      <c r="BF31" s="3486" t="s">
        <v>3453</v>
      </c>
      <c r="BG31" s="3535">
        <v>38774</v>
      </c>
      <c r="BH31" s="3472" t="s">
        <v>3453</v>
      </c>
      <c r="BI31" s="3472" t="s">
        <v>3798</v>
      </c>
      <c r="BJ31" s="3489">
        <v>38786</v>
      </c>
      <c r="BK31" s="3493"/>
      <c r="BL31" s="3472" t="s">
        <v>3454</v>
      </c>
      <c r="BM31" s="3480"/>
      <c r="BN31" s="3480"/>
      <c r="BO31" s="3480"/>
      <c r="BP31" s="3480"/>
      <c r="BQ31" s="3480">
        <v>7148</v>
      </c>
      <c r="BR31" s="3480">
        <v>7207</v>
      </c>
      <c r="BS31" s="3529"/>
      <c r="BT31" s="3529"/>
      <c r="BU31" s="3529"/>
    </row>
    <row r="32" spans="1:73" s="3537" customFormat="1">
      <c r="A32" s="3472" t="s">
        <v>3799</v>
      </c>
      <c r="B32" s="3472" t="s">
        <v>3800</v>
      </c>
      <c r="C32" s="3473" t="s">
        <v>3801</v>
      </c>
      <c r="D32" s="3473" t="s">
        <v>3802</v>
      </c>
      <c r="E32" s="3492" t="s">
        <v>3446</v>
      </c>
      <c r="F32" s="3492" t="s">
        <v>3545</v>
      </c>
      <c r="G32" s="3472"/>
      <c r="H32" s="3492" t="s">
        <v>3621</v>
      </c>
      <c r="I32" s="3476" t="s">
        <v>3803</v>
      </c>
      <c r="J32" s="3472" t="s">
        <v>3698</v>
      </c>
      <c r="K32" s="3472" t="s">
        <v>3549</v>
      </c>
      <c r="L32" s="3494">
        <v>127.62</v>
      </c>
      <c r="M32" s="3472">
        <v>6</v>
      </c>
      <c r="N32" s="3472" t="s">
        <v>3690</v>
      </c>
      <c r="O32" s="3472">
        <v>107.84</v>
      </c>
      <c r="P32" s="3472" t="s">
        <v>3457</v>
      </c>
      <c r="Q32" s="3504">
        <v>756787</v>
      </c>
      <c r="R32" s="3472">
        <v>5930</v>
      </c>
      <c r="S32" s="3500">
        <v>75.040000000000006</v>
      </c>
      <c r="T32" s="3498">
        <v>750400</v>
      </c>
      <c r="U32" s="3472">
        <v>5880</v>
      </c>
      <c r="V32" s="3495">
        <v>0.1</v>
      </c>
      <c r="W32" s="3479">
        <v>67.53</v>
      </c>
      <c r="X32" s="3530">
        <v>675300</v>
      </c>
      <c r="Y32" s="3480">
        <v>2006</v>
      </c>
      <c r="Z32" s="3480">
        <v>3</v>
      </c>
      <c r="AA32" s="3480">
        <v>13</v>
      </c>
      <c r="AB32" s="3472">
        <v>1500</v>
      </c>
      <c r="AC32" s="3472" t="s">
        <v>3537</v>
      </c>
      <c r="AD32" s="3471"/>
      <c r="AE32" s="3483" t="s">
        <v>3447</v>
      </c>
      <c r="AF32" s="3476" t="s">
        <v>3781</v>
      </c>
      <c r="AG32" s="3481" t="s">
        <v>3448</v>
      </c>
      <c r="AH32" s="3471"/>
      <c r="AI32" s="3483" t="s">
        <v>3538</v>
      </c>
      <c r="AJ32" s="3503">
        <v>39066</v>
      </c>
      <c r="AK32" s="3482">
        <v>3</v>
      </c>
      <c r="AL32" s="3480">
        <v>67641700</v>
      </c>
      <c r="AM32" s="3480"/>
      <c r="AN32" s="3483" t="s">
        <v>3658</v>
      </c>
      <c r="AO32" s="3472"/>
      <c r="AP32" s="3483" t="s">
        <v>3450</v>
      </c>
      <c r="AQ32" s="3480" t="s">
        <v>3451</v>
      </c>
      <c r="AR32" s="3480" t="s">
        <v>3453</v>
      </c>
      <c r="AS32" s="3480" t="s">
        <v>3453</v>
      </c>
      <c r="AT32" s="3480" t="s">
        <v>3453</v>
      </c>
      <c r="AU32" s="3480"/>
      <c r="AV32" s="3480"/>
      <c r="AW32" s="3480" t="s">
        <v>3452</v>
      </c>
      <c r="AX32" s="3480" t="s">
        <v>3540</v>
      </c>
      <c r="AY32" s="3484" t="s">
        <v>3804</v>
      </c>
      <c r="AZ32" s="3472" t="s">
        <v>3453</v>
      </c>
      <c r="BA32" s="3532" t="s">
        <v>3453</v>
      </c>
      <c r="BB32" s="3533" t="s">
        <v>3453</v>
      </c>
      <c r="BC32" s="3532" t="s">
        <v>3453</v>
      </c>
      <c r="BD32" s="3534" t="s">
        <v>3453</v>
      </c>
      <c r="BE32" s="3480" t="s">
        <v>3453</v>
      </c>
      <c r="BF32" s="3486" t="s">
        <v>3453</v>
      </c>
      <c r="BG32" s="3535">
        <v>38781</v>
      </c>
      <c r="BH32" s="3472" t="s">
        <v>3453</v>
      </c>
      <c r="BI32" s="3472" t="s">
        <v>3798</v>
      </c>
      <c r="BJ32" s="3493">
        <v>38786</v>
      </c>
      <c r="BK32" s="3493"/>
      <c r="BL32" s="3472" t="s">
        <v>3454</v>
      </c>
      <c r="BM32" s="3480"/>
      <c r="BN32" s="3480"/>
      <c r="BO32" s="3480"/>
      <c r="BP32" s="3480"/>
      <c r="BQ32" s="3480">
        <v>6958</v>
      </c>
      <c r="BR32" s="3480">
        <v>7018</v>
      </c>
      <c r="BS32" s="3529"/>
      <c r="BT32" s="3529"/>
      <c r="BU32" s="3529"/>
    </row>
    <row r="33" spans="1:73" s="3537" customFormat="1">
      <c r="A33" s="3472" t="s">
        <v>3805</v>
      </c>
      <c r="B33" s="3472" t="s">
        <v>3806</v>
      </c>
      <c r="C33" s="3473" t="s">
        <v>3807</v>
      </c>
      <c r="D33" s="3473" t="s">
        <v>3808</v>
      </c>
      <c r="E33" s="3492" t="s">
        <v>3446</v>
      </c>
      <c r="F33" s="3492" t="s">
        <v>3678</v>
      </c>
      <c r="G33" s="3472"/>
      <c r="H33" s="3492" t="s">
        <v>3597</v>
      </c>
      <c r="I33" s="3476" t="s">
        <v>3586</v>
      </c>
      <c r="J33" s="3472" t="s">
        <v>3809</v>
      </c>
      <c r="K33" s="3472" t="s">
        <v>3549</v>
      </c>
      <c r="L33" s="3494">
        <v>95.9</v>
      </c>
      <c r="M33" s="3472">
        <v>15</v>
      </c>
      <c r="N33" s="3472" t="s">
        <v>3773</v>
      </c>
      <c r="O33" s="3472">
        <v>77</v>
      </c>
      <c r="P33" s="3472" t="s">
        <v>3457</v>
      </c>
      <c r="Q33" s="3504">
        <v>510188</v>
      </c>
      <c r="R33" s="3472">
        <v>5320</v>
      </c>
      <c r="S33" s="3500">
        <v>50.53</v>
      </c>
      <c r="T33" s="3498">
        <v>505300</v>
      </c>
      <c r="U33" s="3472">
        <v>5270</v>
      </c>
      <c r="V33" s="3495">
        <v>0.1</v>
      </c>
      <c r="W33" s="3479">
        <v>45.47</v>
      </c>
      <c r="X33" s="3530">
        <v>454700</v>
      </c>
      <c r="Y33" s="3480">
        <v>2006</v>
      </c>
      <c r="Z33" s="3480">
        <v>3</v>
      </c>
      <c r="AA33" s="3480">
        <v>13</v>
      </c>
      <c r="AB33" s="3472">
        <v>1500</v>
      </c>
      <c r="AC33" s="3472" t="s">
        <v>3537</v>
      </c>
      <c r="AD33" s="3471"/>
      <c r="AE33" s="3483" t="s">
        <v>3447</v>
      </c>
      <c r="AF33" s="3476" t="s">
        <v>3781</v>
      </c>
      <c r="AG33" s="3481" t="s">
        <v>3448</v>
      </c>
      <c r="AH33" s="3471"/>
      <c r="AI33" s="3483" t="s">
        <v>3538</v>
      </c>
      <c r="AJ33" s="3503">
        <v>39082</v>
      </c>
      <c r="AK33" s="3482">
        <v>3</v>
      </c>
      <c r="AL33" s="3480">
        <v>67641700</v>
      </c>
      <c r="AM33" s="3480"/>
      <c r="AN33" s="3483" t="s">
        <v>3658</v>
      </c>
      <c r="AO33" s="3472"/>
      <c r="AP33" s="3483" t="s">
        <v>3450</v>
      </c>
      <c r="AQ33" s="3480" t="s">
        <v>3451</v>
      </c>
      <c r="AR33" s="3480" t="s">
        <v>3453</v>
      </c>
      <c r="AS33" s="3480" t="s">
        <v>3453</v>
      </c>
      <c r="AT33" s="3480" t="s">
        <v>3453</v>
      </c>
      <c r="AU33" s="3480"/>
      <c r="AV33" s="3480"/>
      <c r="AW33" s="3480" t="s">
        <v>3452</v>
      </c>
      <c r="AX33" s="3480" t="s">
        <v>3540</v>
      </c>
      <c r="AY33" s="3484" t="s">
        <v>3810</v>
      </c>
      <c r="AZ33" s="3472" t="s">
        <v>3453</v>
      </c>
      <c r="BA33" s="3532" t="s">
        <v>3453</v>
      </c>
      <c r="BB33" s="3533" t="s">
        <v>3453</v>
      </c>
      <c r="BC33" s="3532" t="s">
        <v>3453</v>
      </c>
      <c r="BD33" s="3534" t="s">
        <v>3453</v>
      </c>
      <c r="BE33" s="3480" t="s">
        <v>3453</v>
      </c>
      <c r="BF33" s="3486" t="s">
        <v>3453</v>
      </c>
      <c r="BG33" s="3535">
        <v>38780</v>
      </c>
      <c r="BH33" s="3472" t="s">
        <v>3453</v>
      </c>
      <c r="BI33" s="3472" t="s">
        <v>3798</v>
      </c>
      <c r="BJ33" s="3493">
        <v>38786</v>
      </c>
      <c r="BK33" s="3493"/>
      <c r="BL33" s="3472" t="s">
        <v>3454</v>
      </c>
      <c r="BM33" s="3480"/>
      <c r="BN33" s="3480"/>
      <c r="BO33" s="3480"/>
      <c r="BP33" s="3480"/>
      <c r="BQ33" s="3480">
        <v>6562</v>
      </c>
      <c r="BR33" s="3480">
        <v>6626</v>
      </c>
      <c r="BS33" s="3529"/>
      <c r="BT33" s="3529"/>
      <c r="BU33" s="3529"/>
    </row>
    <row r="34" spans="1:73" s="3537" customFormat="1">
      <c r="A34" s="3472" t="s">
        <v>3811</v>
      </c>
      <c r="B34" s="3472" t="s">
        <v>3812</v>
      </c>
      <c r="C34" s="3473" t="s">
        <v>3813</v>
      </c>
      <c r="D34" s="3473" t="s">
        <v>3814</v>
      </c>
      <c r="E34" s="3492" t="s">
        <v>3446</v>
      </c>
      <c r="F34" s="3492" t="s">
        <v>3545</v>
      </c>
      <c r="G34" s="3472"/>
      <c r="H34" s="3492" t="s">
        <v>3621</v>
      </c>
      <c r="I34" s="3476" t="s">
        <v>3815</v>
      </c>
      <c r="J34" s="3472" t="s">
        <v>3698</v>
      </c>
      <c r="K34" s="3472" t="s">
        <v>3549</v>
      </c>
      <c r="L34" s="3494">
        <v>102.2</v>
      </c>
      <c r="M34" s="3472">
        <v>6</v>
      </c>
      <c r="N34" s="3472" t="s">
        <v>3624</v>
      </c>
      <c r="O34" s="3472">
        <v>86.36</v>
      </c>
      <c r="P34" s="3472" t="s">
        <v>3457</v>
      </c>
      <c r="Q34" s="3504">
        <v>616266</v>
      </c>
      <c r="R34" s="3472">
        <v>6030</v>
      </c>
      <c r="S34" s="3500">
        <v>61.01</v>
      </c>
      <c r="T34" s="3498">
        <v>610100</v>
      </c>
      <c r="U34" s="3472">
        <v>5970</v>
      </c>
      <c r="V34" s="3495">
        <v>0.1</v>
      </c>
      <c r="W34" s="3479">
        <v>54.9</v>
      </c>
      <c r="X34" s="3530">
        <v>549000</v>
      </c>
      <c r="Y34" s="3480">
        <v>2006</v>
      </c>
      <c r="Z34" s="3480">
        <v>3</v>
      </c>
      <c r="AA34" s="3480">
        <v>13</v>
      </c>
      <c r="AB34" s="3472">
        <v>1500</v>
      </c>
      <c r="AC34" s="3472" t="s">
        <v>3537</v>
      </c>
      <c r="AD34" s="3471"/>
      <c r="AE34" s="3483" t="s">
        <v>3447</v>
      </c>
      <c r="AF34" s="3476" t="s">
        <v>3781</v>
      </c>
      <c r="AG34" s="3481" t="s">
        <v>3448</v>
      </c>
      <c r="AH34" s="3471"/>
      <c r="AI34" s="3483" t="s">
        <v>3538</v>
      </c>
      <c r="AJ34" s="3503">
        <v>39066</v>
      </c>
      <c r="AK34" s="3482">
        <v>3</v>
      </c>
      <c r="AL34" s="3480">
        <v>67641700</v>
      </c>
      <c r="AM34" s="3480"/>
      <c r="AN34" s="3483" t="s">
        <v>3658</v>
      </c>
      <c r="AO34" s="3472"/>
      <c r="AP34" s="3483" t="s">
        <v>3450</v>
      </c>
      <c r="AQ34" s="3480" t="s">
        <v>3451</v>
      </c>
      <c r="AR34" s="3480" t="s">
        <v>3453</v>
      </c>
      <c r="AS34" s="3480" t="s">
        <v>3453</v>
      </c>
      <c r="AT34" s="3480" t="s">
        <v>3453</v>
      </c>
      <c r="AU34" s="3480"/>
      <c r="AV34" s="3480"/>
      <c r="AW34" s="3480" t="s">
        <v>3452</v>
      </c>
      <c r="AX34" s="3480" t="s">
        <v>3540</v>
      </c>
      <c r="AY34" s="3484" t="s">
        <v>3816</v>
      </c>
      <c r="AZ34" s="3472" t="s">
        <v>3453</v>
      </c>
      <c r="BA34" s="3532" t="s">
        <v>3453</v>
      </c>
      <c r="BB34" s="3533" t="s">
        <v>3453</v>
      </c>
      <c r="BC34" s="3532" t="s">
        <v>3453</v>
      </c>
      <c r="BD34" s="3534" t="s">
        <v>3453</v>
      </c>
      <c r="BE34" s="3480" t="s">
        <v>3453</v>
      </c>
      <c r="BF34" s="3486" t="s">
        <v>3453</v>
      </c>
      <c r="BG34" s="3535">
        <v>38777</v>
      </c>
      <c r="BH34" s="3472" t="s">
        <v>3453</v>
      </c>
      <c r="BI34" s="3472" t="s">
        <v>3798</v>
      </c>
      <c r="BJ34" s="3493">
        <v>38786</v>
      </c>
      <c r="BK34" s="3493"/>
      <c r="BL34" s="3472" t="s">
        <v>3454</v>
      </c>
      <c r="BM34" s="3480"/>
      <c r="BN34" s="3480"/>
      <c r="BO34" s="3480"/>
      <c r="BP34" s="3480"/>
      <c r="BQ34" s="3480">
        <v>7065</v>
      </c>
      <c r="BR34" s="3480">
        <v>7136</v>
      </c>
      <c r="BS34" s="3529"/>
      <c r="BT34" s="3529"/>
      <c r="BU34" s="3529"/>
    </row>
    <row r="35" spans="1:73" s="3537" customFormat="1">
      <c r="A35" s="3472" t="s">
        <v>3817</v>
      </c>
      <c r="B35" s="3472" t="s">
        <v>3818</v>
      </c>
      <c r="C35" s="3473" t="s">
        <v>3819</v>
      </c>
      <c r="D35" s="3473" t="s">
        <v>3820</v>
      </c>
      <c r="E35" s="3492" t="s">
        <v>3446</v>
      </c>
      <c r="F35" s="3492" t="s">
        <v>3678</v>
      </c>
      <c r="G35" s="3472"/>
      <c r="H35" s="3492" t="s">
        <v>3597</v>
      </c>
      <c r="I35" s="3476" t="s">
        <v>3736</v>
      </c>
      <c r="J35" s="3472" t="s">
        <v>3821</v>
      </c>
      <c r="K35" s="3472" t="s">
        <v>3549</v>
      </c>
      <c r="L35" s="3494">
        <v>95.9</v>
      </c>
      <c r="M35" s="3472">
        <v>16</v>
      </c>
      <c r="N35" s="3472" t="s">
        <v>3773</v>
      </c>
      <c r="O35" s="3472">
        <v>77</v>
      </c>
      <c r="P35" s="3472" t="s">
        <v>3457</v>
      </c>
      <c r="Q35" s="3504">
        <v>513065</v>
      </c>
      <c r="R35" s="3472">
        <v>5350</v>
      </c>
      <c r="S35" s="3500">
        <v>50.82</v>
      </c>
      <c r="T35" s="3498">
        <v>508200</v>
      </c>
      <c r="U35" s="3472">
        <v>5300</v>
      </c>
      <c r="V35" s="3495">
        <v>0.1</v>
      </c>
      <c r="W35" s="3479">
        <v>45.73</v>
      </c>
      <c r="X35" s="3530">
        <v>457300</v>
      </c>
      <c r="Y35" s="3480">
        <v>2006</v>
      </c>
      <c r="Z35" s="3480">
        <v>3</v>
      </c>
      <c r="AA35" s="3480">
        <v>13</v>
      </c>
      <c r="AB35" s="3472">
        <v>1500</v>
      </c>
      <c r="AC35" s="3472" t="s">
        <v>3537</v>
      </c>
      <c r="AD35" s="3471"/>
      <c r="AE35" s="3483" t="s">
        <v>3447</v>
      </c>
      <c r="AF35" s="3476" t="s">
        <v>3781</v>
      </c>
      <c r="AG35" s="3481" t="s">
        <v>3448</v>
      </c>
      <c r="AH35" s="3471"/>
      <c r="AI35" s="3483" t="s">
        <v>3538</v>
      </c>
      <c r="AJ35" s="3503">
        <v>39082</v>
      </c>
      <c r="AK35" s="3482">
        <v>3</v>
      </c>
      <c r="AL35" s="3480">
        <v>67641700</v>
      </c>
      <c r="AM35" s="3480"/>
      <c r="AN35" s="3483" t="s">
        <v>3658</v>
      </c>
      <c r="AO35" s="3472"/>
      <c r="AP35" s="3483" t="s">
        <v>3450</v>
      </c>
      <c r="AQ35" s="3480" t="s">
        <v>3451</v>
      </c>
      <c r="AR35" s="3480" t="s">
        <v>3453</v>
      </c>
      <c r="AS35" s="3480" t="s">
        <v>3453</v>
      </c>
      <c r="AT35" s="3480" t="s">
        <v>3453</v>
      </c>
      <c r="AU35" s="3480"/>
      <c r="AV35" s="3480"/>
      <c r="AW35" s="3480" t="s">
        <v>3452</v>
      </c>
      <c r="AX35" s="3480" t="s">
        <v>3540</v>
      </c>
      <c r="AY35" s="3484" t="s">
        <v>3822</v>
      </c>
      <c r="AZ35" s="3472" t="s">
        <v>3453</v>
      </c>
      <c r="BA35" s="3532" t="s">
        <v>3453</v>
      </c>
      <c r="BB35" s="3533" t="s">
        <v>3453</v>
      </c>
      <c r="BC35" s="3532" t="s">
        <v>3453</v>
      </c>
      <c r="BD35" s="3534" t="s">
        <v>3453</v>
      </c>
      <c r="BE35" s="3480" t="s">
        <v>3453</v>
      </c>
      <c r="BF35" s="3486" t="s">
        <v>3453</v>
      </c>
      <c r="BG35" s="3535">
        <v>38779</v>
      </c>
      <c r="BH35" s="3472" t="s">
        <v>3453</v>
      </c>
      <c r="BI35" s="3472" t="s">
        <v>3798</v>
      </c>
      <c r="BJ35" s="3493">
        <v>38786</v>
      </c>
      <c r="BK35" s="3493"/>
      <c r="BL35" s="3472" t="s">
        <v>3454</v>
      </c>
      <c r="BM35" s="3480"/>
      <c r="BN35" s="3480"/>
      <c r="BO35" s="3480"/>
      <c r="BP35" s="3480"/>
      <c r="BQ35" s="3480">
        <v>6600</v>
      </c>
      <c r="BR35" s="3480">
        <v>6663</v>
      </c>
      <c r="BS35" s="3529"/>
      <c r="BT35" s="3529"/>
      <c r="BU35" s="3529"/>
    </row>
    <row r="36" spans="1:73" s="3537" customFormat="1">
      <c r="A36" s="3472" t="s">
        <v>3823</v>
      </c>
      <c r="B36" s="3472" t="s">
        <v>3824</v>
      </c>
      <c r="C36" s="3473" t="s">
        <v>3825</v>
      </c>
      <c r="D36" s="3473" t="s">
        <v>3826</v>
      </c>
      <c r="E36" s="3492" t="s">
        <v>3446</v>
      </c>
      <c r="F36" s="3492" t="s">
        <v>3678</v>
      </c>
      <c r="G36" s="3472"/>
      <c r="H36" s="3492" t="s">
        <v>3597</v>
      </c>
      <c r="I36" s="3476" t="s">
        <v>3827</v>
      </c>
      <c r="J36" s="3472" t="s">
        <v>3828</v>
      </c>
      <c r="K36" s="3472" t="s">
        <v>3549</v>
      </c>
      <c r="L36" s="3494">
        <v>95.9</v>
      </c>
      <c r="M36" s="3472">
        <v>7</v>
      </c>
      <c r="N36" s="3472" t="s">
        <v>3773</v>
      </c>
      <c r="O36" s="3472">
        <v>77</v>
      </c>
      <c r="P36" s="3472" t="s">
        <v>3457</v>
      </c>
      <c r="Q36" s="3504">
        <v>485254</v>
      </c>
      <c r="R36" s="3472">
        <v>5060</v>
      </c>
      <c r="S36" s="3500">
        <v>48.04</v>
      </c>
      <c r="T36" s="3498">
        <v>480400</v>
      </c>
      <c r="U36" s="3472">
        <v>5010</v>
      </c>
      <c r="V36" s="3495">
        <v>0.1</v>
      </c>
      <c r="W36" s="3479">
        <v>43.23</v>
      </c>
      <c r="X36" s="3530">
        <v>432300</v>
      </c>
      <c r="Y36" s="3480">
        <v>2006</v>
      </c>
      <c r="Z36" s="3480">
        <v>3</v>
      </c>
      <c r="AA36" s="3480">
        <v>13</v>
      </c>
      <c r="AB36" s="3472">
        <v>1440</v>
      </c>
      <c r="AC36" s="3472" t="s">
        <v>3537</v>
      </c>
      <c r="AD36" s="3471"/>
      <c r="AE36" s="3483" t="s">
        <v>3447</v>
      </c>
      <c r="AF36" s="3476" t="s">
        <v>3781</v>
      </c>
      <c r="AG36" s="3481" t="s">
        <v>3448</v>
      </c>
      <c r="AH36" s="3471"/>
      <c r="AI36" s="3483" t="s">
        <v>3538</v>
      </c>
      <c r="AJ36" s="3503">
        <v>39082</v>
      </c>
      <c r="AK36" s="3482">
        <v>3</v>
      </c>
      <c r="AL36" s="3480">
        <v>67641700</v>
      </c>
      <c r="AM36" s="3480"/>
      <c r="AN36" s="3483" t="s">
        <v>3658</v>
      </c>
      <c r="AO36" s="3472"/>
      <c r="AP36" s="3483" t="s">
        <v>3450</v>
      </c>
      <c r="AQ36" s="3480" t="s">
        <v>3451</v>
      </c>
      <c r="AR36" s="3480" t="s">
        <v>3453</v>
      </c>
      <c r="AS36" s="3480" t="s">
        <v>3453</v>
      </c>
      <c r="AT36" s="3480" t="s">
        <v>3453</v>
      </c>
      <c r="AU36" s="3480"/>
      <c r="AV36" s="3480"/>
      <c r="AW36" s="3480" t="s">
        <v>3452</v>
      </c>
      <c r="AX36" s="3480" t="s">
        <v>3540</v>
      </c>
      <c r="AY36" s="3484" t="s">
        <v>3829</v>
      </c>
      <c r="AZ36" s="3472" t="s">
        <v>3453</v>
      </c>
      <c r="BA36" s="3532" t="s">
        <v>3453</v>
      </c>
      <c r="BB36" s="3533" t="s">
        <v>3453</v>
      </c>
      <c r="BC36" s="3532" t="s">
        <v>3453</v>
      </c>
      <c r="BD36" s="3534" t="s">
        <v>3453</v>
      </c>
      <c r="BE36" s="3480" t="s">
        <v>3453</v>
      </c>
      <c r="BF36" s="3486" t="s">
        <v>3453</v>
      </c>
      <c r="BG36" s="3535">
        <v>38781</v>
      </c>
      <c r="BH36" s="3472" t="s">
        <v>3453</v>
      </c>
      <c r="BI36" s="3472" t="s">
        <v>3798</v>
      </c>
      <c r="BJ36" s="3493">
        <v>38786</v>
      </c>
      <c r="BK36" s="3493"/>
      <c r="BL36" s="3472" t="s">
        <v>3454</v>
      </c>
      <c r="BM36" s="3480"/>
      <c r="BN36" s="3480"/>
      <c r="BO36" s="3480"/>
      <c r="BP36" s="3480"/>
      <c r="BQ36" s="3480">
        <v>6239</v>
      </c>
      <c r="BR36" s="3480">
        <v>6302</v>
      </c>
      <c r="BS36" s="3529"/>
      <c r="BT36" s="3529"/>
      <c r="BU36" s="3529"/>
    </row>
    <row r="37" spans="1:73" s="3537" customFormat="1">
      <c r="A37" s="3472" t="s">
        <v>3830</v>
      </c>
      <c r="B37" s="3472" t="s">
        <v>3831</v>
      </c>
      <c r="C37" s="3473" t="s">
        <v>3832</v>
      </c>
      <c r="D37" s="3473" t="s">
        <v>3833</v>
      </c>
      <c r="E37" s="3492" t="s">
        <v>3446</v>
      </c>
      <c r="F37" s="3492" t="s">
        <v>3545</v>
      </c>
      <c r="G37" s="3472"/>
      <c r="H37" s="3492" t="s">
        <v>3621</v>
      </c>
      <c r="I37" s="3476" t="s">
        <v>3834</v>
      </c>
      <c r="J37" s="3472" t="s">
        <v>3835</v>
      </c>
      <c r="K37" s="3472" t="s">
        <v>3549</v>
      </c>
      <c r="L37" s="3494">
        <v>102.2</v>
      </c>
      <c r="M37" s="3472">
        <v>14</v>
      </c>
      <c r="N37" s="3472" t="s">
        <v>3624</v>
      </c>
      <c r="O37" s="3472">
        <v>86.36</v>
      </c>
      <c r="P37" s="3472" t="s">
        <v>3457</v>
      </c>
      <c r="Q37" s="3504">
        <v>648970</v>
      </c>
      <c r="R37" s="3472">
        <v>6350</v>
      </c>
      <c r="S37" s="3500">
        <v>64.38</v>
      </c>
      <c r="T37" s="3498">
        <v>643800</v>
      </c>
      <c r="U37" s="3472">
        <v>6300</v>
      </c>
      <c r="V37" s="3495">
        <v>0.1</v>
      </c>
      <c r="W37" s="3479">
        <v>57.94</v>
      </c>
      <c r="X37" s="3530">
        <v>579400</v>
      </c>
      <c r="Y37" s="3480">
        <v>2006</v>
      </c>
      <c r="Z37" s="3480">
        <v>3</v>
      </c>
      <c r="AA37" s="3480">
        <v>13</v>
      </c>
      <c r="AB37" s="3472">
        <v>1500</v>
      </c>
      <c r="AC37" s="3472" t="s">
        <v>3537</v>
      </c>
      <c r="AD37" s="3471"/>
      <c r="AE37" s="3483" t="s">
        <v>3447</v>
      </c>
      <c r="AF37" s="3476" t="s">
        <v>3781</v>
      </c>
      <c r="AG37" s="3481" t="s">
        <v>3448</v>
      </c>
      <c r="AH37" s="3471"/>
      <c r="AI37" s="3483" t="s">
        <v>3538</v>
      </c>
      <c r="AJ37" s="3503">
        <v>39066</v>
      </c>
      <c r="AK37" s="3482">
        <v>3</v>
      </c>
      <c r="AL37" s="3480">
        <v>67641700</v>
      </c>
      <c r="AM37" s="3480"/>
      <c r="AN37" s="3483" t="s">
        <v>3658</v>
      </c>
      <c r="AO37" s="3472"/>
      <c r="AP37" s="3483" t="s">
        <v>3450</v>
      </c>
      <c r="AQ37" s="3480" t="s">
        <v>3451</v>
      </c>
      <c r="AR37" s="3480" t="s">
        <v>3453</v>
      </c>
      <c r="AS37" s="3480" t="s">
        <v>3453</v>
      </c>
      <c r="AT37" s="3480" t="s">
        <v>3453</v>
      </c>
      <c r="AU37" s="3480"/>
      <c r="AV37" s="3480"/>
      <c r="AW37" s="3480" t="s">
        <v>3452</v>
      </c>
      <c r="AX37" s="3480" t="s">
        <v>3540</v>
      </c>
      <c r="AY37" s="3484" t="s">
        <v>3836</v>
      </c>
      <c r="AZ37" s="3472" t="s">
        <v>3453</v>
      </c>
      <c r="BA37" s="3532" t="s">
        <v>3453</v>
      </c>
      <c r="BB37" s="3533" t="s">
        <v>3453</v>
      </c>
      <c r="BC37" s="3532" t="s">
        <v>3453</v>
      </c>
      <c r="BD37" s="3534" t="s">
        <v>3453</v>
      </c>
      <c r="BE37" s="3480" t="s">
        <v>3453</v>
      </c>
      <c r="BF37" s="3486" t="s">
        <v>3453</v>
      </c>
      <c r="BG37" s="3535">
        <v>38781</v>
      </c>
      <c r="BH37" s="3472" t="s">
        <v>3453</v>
      </c>
      <c r="BI37" s="3472" t="s">
        <v>3798</v>
      </c>
      <c r="BJ37" s="3493">
        <v>38786</v>
      </c>
      <c r="BK37" s="3493"/>
      <c r="BL37" s="3472" t="s">
        <v>3454</v>
      </c>
      <c r="BM37" s="3480"/>
      <c r="BN37" s="3480"/>
      <c r="BO37" s="3480"/>
      <c r="BP37" s="3480"/>
      <c r="BQ37" s="3480">
        <v>7455</v>
      </c>
      <c r="BR37" s="3480">
        <v>7515</v>
      </c>
      <c r="BS37" s="3529"/>
      <c r="BT37" s="3529"/>
      <c r="BU37" s="3529"/>
    </row>
    <row r="38" spans="1:73" s="3537" customFormat="1">
      <c r="A38" s="3472" t="s">
        <v>3837</v>
      </c>
      <c r="B38" s="3472" t="s">
        <v>3838</v>
      </c>
      <c r="C38" s="3473" t="s">
        <v>3839</v>
      </c>
      <c r="D38" s="3473" t="s">
        <v>3840</v>
      </c>
      <c r="E38" s="3492" t="s">
        <v>3446</v>
      </c>
      <c r="F38" s="3492" t="s">
        <v>3545</v>
      </c>
      <c r="G38" s="3472"/>
      <c r="H38" s="3492" t="s">
        <v>3621</v>
      </c>
      <c r="I38" s="3476" t="s">
        <v>3841</v>
      </c>
      <c r="J38" s="3472" t="s">
        <v>3623</v>
      </c>
      <c r="K38" s="3472" t="s">
        <v>3549</v>
      </c>
      <c r="L38" s="3494">
        <v>90.61</v>
      </c>
      <c r="M38" s="3472">
        <v>4</v>
      </c>
      <c r="N38" s="3472" t="s">
        <v>3773</v>
      </c>
      <c r="O38" s="3472">
        <v>76.56</v>
      </c>
      <c r="P38" s="3472" t="s">
        <v>3457</v>
      </c>
      <c r="Q38" s="3504">
        <v>526444</v>
      </c>
      <c r="R38" s="3472">
        <v>5810</v>
      </c>
      <c r="S38" s="3500">
        <v>52.19</v>
      </c>
      <c r="T38" s="3498">
        <v>521900</v>
      </c>
      <c r="U38" s="3472">
        <v>5760</v>
      </c>
      <c r="V38" s="3495">
        <v>0.1</v>
      </c>
      <c r="W38" s="3479">
        <v>46.97</v>
      </c>
      <c r="X38" s="3530">
        <v>469700</v>
      </c>
      <c r="Y38" s="3480">
        <v>2006</v>
      </c>
      <c r="Z38" s="3480">
        <v>3</v>
      </c>
      <c r="AA38" s="3480">
        <v>13</v>
      </c>
      <c r="AB38" s="3472">
        <v>1500</v>
      </c>
      <c r="AC38" s="3472" t="s">
        <v>3537</v>
      </c>
      <c r="AD38" s="3471"/>
      <c r="AE38" s="3483" t="s">
        <v>3447</v>
      </c>
      <c r="AF38" s="3476" t="s">
        <v>3781</v>
      </c>
      <c r="AG38" s="3481" t="s">
        <v>3448</v>
      </c>
      <c r="AH38" s="3471"/>
      <c r="AI38" s="3483" t="s">
        <v>3538</v>
      </c>
      <c r="AJ38" s="3503">
        <v>39066</v>
      </c>
      <c r="AK38" s="3482">
        <v>3</v>
      </c>
      <c r="AL38" s="3480">
        <v>67641700</v>
      </c>
      <c r="AM38" s="3480"/>
      <c r="AN38" s="3483" t="s">
        <v>3658</v>
      </c>
      <c r="AO38" s="3472"/>
      <c r="AP38" s="3483" t="s">
        <v>3450</v>
      </c>
      <c r="AQ38" s="3480" t="s">
        <v>3451</v>
      </c>
      <c r="AR38" s="3480" t="s">
        <v>3453</v>
      </c>
      <c r="AS38" s="3480" t="s">
        <v>3453</v>
      </c>
      <c r="AT38" s="3480" t="s">
        <v>3453</v>
      </c>
      <c r="AU38" s="3480"/>
      <c r="AV38" s="3480"/>
      <c r="AW38" s="3480" t="s">
        <v>3452</v>
      </c>
      <c r="AX38" s="3480" t="s">
        <v>3540</v>
      </c>
      <c r="AY38" s="3484" t="s">
        <v>3842</v>
      </c>
      <c r="AZ38" s="3472" t="s">
        <v>3453</v>
      </c>
      <c r="BA38" s="3532" t="s">
        <v>3453</v>
      </c>
      <c r="BB38" s="3533" t="s">
        <v>3453</v>
      </c>
      <c r="BC38" s="3532" t="s">
        <v>3453</v>
      </c>
      <c r="BD38" s="3534" t="s">
        <v>3453</v>
      </c>
      <c r="BE38" s="3480" t="s">
        <v>3453</v>
      </c>
      <c r="BF38" s="3486" t="s">
        <v>3453</v>
      </c>
      <c r="BG38" s="3535">
        <v>38781</v>
      </c>
      <c r="BH38" s="3472" t="s">
        <v>3453</v>
      </c>
      <c r="BI38" s="3472" t="s">
        <v>3798</v>
      </c>
      <c r="BJ38" s="3493">
        <v>38786</v>
      </c>
      <c r="BK38" s="3493"/>
      <c r="BL38" s="3472" t="s">
        <v>3454</v>
      </c>
      <c r="BM38" s="3480"/>
      <c r="BN38" s="3480"/>
      <c r="BO38" s="3480"/>
      <c r="BP38" s="3480"/>
      <c r="BQ38" s="3480">
        <v>6817</v>
      </c>
      <c r="BR38" s="3480">
        <v>6876</v>
      </c>
      <c r="BS38" s="3529"/>
      <c r="BT38" s="3529"/>
      <c r="BU38" s="3529"/>
    </row>
    <row r="39" spans="1:73" s="3537" customFormat="1">
      <c r="A39" s="3472" t="s">
        <v>3843</v>
      </c>
      <c r="B39" s="3472" t="s">
        <v>3844</v>
      </c>
      <c r="C39" s="3473" t="s">
        <v>3845</v>
      </c>
      <c r="D39" s="3473" t="s">
        <v>3846</v>
      </c>
      <c r="E39" s="3492" t="s">
        <v>3446</v>
      </c>
      <c r="F39" s="3492" t="s">
        <v>3678</v>
      </c>
      <c r="G39" s="3472"/>
      <c r="H39" s="3492" t="s">
        <v>3597</v>
      </c>
      <c r="I39" s="3476" t="s">
        <v>3847</v>
      </c>
      <c r="J39" s="3472" t="s">
        <v>3848</v>
      </c>
      <c r="K39" s="3472" t="s">
        <v>3549</v>
      </c>
      <c r="L39" s="3494">
        <v>96.06</v>
      </c>
      <c r="M39" s="3472">
        <v>12</v>
      </c>
      <c r="N39" s="3472" t="s">
        <v>3656</v>
      </c>
      <c r="O39" s="3472">
        <v>77</v>
      </c>
      <c r="P39" s="3472" t="s">
        <v>3457</v>
      </c>
      <c r="Q39" s="3504">
        <v>492788</v>
      </c>
      <c r="R39" s="3472">
        <v>5130</v>
      </c>
      <c r="S39" s="3500">
        <v>48.79</v>
      </c>
      <c r="T39" s="3498">
        <v>487900</v>
      </c>
      <c r="U39" s="3472">
        <v>5080</v>
      </c>
      <c r="V39" s="3495">
        <v>0.1</v>
      </c>
      <c r="W39" s="3479">
        <v>43.91</v>
      </c>
      <c r="X39" s="3530">
        <v>439100</v>
      </c>
      <c r="Y39" s="3480">
        <v>2006</v>
      </c>
      <c r="Z39" s="3480">
        <v>3</v>
      </c>
      <c r="AA39" s="3480">
        <v>14</v>
      </c>
      <c r="AB39" s="3472">
        <v>1460</v>
      </c>
      <c r="AC39" s="3472" t="s">
        <v>3657</v>
      </c>
      <c r="AD39" s="3471"/>
      <c r="AE39" s="3483" t="s">
        <v>3447</v>
      </c>
      <c r="AF39" s="3476" t="s">
        <v>3591</v>
      </c>
      <c r="AG39" s="3481" t="s">
        <v>3448</v>
      </c>
      <c r="AH39" s="3471"/>
      <c r="AI39" s="3483" t="s">
        <v>3538</v>
      </c>
      <c r="AJ39" s="3503">
        <v>39082</v>
      </c>
      <c r="AK39" s="3482">
        <v>3</v>
      </c>
      <c r="AL39" s="3480">
        <v>67641700</v>
      </c>
      <c r="AM39" s="3480"/>
      <c r="AN39" s="3480" t="s">
        <v>3658</v>
      </c>
      <c r="AO39" s="3472"/>
      <c r="AP39" s="3483" t="s">
        <v>3450</v>
      </c>
      <c r="AQ39" s="3480" t="s">
        <v>3451</v>
      </c>
      <c r="AR39" s="3480" t="s">
        <v>3453</v>
      </c>
      <c r="AS39" s="3480" t="s">
        <v>3453</v>
      </c>
      <c r="AT39" s="3480" t="s">
        <v>3453</v>
      </c>
      <c r="AU39" s="3480"/>
      <c r="AV39" s="3480"/>
      <c r="AW39" s="3480" t="s">
        <v>3452</v>
      </c>
      <c r="AX39" s="3480" t="s">
        <v>3540</v>
      </c>
      <c r="AY39" s="3484" t="s">
        <v>3849</v>
      </c>
      <c r="AZ39" s="3472" t="s">
        <v>3453</v>
      </c>
      <c r="BA39" s="3532" t="s">
        <v>3453</v>
      </c>
      <c r="BB39" s="3533" t="s">
        <v>3453</v>
      </c>
      <c r="BC39" s="3532" t="s">
        <v>3453</v>
      </c>
      <c r="BD39" s="3534" t="s">
        <v>3453</v>
      </c>
      <c r="BE39" s="3480" t="s">
        <v>3453</v>
      </c>
      <c r="BF39" s="3486" t="s">
        <v>3453</v>
      </c>
      <c r="BG39" s="3535">
        <v>38774</v>
      </c>
      <c r="BH39" s="3472" t="s">
        <v>3453</v>
      </c>
      <c r="BI39" s="3472" t="s">
        <v>3850</v>
      </c>
      <c r="BJ39" s="3493">
        <v>38786</v>
      </c>
      <c r="BK39" s="3493"/>
      <c r="BL39" s="3472" t="s">
        <v>3454</v>
      </c>
      <c r="BM39" s="3480"/>
      <c r="BN39" s="3480"/>
      <c r="BO39" s="3480"/>
      <c r="BP39" s="3480"/>
      <c r="BQ39" s="3480">
        <v>6336</v>
      </c>
      <c r="BR39" s="3480">
        <v>6400</v>
      </c>
      <c r="BS39" s="3529"/>
      <c r="BT39" s="3529"/>
      <c r="BU39" s="3529"/>
    </row>
    <row r="40" spans="1:73" s="3537" customFormat="1">
      <c r="A40" s="3472" t="s">
        <v>3851</v>
      </c>
      <c r="B40" s="3472" t="s">
        <v>3852</v>
      </c>
      <c r="C40" s="3473" t="s">
        <v>3853</v>
      </c>
      <c r="D40" s="3473" t="s">
        <v>3854</v>
      </c>
      <c r="E40" s="3492" t="s">
        <v>3446</v>
      </c>
      <c r="F40" s="3492" t="s">
        <v>3545</v>
      </c>
      <c r="G40" s="3472"/>
      <c r="H40" s="3492" t="s">
        <v>3621</v>
      </c>
      <c r="I40" s="3476" t="s">
        <v>3855</v>
      </c>
      <c r="J40" s="3472" t="s">
        <v>3689</v>
      </c>
      <c r="K40" s="3472" t="s">
        <v>3549</v>
      </c>
      <c r="L40" s="3494">
        <v>126.9</v>
      </c>
      <c r="M40" s="3472">
        <v>7</v>
      </c>
      <c r="N40" s="3472" t="s">
        <v>3690</v>
      </c>
      <c r="O40" s="3472">
        <v>107.23</v>
      </c>
      <c r="P40" s="3472" t="s">
        <v>3457</v>
      </c>
      <c r="Q40" s="3504">
        <v>721300</v>
      </c>
      <c r="R40" s="3472">
        <v>5684</v>
      </c>
      <c r="S40" s="3500">
        <v>71.489999999999995</v>
      </c>
      <c r="T40" s="3498">
        <v>714900</v>
      </c>
      <c r="U40" s="3472">
        <v>5634</v>
      </c>
      <c r="V40" s="3495">
        <v>0.1</v>
      </c>
      <c r="W40" s="3479">
        <v>64.34</v>
      </c>
      <c r="X40" s="3530">
        <v>643400</v>
      </c>
      <c r="Y40" s="3480">
        <v>2006</v>
      </c>
      <c r="Z40" s="3480">
        <v>3</v>
      </c>
      <c r="AA40" s="3480">
        <v>14</v>
      </c>
      <c r="AB40" s="3472">
        <v>1500</v>
      </c>
      <c r="AC40" s="3472" t="s">
        <v>3537</v>
      </c>
      <c r="AD40" s="3471"/>
      <c r="AE40" s="3483" t="s">
        <v>3447</v>
      </c>
      <c r="AF40" s="3476" t="s">
        <v>3591</v>
      </c>
      <c r="AG40" s="3481" t="s">
        <v>3448</v>
      </c>
      <c r="AH40" s="3471"/>
      <c r="AI40" s="3483" t="s">
        <v>3538</v>
      </c>
      <c r="AJ40" s="3503">
        <v>39066</v>
      </c>
      <c r="AK40" s="3482">
        <v>3</v>
      </c>
      <c r="AL40" s="3480">
        <v>67641700</v>
      </c>
      <c r="AM40" s="3480"/>
      <c r="AN40" s="3480" t="s">
        <v>3658</v>
      </c>
      <c r="AO40" s="3472"/>
      <c r="AP40" s="3483" t="s">
        <v>3450</v>
      </c>
      <c r="AQ40" s="3480" t="s">
        <v>3451</v>
      </c>
      <c r="AR40" s="3480" t="s">
        <v>3453</v>
      </c>
      <c r="AS40" s="3480" t="s">
        <v>3453</v>
      </c>
      <c r="AT40" s="3480" t="s">
        <v>3453</v>
      </c>
      <c r="AU40" s="3480"/>
      <c r="AV40" s="3480"/>
      <c r="AW40" s="3480" t="s">
        <v>3452</v>
      </c>
      <c r="AX40" s="3480" t="s">
        <v>3540</v>
      </c>
      <c r="AY40" s="3484" t="s">
        <v>3856</v>
      </c>
      <c r="AZ40" s="3472" t="s">
        <v>3453</v>
      </c>
      <c r="BA40" s="3532" t="s">
        <v>3453</v>
      </c>
      <c r="BB40" s="3533" t="s">
        <v>3453</v>
      </c>
      <c r="BC40" s="3532" t="s">
        <v>3453</v>
      </c>
      <c r="BD40" s="3534" t="s">
        <v>3453</v>
      </c>
      <c r="BE40" s="3480" t="s">
        <v>3453</v>
      </c>
      <c r="BF40" s="3486" t="s">
        <v>3453</v>
      </c>
      <c r="BG40" s="3535">
        <v>38769</v>
      </c>
      <c r="BH40" s="3472" t="s">
        <v>3453</v>
      </c>
      <c r="BI40" s="3472" t="s">
        <v>3850</v>
      </c>
      <c r="BJ40" s="3489">
        <v>38789</v>
      </c>
      <c r="BK40" s="3493"/>
      <c r="BL40" s="3472" t="s">
        <v>3454</v>
      </c>
      <c r="BM40" s="3480"/>
      <c r="BN40" s="3480"/>
      <c r="BO40" s="3480"/>
      <c r="BP40" s="3480"/>
      <c r="BQ40" s="3480">
        <v>6667</v>
      </c>
      <c r="BR40" s="3480">
        <v>6727</v>
      </c>
      <c r="BS40" s="3529"/>
      <c r="BT40" s="3529"/>
      <c r="BU40" s="3529"/>
    </row>
    <row r="41" spans="1:73" s="3537" customFormat="1">
      <c r="A41" s="3472" t="s">
        <v>3857</v>
      </c>
      <c r="B41" s="3472" t="s">
        <v>3858</v>
      </c>
      <c r="C41" s="3473" t="s">
        <v>3859</v>
      </c>
      <c r="D41" s="3473" t="s">
        <v>3860</v>
      </c>
      <c r="E41" s="3492" t="s">
        <v>3446</v>
      </c>
      <c r="F41" s="3492" t="s">
        <v>3545</v>
      </c>
      <c r="G41" s="3472"/>
      <c r="H41" s="3492" t="s">
        <v>3621</v>
      </c>
      <c r="I41" s="3476" t="s">
        <v>3861</v>
      </c>
      <c r="J41" s="3472" t="s">
        <v>3788</v>
      </c>
      <c r="K41" s="3472" t="s">
        <v>3549</v>
      </c>
      <c r="L41" s="3494">
        <v>126.37</v>
      </c>
      <c r="M41" s="3472">
        <v>5</v>
      </c>
      <c r="N41" s="3472" t="s">
        <v>3690</v>
      </c>
      <c r="O41" s="3472">
        <v>106.78</v>
      </c>
      <c r="P41" s="3472" t="s">
        <v>3457</v>
      </c>
      <c r="Q41" s="3504">
        <v>746847</v>
      </c>
      <c r="R41" s="3472">
        <v>5910</v>
      </c>
      <c r="S41" s="3500">
        <v>74.05</v>
      </c>
      <c r="T41" s="3498">
        <v>740500</v>
      </c>
      <c r="U41" s="3472">
        <v>5860</v>
      </c>
      <c r="V41" s="3495">
        <v>0.1</v>
      </c>
      <c r="W41" s="3479">
        <v>66.64</v>
      </c>
      <c r="X41" s="3530">
        <v>666400</v>
      </c>
      <c r="Y41" s="3480">
        <v>2006</v>
      </c>
      <c r="Z41" s="3480">
        <v>3</v>
      </c>
      <c r="AA41" s="3480">
        <v>14</v>
      </c>
      <c r="AB41" s="3472">
        <v>1500</v>
      </c>
      <c r="AC41" s="3472" t="s">
        <v>3537</v>
      </c>
      <c r="AD41" s="3471"/>
      <c r="AE41" s="3483" t="s">
        <v>3447</v>
      </c>
      <c r="AF41" s="3476" t="s">
        <v>3591</v>
      </c>
      <c r="AG41" s="3481" t="s">
        <v>3448</v>
      </c>
      <c r="AH41" s="3471"/>
      <c r="AI41" s="3483" t="s">
        <v>3538</v>
      </c>
      <c r="AJ41" s="3503">
        <v>39066</v>
      </c>
      <c r="AK41" s="3482">
        <v>3</v>
      </c>
      <c r="AL41" s="3480">
        <v>67641700</v>
      </c>
      <c r="AM41" s="3480"/>
      <c r="AN41" s="3480" t="s">
        <v>3658</v>
      </c>
      <c r="AO41" s="3472"/>
      <c r="AP41" s="3483" t="s">
        <v>3450</v>
      </c>
      <c r="AQ41" s="3480" t="s">
        <v>3451</v>
      </c>
      <c r="AR41" s="3480" t="s">
        <v>3453</v>
      </c>
      <c r="AS41" s="3480" t="s">
        <v>3453</v>
      </c>
      <c r="AT41" s="3480" t="s">
        <v>3453</v>
      </c>
      <c r="AU41" s="3480"/>
      <c r="AV41" s="3480"/>
      <c r="AW41" s="3480" t="s">
        <v>3452</v>
      </c>
      <c r="AX41" s="3480" t="s">
        <v>3540</v>
      </c>
      <c r="AY41" s="3484" t="s">
        <v>3862</v>
      </c>
      <c r="AZ41" s="3472" t="s">
        <v>3453</v>
      </c>
      <c r="BA41" s="3532" t="s">
        <v>3453</v>
      </c>
      <c r="BB41" s="3533" t="s">
        <v>3453</v>
      </c>
      <c r="BC41" s="3532" t="s">
        <v>3453</v>
      </c>
      <c r="BD41" s="3534" t="s">
        <v>3453</v>
      </c>
      <c r="BE41" s="3480" t="s">
        <v>3453</v>
      </c>
      <c r="BF41" s="3486" t="s">
        <v>3453</v>
      </c>
      <c r="BG41" s="3535">
        <v>38780</v>
      </c>
      <c r="BH41" s="3472" t="s">
        <v>3453</v>
      </c>
      <c r="BI41" s="3472" t="s">
        <v>3850</v>
      </c>
      <c r="BJ41" s="3489">
        <v>38786</v>
      </c>
      <c r="BK41" s="3493"/>
      <c r="BL41" s="3472" t="s">
        <v>3454</v>
      </c>
      <c r="BM41" s="3480"/>
      <c r="BN41" s="3480"/>
      <c r="BO41" s="3480"/>
      <c r="BP41" s="3480"/>
      <c r="BQ41" s="3480">
        <v>6935</v>
      </c>
      <c r="BR41" s="3480">
        <v>6994</v>
      </c>
      <c r="BS41" s="3529"/>
      <c r="BT41" s="3529"/>
      <c r="BU41" s="3529"/>
    </row>
    <row r="42" spans="1:73" s="3537" customFormat="1" hidden="1">
      <c r="A42" s="3472" t="s">
        <v>3863</v>
      </c>
      <c r="B42" s="3472" t="s">
        <v>3864</v>
      </c>
      <c r="C42" s="3473" t="s">
        <v>3865</v>
      </c>
      <c r="D42" s="3473" t="s">
        <v>3866</v>
      </c>
      <c r="E42" s="3492" t="s">
        <v>3446</v>
      </c>
      <c r="F42" s="3492" t="s">
        <v>3545</v>
      </c>
      <c r="G42" s="3472"/>
      <c r="H42" s="3492" t="s">
        <v>3585</v>
      </c>
      <c r="I42" s="3476"/>
      <c r="J42" s="3472" t="s">
        <v>3867</v>
      </c>
      <c r="K42" s="3472" t="s">
        <v>3549</v>
      </c>
      <c r="L42" s="3494">
        <v>57.82</v>
      </c>
      <c r="M42" s="3472">
        <v>6</v>
      </c>
      <c r="N42" s="3472" t="s">
        <v>3868</v>
      </c>
      <c r="O42" s="3472">
        <v>47.17</v>
      </c>
      <c r="P42" s="3472" t="s">
        <v>3457</v>
      </c>
      <c r="Q42" s="3504">
        <v>273685</v>
      </c>
      <c r="R42" s="3472">
        <v>4733</v>
      </c>
      <c r="S42" s="3500">
        <v>27.08</v>
      </c>
      <c r="T42" s="3498">
        <v>270800</v>
      </c>
      <c r="U42" s="3472">
        <v>4685</v>
      </c>
      <c r="V42" s="3495">
        <v>0.1</v>
      </c>
      <c r="W42" s="3479">
        <v>24.37</v>
      </c>
      <c r="X42" s="3530">
        <v>243700</v>
      </c>
      <c r="Y42" s="3480">
        <v>2006</v>
      </c>
      <c r="Z42" s="3480">
        <v>3</v>
      </c>
      <c r="AA42" s="3480">
        <v>14</v>
      </c>
      <c r="AB42" s="3472">
        <v>810</v>
      </c>
      <c r="AC42" s="3472" t="s">
        <v>3537</v>
      </c>
      <c r="AD42" s="3471"/>
      <c r="AE42" s="3483" t="s">
        <v>3447</v>
      </c>
      <c r="AF42" s="3476" t="s">
        <v>3591</v>
      </c>
      <c r="AG42" s="3481" t="s">
        <v>3448</v>
      </c>
      <c r="AH42" s="3471"/>
      <c r="AI42" s="3483" t="s">
        <v>3538</v>
      </c>
      <c r="AJ42" s="3503">
        <v>39021</v>
      </c>
      <c r="AK42" s="3482">
        <v>3</v>
      </c>
      <c r="AL42" s="3480">
        <v>67641700</v>
      </c>
      <c r="AM42" s="3480"/>
      <c r="AN42" s="3480" t="s">
        <v>3658</v>
      </c>
      <c r="AO42" s="3472"/>
      <c r="AP42" s="3483" t="s">
        <v>3450</v>
      </c>
      <c r="AQ42" s="3480" t="s">
        <v>3451</v>
      </c>
      <c r="AR42" s="3480" t="s">
        <v>3453</v>
      </c>
      <c r="AS42" s="3480" t="s">
        <v>3453</v>
      </c>
      <c r="AT42" s="3480" t="s">
        <v>3453</v>
      </c>
      <c r="AU42" s="3480"/>
      <c r="AV42" s="3480"/>
      <c r="AW42" s="3480" t="s">
        <v>3452</v>
      </c>
      <c r="AX42" s="3480" t="s">
        <v>3540</v>
      </c>
      <c r="AY42" s="3484" t="s">
        <v>3869</v>
      </c>
      <c r="AZ42" s="3472" t="s">
        <v>3453</v>
      </c>
      <c r="BA42" s="3532" t="s">
        <v>3453</v>
      </c>
      <c r="BB42" s="3533" t="s">
        <v>3453</v>
      </c>
      <c r="BC42" s="3532" t="s">
        <v>3453</v>
      </c>
      <c r="BD42" s="3534" t="s">
        <v>3453</v>
      </c>
      <c r="BE42" s="3480" t="s">
        <v>3453</v>
      </c>
      <c r="BF42" s="3486" t="s">
        <v>3453</v>
      </c>
      <c r="BG42" s="3535">
        <v>38557</v>
      </c>
      <c r="BH42" s="3472" t="s">
        <v>3453</v>
      </c>
      <c r="BI42" s="3472" t="s">
        <v>3850</v>
      </c>
      <c r="BJ42" s="3489">
        <v>38789</v>
      </c>
      <c r="BK42" s="3493"/>
      <c r="BL42" s="3472" t="s">
        <v>3454</v>
      </c>
      <c r="BM42" s="3480"/>
      <c r="BN42" s="3480"/>
      <c r="BO42" s="3480"/>
      <c r="BP42" s="3480"/>
      <c r="BQ42" s="3480">
        <v>5741</v>
      </c>
      <c r="BR42" s="3480">
        <v>5802</v>
      </c>
      <c r="BS42" s="3529"/>
      <c r="BT42" s="3529"/>
      <c r="BU42" s="3529"/>
    </row>
    <row r="43" spans="1:73" s="3537" customFormat="1">
      <c r="A43" s="3472" t="s">
        <v>3870</v>
      </c>
      <c r="B43" s="3472" t="s">
        <v>3871</v>
      </c>
      <c r="C43" s="3473" t="s">
        <v>3872</v>
      </c>
      <c r="D43" s="3473" t="s">
        <v>3873</v>
      </c>
      <c r="E43" s="3492" t="s">
        <v>3446</v>
      </c>
      <c r="F43" s="3492" t="s">
        <v>3545</v>
      </c>
      <c r="G43" s="3472"/>
      <c r="H43" s="3492" t="s">
        <v>3687</v>
      </c>
      <c r="I43" s="3476" t="s">
        <v>3874</v>
      </c>
      <c r="J43" s="3472" t="s">
        <v>3875</v>
      </c>
      <c r="K43" s="3472" t="s">
        <v>3549</v>
      </c>
      <c r="L43" s="3494">
        <v>90.62</v>
      </c>
      <c r="M43" s="3472">
        <v>12</v>
      </c>
      <c r="N43" s="3472" t="s">
        <v>3656</v>
      </c>
      <c r="O43" s="3472">
        <v>76.56</v>
      </c>
      <c r="P43" s="3472" t="s">
        <v>3457</v>
      </c>
      <c r="Q43" s="3504">
        <v>542814</v>
      </c>
      <c r="R43" s="3472">
        <v>5990</v>
      </c>
      <c r="S43" s="3500">
        <v>53.82</v>
      </c>
      <c r="T43" s="3498">
        <v>538200</v>
      </c>
      <c r="U43" s="3472">
        <v>5940</v>
      </c>
      <c r="V43" s="3495">
        <v>0.1</v>
      </c>
      <c r="W43" s="3479">
        <v>48.43</v>
      </c>
      <c r="X43" s="3530">
        <v>484300</v>
      </c>
      <c r="Y43" s="3480">
        <v>2006</v>
      </c>
      <c r="Z43" s="3480">
        <v>3</v>
      </c>
      <c r="AA43" s="3480">
        <v>15</v>
      </c>
      <c r="AB43" s="3472">
        <v>1500</v>
      </c>
      <c r="AC43" s="3472" t="s">
        <v>3657</v>
      </c>
      <c r="AD43" s="3471"/>
      <c r="AE43" s="3483" t="s">
        <v>3447</v>
      </c>
      <c r="AF43" s="3476" t="s">
        <v>3591</v>
      </c>
      <c r="AG43" s="3481" t="s">
        <v>3448</v>
      </c>
      <c r="AH43" s="3471"/>
      <c r="AI43" s="3483" t="s">
        <v>3538</v>
      </c>
      <c r="AJ43" s="3503">
        <v>39051</v>
      </c>
      <c r="AK43" s="3482">
        <v>3</v>
      </c>
      <c r="AL43" s="3480">
        <v>67641700</v>
      </c>
      <c r="AM43" s="3480"/>
      <c r="AN43" s="3483" t="s">
        <v>3658</v>
      </c>
      <c r="AO43" s="3472"/>
      <c r="AP43" s="3483" t="s">
        <v>3450</v>
      </c>
      <c r="AQ43" s="3480" t="s">
        <v>3451</v>
      </c>
      <c r="AR43" s="3480" t="s">
        <v>3453</v>
      </c>
      <c r="AS43" s="3480" t="s">
        <v>3453</v>
      </c>
      <c r="AT43" s="3480" t="s">
        <v>3453</v>
      </c>
      <c r="AU43" s="3480"/>
      <c r="AV43" s="3480"/>
      <c r="AW43" s="3480" t="s">
        <v>3452</v>
      </c>
      <c r="AX43" s="3480" t="s">
        <v>3540</v>
      </c>
      <c r="AY43" s="3484" t="s">
        <v>3876</v>
      </c>
      <c r="AZ43" s="3472" t="s">
        <v>3453</v>
      </c>
      <c r="BA43" s="3532" t="s">
        <v>3453</v>
      </c>
      <c r="BB43" s="3533" t="s">
        <v>3453</v>
      </c>
      <c r="BC43" s="3532" t="s">
        <v>3453</v>
      </c>
      <c r="BD43" s="3534" t="s">
        <v>3453</v>
      </c>
      <c r="BE43" s="3480" t="s">
        <v>3453</v>
      </c>
      <c r="BF43" s="3486" t="s">
        <v>3453</v>
      </c>
      <c r="BG43" s="3535">
        <v>38773</v>
      </c>
      <c r="BH43" s="3472" t="s">
        <v>3453</v>
      </c>
      <c r="BI43" s="3472" t="s">
        <v>3798</v>
      </c>
      <c r="BJ43" s="3489">
        <v>38789</v>
      </c>
      <c r="BK43" s="3493"/>
      <c r="BL43" s="3472" t="s">
        <v>3454</v>
      </c>
      <c r="BM43" s="3480"/>
      <c r="BN43" s="3480"/>
      <c r="BO43" s="3480"/>
      <c r="BP43" s="3480"/>
      <c r="BQ43" s="3480">
        <v>7030</v>
      </c>
      <c r="BR43" s="3480">
        <v>7090</v>
      </c>
      <c r="BS43" s="3529"/>
      <c r="BT43" s="3529"/>
      <c r="BU43" s="3529"/>
    </row>
    <row r="44" spans="1:73" s="3537" customFormat="1">
      <c r="A44" s="3471" t="s">
        <v>3877</v>
      </c>
      <c r="B44" s="3472" t="s">
        <v>3878</v>
      </c>
      <c r="C44" s="3473" t="s">
        <v>3879</v>
      </c>
      <c r="D44" s="3473" t="s">
        <v>3880</v>
      </c>
      <c r="E44" s="3492" t="s">
        <v>3583</v>
      </c>
      <c r="F44" s="3492" t="s">
        <v>3584</v>
      </c>
      <c r="G44" s="3472"/>
      <c r="H44" s="3492" t="s">
        <v>3881</v>
      </c>
      <c r="I44" s="3472" t="s">
        <v>3882</v>
      </c>
      <c r="J44" s="3472" t="s">
        <v>3883</v>
      </c>
      <c r="K44" s="3472" t="s">
        <v>3588</v>
      </c>
      <c r="L44" s="3494">
        <v>104.36</v>
      </c>
      <c r="M44" s="3472">
        <v>7</v>
      </c>
      <c r="N44" s="3472" t="s">
        <v>3656</v>
      </c>
      <c r="O44" s="3472">
        <v>87.08</v>
      </c>
      <c r="P44" s="3472" t="s">
        <v>3457</v>
      </c>
      <c r="Q44" s="3504">
        <v>501137</v>
      </c>
      <c r="R44" s="3472">
        <v>4802</v>
      </c>
      <c r="S44" s="3500">
        <v>49.61</v>
      </c>
      <c r="T44" s="3498">
        <v>496100</v>
      </c>
      <c r="U44" s="3472">
        <v>4754</v>
      </c>
      <c r="V44" s="3495">
        <v>0.1</v>
      </c>
      <c r="W44" s="3479">
        <v>44.64</v>
      </c>
      <c r="X44" s="3530">
        <v>446400</v>
      </c>
      <c r="Y44" s="3480">
        <v>2006</v>
      </c>
      <c r="Z44" s="3480">
        <v>3</v>
      </c>
      <c r="AA44" s="3480">
        <v>15</v>
      </c>
      <c r="AB44" s="3472">
        <v>1485</v>
      </c>
      <c r="AC44" s="3472" t="s">
        <v>3657</v>
      </c>
      <c r="AD44" s="3471"/>
      <c r="AE44" s="3483" t="s">
        <v>3447</v>
      </c>
      <c r="AF44" s="3472" t="s">
        <v>3591</v>
      </c>
      <c r="AG44" s="3481" t="s">
        <v>3448</v>
      </c>
      <c r="AH44" s="3471"/>
      <c r="AI44" s="3483" t="s">
        <v>3592</v>
      </c>
      <c r="AJ44" s="3503">
        <v>38990</v>
      </c>
      <c r="AK44" s="3482" t="s">
        <v>3658</v>
      </c>
      <c r="AL44" s="3480">
        <v>67641700</v>
      </c>
      <c r="AM44" s="3480"/>
      <c r="AN44" s="3472" t="s">
        <v>3658</v>
      </c>
      <c r="AO44" s="3480"/>
      <c r="AP44" s="3483" t="s">
        <v>3450</v>
      </c>
      <c r="AQ44" s="3472" t="s">
        <v>3595</v>
      </c>
      <c r="AR44" s="3480" t="s">
        <v>3597</v>
      </c>
      <c r="AS44" s="3480" t="s">
        <v>3597</v>
      </c>
      <c r="AT44" s="3480" t="s">
        <v>3597</v>
      </c>
      <c r="AU44" s="3480"/>
      <c r="AV44" s="3480"/>
      <c r="AW44" s="3480" t="s">
        <v>3598</v>
      </c>
      <c r="AX44" s="3480" t="s">
        <v>3599</v>
      </c>
      <c r="AY44" s="3484" t="s">
        <v>3884</v>
      </c>
      <c r="AZ44" s="3471" t="s">
        <v>3597</v>
      </c>
      <c r="BA44" s="3532" t="s">
        <v>3597</v>
      </c>
      <c r="BB44" s="3533" t="s">
        <v>3597</v>
      </c>
      <c r="BC44" s="3532" t="s">
        <v>3597</v>
      </c>
      <c r="BD44" s="3534" t="s">
        <v>3597</v>
      </c>
      <c r="BE44" s="3480" t="s">
        <v>3597</v>
      </c>
      <c r="BF44" s="3486" t="s">
        <v>3597</v>
      </c>
      <c r="BG44" s="3535">
        <v>38876</v>
      </c>
      <c r="BH44" s="3472" t="s">
        <v>3453</v>
      </c>
      <c r="BI44" s="3472" t="s">
        <v>3552</v>
      </c>
      <c r="BJ44" s="3493">
        <v>38790</v>
      </c>
      <c r="BK44" s="3493"/>
      <c r="BL44" s="3472" t="s">
        <v>3454</v>
      </c>
      <c r="BM44" s="3480"/>
      <c r="BN44" s="3480"/>
      <c r="BO44" s="3480"/>
      <c r="BP44" s="3480"/>
      <c r="BQ44" s="3480">
        <v>5697</v>
      </c>
      <c r="BR44" s="3480">
        <v>5755</v>
      </c>
      <c r="BS44" s="3529"/>
      <c r="BT44" s="3529"/>
      <c r="BU44" s="3529"/>
    </row>
    <row r="45" spans="1:73" s="3537" customFormat="1">
      <c r="A45" s="3471" t="s">
        <v>3885</v>
      </c>
      <c r="B45" s="3472" t="s">
        <v>3886</v>
      </c>
      <c r="C45" s="3473" t="s">
        <v>3887</v>
      </c>
      <c r="D45" s="3473" t="s">
        <v>3888</v>
      </c>
      <c r="E45" s="3472" t="s">
        <v>3583</v>
      </c>
      <c r="F45" s="3474" t="s">
        <v>3584</v>
      </c>
      <c r="G45" s="3472"/>
      <c r="H45" s="3472" t="s">
        <v>3621</v>
      </c>
      <c r="I45" s="3472" t="s">
        <v>3586</v>
      </c>
      <c r="J45" s="3472" t="s">
        <v>3889</v>
      </c>
      <c r="K45" s="3472" t="s">
        <v>3588</v>
      </c>
      <c r="L45" s="3475">
        <v>132.28</v>
      </c>
      <c r="M45" s="3472">
        <v>15</v>
      </c>
      <c r="N45" s="3492" t="s">
        <v>3789</v>
      </c>
      <c r="O45" s="3472">
        <v>111.77</v>
      </c>
      <c r="P45" s="3472" t="s">
        <v>3457</v>
      </c>
      <c r="Q45" s="3477">
        <v>826750</v>
      </c>
      <c r="R45" s="3472">
        <v>6250</v>
      </c>
      <c r="S45" s="3500">
        <v>82.01</v>
      </c>
      <c r="T45" s="3498">
        <v>820100</v>
      </c>
      <c r="U45" s="3472">
        <v>6200</v>
      </c>
      <c r="V45" s="3495">
        <v>0.1</v>
      </c>
      <c r="W45" s="3479">
        <v>73.8</v>
      </c>
      <c r="X45" s="3502">
        <v>738000</v>
      </c>
      <c r="Y45" s="3480">
        <v>2006</v>
      </c>
      <c r="Z45" s="3480">
        <v>3</v>
      </c>
      <c r="AA45" s="3480">
        <v>16</v>
      </c>
      <c r="AB45" s="3472">
        <v>1500</v>
      </c>
      <c r="AC45" s="3472" t="s">
        <v>3657</v>
      </c>
      <c r="AD45" s="3471"/>
      <c r="AE45" s="3480" t="s">
        <v>3447</v>
      </c>
      <c r="AF45" s="3472" t="s">
        <v>3781</v>
      </c>
      <c r="AG45" s="3483" t="s">
        <v>3448</v>
      </c>
      <c r="AH45" s="3471"/>
      <c r="AI45" s="3483" t="s">
        <v>3592</v>
      </c>
      <c r="AJ45" s="3538">
        <v>39066</v>
      </c>
      <c r="AK45" s="3482" t="s">
        <v>3658</v>
      </c>
      <c r="AL45" s="3480">
        <v>67641700</v>
      </c>
      <c r="AM45" s="3480"/>
      <c r="AN45" s="3483" t="s">
        <v>3658</v>
      </c>
      <c r="AO45" s="3472" t="s">
        <v>3597</v>
      </c>
      <c r="AP45" s="3472" t="s">
        <v>3450</v>
      </c>
      <c r="AQ45" s="3472" t="s">
        <v>3451</v>
      </c>
      <c r="AR45" s="3480" t="s">
        <v>3597</v>
      </c>
      <c r="AS45" s="3480" t="s">
        <v>3597</v>
      </c>
      <c r="AT45" s="3480" t="s">
        <v>3597</v>
      </c>
      <c r="AU45" s="3480"/>
      <c r="AV45" s="3480"/>
      <c r="AW45" s="3480" t="s">
        <v>3598</v>
      </c>
      <c r="AX45" s="3480" t="s">
        <v>3599</v>
      </c>
      <c r="AY45" s="3484" t="s">
        <v>3890</v>
      </c>
      <c r="AZ45" s="3472" t="s">
        <v>3588</v>
      </c>
      <c r="BA45" s="3480" t="s">
        <v>3891</v>
      </c>
      <c r="BB45" s="3484" t="s">
        <v>3892</v>
      </c>
      <c r="BC45" s="3480" t="s">
        <v>3893</v>
      </c>
      <c r="BD45" s="3485">
        <v>100070</v>
      </c>
      <c r="BE45" s="3480">
        <v>62323405</v>
      </c>
      <c r="BF45" s="3486">
        <v>2.8</v>
      </c>
      <c r="BG45" s="3535">
        <v>38782</v>
      </c>
      <c r="BH45" s="3480" t="s">
        <v>3453</v>
      </c>
      <c r="BI45" s="3480" t="s">
        <v>3894</v>
      </c>
      <c r="BJ45" s="3489">
        <v>38791</v>
      </c>
      <c r="BK45" s="3493"/>
      <c r="BL45" s="3472" t="s">
        <v>3454</v>
      </c>
      <c r="BM45" s="3480"/>
      <c r="BN45" s="3480"/>
      <c r="BO45" s="3480"/>
      <c r="BP45" s="3480"/>
      <c r="BQ45" s="3480">
        <v>7338</v>
      </c>
      <c r="BR45" s="3480">
        <v>7397</v>
      </c>
      <c r="BS45" s="3529"/>
      <c r="BT45" s="3529"/>
      <c r="BU45" s="3529"/>
    </row>
    <row r="46" spans="1:73" s="3537" customFormat="1">
      <c r="A46" s="3471" t="s">
        <v>3895</v>
      </c>
      <c r="B46" s="3472" t="s">
        <v>3896</v>
      </c>
      <c r="C46" s="3473" t="s">
        <v>3897</v>
      </c>
      <c r="D46" s="3473" t="s">
        <v>3898</v>
      </c>
      <c r="E46" s="3472" t="s">
        <v>3583</v>
      </c>
      <c r="F46" s="3474" t="s">
        <v>3584</v>
      </c>
      <c r="G46" s="3472"/>
      <c r="H46" s="3472" t="s">
        <v>3621</v>
      </c>
      <c r="I46" s="3472" t="s">
        <v>3899</v>
      </c>
      <c r="J46" s="3472" t="s">
        <v>3900</v>
      </c>
      <c r="K46" s="3472" t="s">
        <v>3588</v>
      </c>
      <c r="L46" s="3475">
        <v>126.37</v>
      </c>
      <c r="M46" s="3472">
        <v>6</v>
      </c>
      <c r="N46" s="3492" t="s">
        <v>3789</v>
      </c>
      <c r="O46" s="3472">
        <v>106.78</v>
      </c>
      <c r="P46" s="3472" t="s">
        <v>3457</v>
      </c>
      <c r="Q46" s="3477">
        <v>749374</v>
      </c>
      <c r="R46" s="3472">
        <v>5930</v>
      </c>
      <c r="S46" s="3500">
        <v>74.3</v>
      </c>
      <c r="T46" s="3498">
        <v>743000</v>
      </c>
      <c r="U46" s="3472">
        <v>5880</v>
      </c>
      <c r="V46" s="3495">
        <v>0.1</v>
      </c>
      <c r="W46" s="3479">
        <v>66.87</v>
      </c>
      <c r="X46" s="3502">
        <v>668700</v>
      </c>
      <c r="Y46" s="3480">
        <v>2006</v>
      </c>
      <c r="Z46" s="3480">
        <v>3</v>
      </c>
      <c r="AA46" s="3480">
        <v>16</v>
      </c>
      <c r="AB46" s="3472">
        <v>1500</v>
      </c>
      <c r="AC46" s="3472" t="s">
        <v>3657</v>
      </c>
      <c r="AD46" s="3471"/>
      <c r="AE46" s="3480" t="s">
        <v>3447</v>
      </c>
      <c r="AF46" s="3472" t="s">
        <v>3781</v>
      </c>
      <c r="AG46" s="3483" t="s">
        <v>3448</v>
      </c>
      <c r="AH46" s="3471"/>
      <c r="AI46" s="3483" t="s">
        <v>3592</v>
      </c>
      <c r="AJ46" s="3538">
        <v>39066</v>
      </c>
      <c r="AK46" s="3482" t="s">
        <v>3658</v>
      </c>
      <c r="AL46" s="3480">
        <v>67641700</v>
      </c>
      <c r="AM46" s="3480"/>
      <c r="AN46" s="3483" t="s">
        <v>3658</v>
      </c>
      <c r="AO46" s="3472" t="s">
        <v>3597</v>
      </c>
      <c r="AP46" s="3472" t="s">
        <v>3450</v>
      </c>
      <c r="AQ46" s="3472" t="s">
        <v>3451</v>
      </c>
      <c r="AR46" s="3480" t="s">
        <v>3597</v>
      </c>
      <c r="AS46" s="3480" t="s">
        <v>3597</v>
      </c>
      <c r="AT46" s="3480" t="s">
        <v>3597</v>
      </c>
      <c r="AU46" s="3480"/>
      <c r="AV46" s="3480"/>
      <c r="AW46" s="3480" t="s">
        <v>3598</v>
      </c>
      <c r="AX46" s="3480" t="s">
        <v>3599</v>
      </c>
      <c r="AY46" s="3484" t="s">
        <v>3901</v>
      </c>
      <c r="AZ46" s="3472" t="s">
        <v>3588</v>
      </c>
      <c r="BA46" s="3480" t="s">
        <v>3891</v>
      </c>
      <c r="BB46" s="3484" t="s">
        <v>3892</v>
      </c>
      <c r="BC46" s="3480" t="s">
        <v>3893</v>
      </c>
      <c r="BD46" s="3485">
        <v>100070</v>
      </c>
      <c r="BE46" s="3480">
        <v>62323405</v>
      </c>
      <c r="BF46" s="3486">
        <v>2.8</v>
      </c>
      <c r="BG46" s="3535">
        <v>38783</v>
      </c>
      <c r="BH46" s="3480" t="s">
        <v>3453</v>
      </c>
      <c r="BI46" s="3480" t="s">
        <v>3894</v>
      </c>
      <c r="BJ46" s="3489">
        <v>38791</v>
      </c>
      <c r="BK46" s="3493"/>
      <c r="BL46" s="3472" t="s">
        <v>3454</v>
      </c>
      <c r="BM46" s="3480"/>
      <c r="BN46" s="3480"/>
      <c r="BO46" s="3480"/>
      <c r="BP46" s="3480"/>
      <c r="BQ46" s="3480">
        <v>6959</v>
      </c>
      <c r="BR46" s="3480">
        <v>7018</v>
      </c>
      <c r="BS46" s="3529"/>
      <c r="BT46" s="3529"/>
      <c r="BU46" s="3529"/>
    </row>
    <row r="47" spans="1:73" s="3537" customFormat="1">
      <c r="A47" s="3472" t="s">
        <v>3902</v>
      </c>
      <c r="B47" s="3472" t="s">
        <v>3903</v>
      </c>
      <c r="C47" s="3473" t="s">
        <v>3904</v>
      </c>
      <c r="D47" s="3473" t="s">
        <v>3905</v>
      </c>
      <c r="E47" s="3492" t="s">
        <v>3446</v>
      </c>
      <c r="F47" s="3492" t="s">
        <v>3545</v>
      </c>
      <c r="G47" s="3472"/>
      <c r="H47" s="3492" t="s">
        <v>3621</v>
      </c>
      <c r="I47" s="3476" t="s">
        <v>3906</v>
      </c>
      <c r="J47" s="3472" t="s">
        <v>3907</v>
      </c>
      <c r="K47" s="3472" t="s">
        <v>3549</v>
      </c>
      <c r="L47" s="3494">
        <v>93.62</v>
      </c>
      <c r="M47" s="3472">
        <v>12</v>
      </c>
      <c r="N47" s="3472" t="s">
        <v>3773</v>
      </c>
      <c r="O47" s="3472">
        <v>79.11</v>
      </c>
      <c r="P47" s="3472" t="s">
        <v>3457</v>
      </c>
      <c r="Q47" s="3504">
        <v>604785</v>
      </c>
      <c r="R47" s="3472">
        <v>6460</v>
      </c>
      <c r="S47" s="3500">
        <v>60.01</v>
      </c>
      <c r="T47" s="3498">
        <v>600100</v>
      </c>
      <c r="U47" s="3472">
        <v>6410</v>
      </c>
      <c r="V47" s="3495">
        <v>0.1</v>
      </c>
      <c r="W47" s="3479">
        <v>54</v>
      </c>
      <c r="X47" s="3530">
        <v>540000</v>
      </c>
      <c r="Y47" s="3480">
        <v>2006</v>
      </c>
      <c r="Z47" s="3480">
        <v>3</v>
      </c>
      <c r="AA47" s="3480">
        <v>21</v>
      </c>
      <c r="AB47" s="3472">
        <v>1500</v>
      </c>
      <c r="AC47" s="3472" t="s">
        <v>3537</v>
      </c>
      <c r="AD47" s="3471"/>
      <c r="AE47" s="3483" t="s">
        <v>3447</v>
      </c>
      <c r="AF47" s="3472" t="s">
        <v>3908</v>
      </c>
      <c r="AG47" s="3481" t="s">
        <v>3448</v>
      </c>
      <c r="AH47" s="3471"/>
      <c r="AI47" s="3483" t="s">
        <v>3538</v>
      </c>
      <c r="AJ47" s="3503">
        <v>39066</v>
      </c>
      <c r="AK47" s="3482">
        <v>3</v>
      </c>
      <c r="AL47" s="3480">
        <v>67641700</v>
      </c>
      <c r="AM47" s="3480"/>
      <c r="AN47" s="3483" t="s">
        <v>3691</v>
      </c>
      <c r="AO47" s="3472"/>
      <c r="AP47" s="3483" t="s">
        <v>3450</v>
      </c>
      <c r="AQ47" s="3480" t="s">
        <v>3451</v>
      </c>
      <c r="AR47" s="3480" t="s">
        <v>3453</v>
      </c>
      <c r="AS47" s="3480" t="s">
        <v>3453</v>
      </c>
      <c r="AT47" s="3480" t="s">
        <v>3453</v>
      </c>
      <c r="AU47" s="3480"/>
      <c r="AV47" s="3480"/>
      <c r="AW47" s="3480" t="s">
        <v>3452</v>
      </c>
      <c r="AX47" s="3480" t="s">
        <v>3540</v>
      </c>
      <c r="AY47" s="3484" t="s">
        <v>3909</v>
      </c>
      <c r="AZ47" s="3472" t="s">
        <v>3453</v>
      </c>
      <c r="BA47" s="3532" t="s">
        <v>3453</v>
      </c>
      <c r="BB47" s="3533" t="s">
        <v>3453</v>
      </c>
      <c r="BC47" s="3532" t="s">
        <v>3453</v>
      </c>
      <c r="BD47" s="3534" t="s">
        <v>3453</v>
      </c>
      <c r="BE47" s="3480" t="s">
        <v>3453</v>
      </c>
      <c r="BF47" s="3486" t="s">
        <v>3453</v>
      </c>
      <c r="BG47" s="3535">
        <v>38781</v>
      </c>
      <c r="BH47" s="3472" t="s">
        <v>3453</v>
      </c>
      <c r="BI47" s="3472" t="s">
        <v>3798</v>
      </c>
      <c r="BJ47" s="3493">
        <v>38793</v>
      </c>
      <c r="BK47" s="3493"/>
      <c r="BL47" s="3472" t="s">
        <v>3454</v>
      </c>
      <c r="BM47" s="3480"/>
      <c r="BN47" s="3480"/>
      <c r="BO47" s="3480"/>
      <c r="BP47" s="3480"/>
      <c r="BQ47" s="3480">
        <v>7586</v>
      </c>
      <c r="BR47" s="3480">
        <v>7645</v>
      </c>
      <c r="BS47" s="3529"/>
      <c r="BT47" s="3529"/>
      <c r="BU47" s="3529"/>
    </row>
    <row r="48" spans="1:73" s="3537" customFormat="1">
      <c r="A48" s="3472" t="s">
        <v>3910</v>
      </c>
      <c r="B48" s="3472" t="s">
        <v>3911</v>
      </c>
      <c r="C48" s="3473" t="s">
        <v>3912</v>
      </c>
      <c r="D48" s="3473" t="s">
        <v>3913</v>
      </c>
      <c r="E48" s="3492" t="s">
        <v>3446</v>
      </c>
      <c r="F48" s="3492" t="s">
        <v>3678</v>
      </c>
      <c r="G48" s="3472"/>
      <c r="H48" s="3492" t="s">
        <v>3597</v>
      </c>
      <c r="I48" s="3476" t="s">
        <v>3914</v>
      </c>
      <c r="J48" s="3472" t="s">
        <v>3915</v>
      </c>
      <c r="K48" s="3472" t="s">
        <v>3549</v>
      </c>
      <c r="L48" s="3494">
        <v>96.06</v>
      </c>
      <c r="M48" s="3472">
        <v>15</v>
      </c>
      <c r="N48" s="3472" t="s">
        <v>3773</v>
      </c>
      <c r="O48" s="3472">
        <v>77</v>
      </c>
      <c r="P48" s="3472" t="s">
        <v>3457</v>
      </c>
      <c r="Q48" s="3504">
        <v>488580</v>
      </c>
      <c r="R48" s="3472">
        <v>5086</v>
      </c>
      <c r="S48" s="3500">
        <v>48.37</v>
      </c>
      <c r="T48" s="3498">
        <v>483700</v>
      </c>
      <c r="U48" s="3472">
        <v>5036</v>
      </c>
      <c r="V48" s="3495">
        <v>0.1</v>
      </c>
      <c r="W48" s="3479">
        <v>43.53</v>
      </c>
      <c r="X48" s="3530">
        <v>435300</v>
      </c>
      <c r="Y48" s="3480">
        <v>2006</v>
      </c>
      <c r="Z48" s="3480">
        <v>3</v>
      </c>
      <c r="AA48" s="3480">
        <v>20</v>
      </c>
      <c r="AB48" s="3472">
        <v>1450</v>
      </c>
      <c r="AC48" s="3472" t="s">
        <v>3537</v>
      </c>
      <c r="AD48" s="3471"/>
      <c r="AE48" s="3483" t="s">
        <v>3447</v>
      </c>
      <c r="AF48" s="3476" t="s">
        <v>3781</v>
      </c>
      <c r="AG48" s="3481" t="s">
        <v>3448</v>
      </c>
      <c r="AH48" s="3471"/>
      <c r="AI48" s="3483" t="s">
        <v>3538</v>
      </c>
      <c r="AJ48" s="3503">
        <v>39082</v>
      </c>
      <c r="AK48" s="3482">
        <v>3</v>
      </c>
      <c r="AL48" s="3480">
        <v>67641700</v>
      </c>
      <c r="AM48" s="3480"/>
      <c r="AN48" s="3483" t="s">
        <v>3691</v>
      </c>
      <c r="AO48" s="3472"/>
      <c r="AP48" s="3483" t="s">
        <v>3450</v>
      </c>
      <c r="AQ48" s="3480" t="s">
        <v>3451</v>
      </c>
      <c r="AR48" s="3480" t="s">
        <v>3453</v>
      </c>
      <c r="AS48" s="3480" t="s">
        <v>3453</v>
      </c>
      <c r="AT48" s="3480" t="s">
        <v>3453</v>
      </c>
      <c r="AU48" s="3480"/>
      <c r="AV48" s="3480"/>
      <c r="AW48" s="3480" t="s">
        <v>3452</v>
      </c>
      <c r="AX48" s="3480" t="s">
        <v>3540</v>
      </c>
      <c r="AY48" s="3484" t="s">
        <v>3916</v>
      </c>
      <c r="AZ48" s="3472" t="s">
        <v>3453</v>
      </c>
      <c r="BA48" s="3532" t="s">
        <v>3453</v>
      </c>
      <c r="BB48" s="3533" t="s">
        <v>3453</v>
      </c>
      <c r="BC48" s="3532" t="s">
        <v>3453</v>
      </c>
      <c r="BD48" s="3534" t="s">
        <v>3453</v>
      </c>
      <c r="BE48" s="3480" t="s">
        <v>3453</v>
      </c>
      <c r="BF48" s="3486" t="s">
        <v>3453</v>
      </c>
      <c r="BG48" s="3535">
        <v>38783</v>
      </c>
      <c r="BH48" s="3472" t="s">
        <v>3453</v>
      </c>
      <c r="BI48" s="3487" t="s">
        <v>3701</v>
      </c>
      <c r="BJ48" s="3493">
        <v>38791</v>
      </c>
      <c r="BK48" s="3493"/>
      <c r="BL48" s="3472" t="s">
        <v>3454</v>
      </c>
      <c r="BM48" s="3480"/>
      <c r="BN48" s="3480"/>
      <c r="BO48" s="3480"/>
      <c r="BP48" s="3480"/>
      <c r="BQ48" s="3480">
        <v>6282</v>
      </c>
      <c r="BR48" s="3480">
        <v>6345</v>
      </c>
      <c r="BS48" s="3529"/>
      <c r="BT48" s="3529"/>
      <c r="BU48" s="3529"/>
    </row>
    <row r="49" spans="1:73" s="3537" customFormat="1">
      <c r="A49" s="3472" t="s">
        <v>3917</v>
      </c>
      <c r="B49" s="3472" t="s">
        <v>3918</v>
      </c>
      <c r="C49" s="3473" t="s">
        <v>3919</v>
      </c>
      <c r="D49" s="3473" t="s">
        <v>3920</v>
      </c>
      <c r="E49" s="3492" t="s">
        <v>3446</v>
      </c>
      <c r="F49" s="3492" t="s">
        <v>3545</v>
      </c>
      <c r="G49" s="3472"/>
      <c r="H49" s="3492" t="s">
        <v>3621</v>
      </c>
      <c r="I49" s="3476" t="s">
        <v>3921</v>
      </c>
      <c r="J49" s="3472" t="s">
        <v>3716</v>
      </c>
      <c r="K49" s="3472" t="s">
        <v>3549</v>
      </c>
      <c r="L49" s="3494">
        <v>126.37</v>
      </c>
      <c r="M49" s="3472">
        <v>3</v>
      </c>
      <c r="N49" s="3472" t="s">
        <v>3690</v>
      </c>
      <c r="O49" s="3472">
        <v>106.78</v>
      </c>
      <c r="P49" s="3472" t="s">
        <v>3457</v>
      </c>
      <c r="Q49" s="3504">
        <v>738001</v>
      </c>
      <c r="R49" s="3472">
        <v>5840</v>
      </c>
      <c r="S49" s="3500">
        <v>73.16</v>
      </c>
      <c r="T49" s="3498">
        <v>731600</v>
      </c>
      <c r="U49" s="3472">
        <v>5790</v>
      </c>
      <c r="V49" s="3495">
        <v>0.1</v>
      </c>
      <c r="W49" s="3479">
        <v>65.84</v>
      </c>
      <c r="X49" s="3530">
        <v>658400</v>
      </c>
      <c r="Y49" s="3480">
        <v>2006</v>
      </c>
      <c r="Z49" s="3480">
        <v>3</v>
      </c>
      <c r="AA49" s="3480">
        <v>20</v>
      </c>
      <c r="AB49" s="3472">
        <v>1500</v>
      </c>
      <c r="AC49" s="3472" t="s">
        <v>3537</v>
      </c>
      <c r="AD49" s="3471"/>
      <c r="AE49" s="3483" t="s">
        <v>3447</v>
      </c>
      <c r="AF49" s="3476" t="s">
        <v>3781</v>
      </c>
      <c r="AG49" s="3481" t="s">
        <v>3448</v>
      </c>
      <c r="AH49" s="3471"/>
      <c r="AI49" s="3483" t="s">
        <v>3538</v>
      </c>
      <c r="AJ49" s="3503">
        <v>39066</v>
      </c>
      <c r="AK49" s="3482">
        <v>3</v>
      </c>
      <c r="AL49" s="3480">
        <v>67641700</v>
      </c>
      <c r="AM49" s="3480"/>
      <c r="AN49" s="3483" t="s">
        <v>3691</v>
      </c>
      <c r="AO49" s="3472"/>
      <c r="AP49" s="3483" t="s">
        <v>3450</v>
      </c>
      <c r="AQ49" s="3480" t="s">
        <v>3451</v>
      </c>
      <c r="AR49" s="3480" t="s">
        <v>3453</v>
      </c>
      <c r="AS49" s="3480" t="s">
        <v>3453</v>
      </c>
      <c r="AT49" s="3480" t="s">
        <v>3453</v>
      </c>
      <c r="AU49" s="3480"/>
      <c r="AV49" s="3480"/>
      <c r="AW49" s="3480" t="s">
        <v>3452</v>
      </c>
      <c r="AX49" s="3480" t="s">
        <v>3540</v>
      </c>
      <c r="AY49" s="3484" t="s">
        <v>3922</v>
      </c>
      <c r="AZ49" s="3472" t="s">
        <v>3453</v>
      </c>
      <c r="BA49" s="3532" t="s">
        <v>3453</v>
      </c>
      <c r="BB49" s="3533" t="s">
        <v>3453</v>
      </c>
      <c r="BC49" s="3532" t="s">
        <v>3453</v>
      </c>
      <c r="BD49" s="3534" t="s">
        <v>3453</v>
      </c>
      <c r="BE49" s="3480" t="s">
        <v>3453</v>
      </c>
      <c r="BF49" s="3486" t="s">
        <v>3453</v>
      </c>
      <c r="BG49" s="3535">
        <v>38786</v>
      </c>
      <c r="BH49" s="3472" t="s">
        <v>3453</v>
      </c>
      <c r="BI49" s="3487" t="s">
        <v>3701</v>
      </c>
      <c r="BJ49" s="3493">
        <v>38792</v>
      </c>
      <c r="BK49" s="3493"/>
      <c r="BL49" s="3472" t="s">
        <v>3454</v>
      </c>
      <c r="BM49" s="3480"/>
      <c r="BN49" s="3480"/>
      <c r="BO49" s="3480"/>
      <c r="BP49" s="3480"/>
      <c r="BQ49" s="3480">
        <v>6851</v>
      </c>
      <c r="BR49" s="3480">
        <v>6911</v>
      </c>
      <c r="BS49" s="3529"/>
      <c r="BT49" s="3529"/>
      <c r="BU49" s="3529"/>
    </row>
    <row r="50" spans="1:73" s="3537" customFormat="1" hidden="1">
      <c r="A50" s="3472" t="s">
        <v>3923</v>
      </c>
      <c r="B50" s="3472" t="s">
        <v>3924</v>
      </c>
      <c r="C50" s="3473" t="s">
        <v>3925</v>
      </c>
      <c r="D50" s="3473" t="s">
        <v>3926</v>
      </c>
      <c r="E50" s="3492" t="s">
        <v>3446</v>
      </c>
      <c r="F50" s="3492" t="s">
        <v>3545</v>
      </c>
      <c r="G50" s="3472"/>
      <c r="H50" s="3492" t="s">
        <v>3881</v>
      </c>
      <c r="I50" s="3476" t="s">
        <v>3927</v>
      </c>
      <c r="J50" s="3472" t="s">
        <v>3928</v>
      </c>
      <c r="K50" s="3472" t="s">
        <v>3549</v>
      </c>
      <c r="L50" s="3494">
        <v>104.11</v>
      </c>
      <c r="M50" s="3472">
        <v>1</v>
      </c>
      <c r="N50" s="3472" t="s">
        <v>3929</v>
      </c>
      <c r="O50" s="3472">
        <v>86.87</v>
      </c>
      <c r="P50" s="3472" t="s">
        <v>3457</v>
      </c>
      <c r="Q50" s="3504">
        <v>487235</v>
      </c>
      <c r="R50" s="3472">
        <v>4680</v>
      </c>
      <c r="S50" s="3500">
        <v>48.22</v>
      </c>
      <c r="T50" s="3498">
        <v>482200</v>
      </c>
      <c r="U50" s="3472">
        <v>4632</v>
      </c>
      <c r="V50" s="3495">
        <v>0.1</v>
      </c>
      <c r="W50" s="3479">
        <v>43.39</v>
      </c>
      <c r="X50" s="3530">
        <v>433900</v>
      </c>
      <c r="Y50" s="3480">
        <v>2006</v>
      </c>
      <c r="Z50" s="3480">
        <v>3</v>
      </c>
      <c r="AA50" s="3480">
        <v>20</v>
      </c>
      <c r="AB50" s="3472">
        <v>1445</v>
      </c>
      <c r="AC50" s="3472" t="s">
        <v>3537</v>
      </c>
      <c r="AD50" s="3471"/>
      <c r="AE50" s="3483" t="s">
        <v>3447</v>
      </c>
      <c r="AF50" s="3476" t="s">
        <v>3709</v>
      </c>
      <c r="AG50" s="3481" t="s">
        <v>3448</v>
      </c>
      <c r="AH50" s="3471"/>
      <c r="AI50" s="3483" t="s">
        <v>3538</v>
      </c>
      <c r="AJ50" s="3503">
        <v>38990</v>
      </c>
      <c r="AK50" s="3482">
        <v>3</v>
      </c>
      <c r="AL50" s="3480">
        <v>67641700</v>
      </c>
      <c r="AM50" s="3480"/>
      <c r="AN50" s="3483" t="s">
        <v>3691</v>
      </c>
      <c r="AO50" s="3472"/>
      <c r="AP50" s="3483" t="s">
        <v>3450</v>
      </c>
      <c r="AQ50" s="3480" t="s">
        <v>3451</v>
      </c>
      <c r="AR50" s="3480" t="s">
        <v>3453</v>
      </c>
      <c r="AS50" s="3480" t="s">
        <v>3453</v>
      </c>
      <c r="AT50" s="3480" t="s">
        <v>3453</v>
      </c>
      <c r="AU50" s="3480"/>
      <c r="AV50" s="3480"/>
      <c r="AW50" s="3480" t="s">
        <v>3452</v>
      </c>
      <c r="AX50" s="3480" t="s">
        <v>3540</v>
      </c>
      <c r="AY50" s="3484" t="s">
        <v>3930</v>
      </c>
      <c r="AZ50" s="3472" t="s">
        <v>3453</v>
      </c>
      <c r="BA50" s="3532" t="s">
        <v>3453</v>
      </c>
      <c r="BB50" s="3533" t="s">
        <v>3453</v>
      </c>
      <c r="BC50" s="3532" t="s">
        <v>3453</v>
      </c>
      <c r="BD50" s="3534" t="s">
        <v>3453</v>
      </c>
      <c r="BE50" s="3480" t="s">
        <v>3453</v>
      </c>
      <c r="BF50" s="3486" t="s">
        <v>3453</v>
      </c>
      <c r="BG50" s="3535">
        <v>38508</v>
      </c>
      <c r="BH50" s="3472" t="s">
        <v>3453</v>
      </c>
      <c r="BI50" s="3487" t="s">
        <v>3701</v>
      </c>
      <c r="BJ50" s="3493">
        <v>38792</v>
      </c>
      <c r="BK50" s="3493"/>
      <c r="BL50" s="3472" t="s">
        <v>3454</v>
      </c>
      <c r="BM50" s="3480"/>
      <c r="BN50" s="3480"/>
      <c r="BO50" s="3480"/>
      <c r="BP50" s="3480"/>
      <c r="BQ50" s="3480">
        <v>5551</v>
      </c>
      <c r="BR50" s="3480">
        <v>5609</v>
      </c>
      <c r="BS50" s="3529"/>
      <c r="BT50" s="3529"/>
      <c r="BU50" s="3529"/>
    </row>
    <row r="51" spans="1:73" s="3585" customFormat="1">
      <c r="A51" s="3552" t="s">
        <v>3931</v>
      </c>
      <c r="B51" s="3552" t="s">
        <v>3932</v>
      </c>
      <c r="C51" s="3553" t="s">
        <v>3933</v>
      </c>
      <c r="D51" s="3553" t="s">
        <v>3934</v>
      </c>
      <c r="E51" s="3554" t="s">
        <v>3446</v>
      </c>
      <c r="F51" s="3554" t="s">
        <v>3545</v>
      </c>
      <c r="G51" s="3552"/>
      <c r="H51" s="3554" t="s">
        <v>3621</v>
      </c>
      <c r="I51" s="3555" t="s">
        <v>3935</v>
      </c>
      <c r="J51" s="3552" t="s">
        <v>3936</v>
      </c>
      <c r="K51" s="3552" t="s">
        <v>3549</v>
      </c>
      <c r="L51" s="3584">
        <v>90.61</v>
      </c>
      <c r="M51" s="3552">
        <v>14</v>
      </c>
      <c r="N51" s="3552" t="s">
        <v>3773</v>
      </c>
      <c r="O51" s="3552">
        <v>76.56</v>
      </c>
      <c r="P51" s="3552" t="s">
        <v>3457</v>
      </c>
      <c r="Q51" s="3556">
        <v>560876</v>
      </c>
      <c r="R51" s="3552">
        <v>6190</v>
      </c>
      <c r="S51" s="3557">
        <v>55.63</v>
      </c>
      <c r="T51" s="3558">
        <v>556300</v>
      </c>
      <c r="U51" s="3552">
        <v>6140</v>
      </c>
      <c r="V51" s="3559">
        <v>0.1</v>
      </c>
      <c r="W51" s="3560">
        <v>50.06</v>
      </c>
      <c r="X51" s="3561">
        <v>500600</v>
      </c>
      <c r="Y51" s="3562">
        <v>2006</v>
      </c>
      <c r="Z51" s="3562">
        <v>3</v>
      </c>
      <c r="AA51" s="3562">
        <v>20</v>
      </c>
      <c r="AB51" s="3552">
        <v>1500</v>
      </c>
      <c r="AC51" s="3552" t="s">
        <v>3537</v>
      </c>
      <c r="AD51" s="3563"/>
      <c r="AE51" s="3564" t="s">
        <v>3447</v>
      </c>
      <c r="AF51" s="3555" t="s">
        <v>3781</v>
      </c>
      <c r="AG51" s="3565" t="s">
        <v>3448</v>
      </c>
      <c r="AH51" s="3563"/>
      <c r="AI51" s="3564" t="s">
        <v>3538</v>
      </c>
      <c r="AJ51" s="3566">
        <v>39066</v>
      </c>
      <c r="AK51" s="3567">
        <v>3</v>
      </c>
      <c r="AL51" s="3562">
        <v>67641700</v>
      </c>
      <c r="AM51" s="3562"/>
      <c r="AN51" s="3564" t="s">
        <v>3691</v>
      </c>
      <c r="AO51" s="3552"/>
      <c r="AP51" s="3564" t="s">
        <v>3450</v>
      </c>
      <c r="AQ51" s="3562" t="s">
        <v>3451</v>
      </c>
      <c r="AR51" s="3562" t="s">
        <v>3453</v>
      </c>
      <c r="AS51" s="3562" t="s">
        <v>3453</v>
      </c>
      <c r="AT51" s="3562" t="s">
        <v>3453</v>
      </c>
      <c r="AU51" s="3562"/>
      <c r="AV51" s="3562"/>
      <c r="AW51" s="3562" t="s">
        <v>3452</v>
      </c>
      <c r="AX51" s="3562" t="s">
        <v>3540</v>
      </c>
      <c r="AY51" s="3568" t="s">
        <v>3937</v>
      </c>
      <c r="AZ51" s="3552" t="s">
        <v>3453</v>
      </c>
      <c r="BA51" s="3569" t="s">
        <v>3453</v>
      </c>
      <c r="BB51" s="3570" t="s">
        <v>3453</v>
      </c>
      <c r="BC51" s="3569" t="s">
        <v>3453</v>
      </c>
      <c r="BD51" s="3571" t="s">
        <v>3453</v>
      </c>
      <c r="BE51" s="3562" t="s">
        <v>3453</v>
      </c>
      <c r="BF51" s="3572" t="s">
        <v>3453</v>
      </c>
      <c r="BG51" s="3573">
        <v>38787</v>
      </c>
      <c r="BH51" s="3552" t="s">
        <v>3453</v>
      </c>
      <c r="BI51" s="3574" t="s">
        <v>3701</v>
      </c>
      <c r="BJ51" s="3575">
        <v>38792</v>
      </c>
      <c r="BK51" s="3575"/>
      <c r="BL51" s="3552" t="s">
        <v>3454</v>
      </c>
      <c r="BM51" s="3562"/>
      <c r="BN51" s="3562"/>
      <c r="BO51" s="3562"/>
      <c r="BP51" s="3562"/>
      <c r="BQ51" s="3562">
        <v>7266</v>
      </c>
      <c r="BR51" s="3562">
        <v>7326</v>
      </c>
      <c r="BS51" s="3576"/>
      <c r="BT51" s="3576"/>
      <c r="BU51" s="3576"/>
    </row>
    <row r="52" spans="1:73" s="3537" customFormat="1">
      <c r="A52" s="3472" t="s">
        <v>3938</v>
      </c>
      <c r="B52" s="3472" t="s">
        <v>3939</v>
      </c>
      <c r="C52" s="3473" t="s">
        <v>3940</v>
      </c>
      <c r="D52" s="3473" t="s">
        <v>3941</v>
      </c>
      <c r="E52" s="3492" t="s">
        <v>3446</v>
      </c>
      <c r="F52" s="3492" t="s">
        <v>3545</v>
      </c>
      <c r="G52" s="3472"/>
      <c r="H52" s="3492" t="s">
        <v>3621</v>
      </c>
      <c r="I52" s="3476" t="s">
        <v>3942</v>
      </c>
      <c r="J52" s="3472" t="s">
        <v>3943</v>
      </c>
      <c r="K52" s="3472" t="s">
        <v>3549</v>
      </c>
      <c r="L52" s="3494">
        <v>90.61</v>
      </c>
      <c r="M52" s="3472">
        <v>11</v>
      </c>
      <c r="N52" s="3472" t="s">
        <v>3656</v>
      </c>
      <c r="O52" s="3472">
        <v>76.56</v>
      </c>
      <c r="P52" s="3472" t="s">
        <v>3457</v>
      </c>
      <c r="Q52" s="3504">
        <v>550003</v>
      </c>
      <c r="R52" s="3472">
        <v>6070</v>
      </c>
      <c r="S52" s="3500">
        <v>54.54</v>
      </c>
      <c r="T52" s="3498">
        <v>545400</v>
      </c>
      <c r="U52" s="3472">
        <v>6020</v>
      </c>
      <c r="V52" s="3495">
        <v>0.1</v>
      </c>
      <c r="W52" s="3479">
        <v>49.08</v>
      </c>
      <c r="X52" s="3530">
        <v>490800</v>
      </c>
      <c r="Y52" s="3480">
        <v>2006</v>
      </c>
      <c r="Z52" s="3480">
        <v>3</v>
      </c>
      <c r="AA52" s="3505">
        <v>23</v>
      </c>
      <c r="AB52" s="3472">
        <v>1500</v>
      </c>
      <c r="AC52" s="3472" t="s">
        <v>3537</v>
      </c>
      <c r="AD52" s="3471"/>
      <c r="AE52" s="3483" t="s">
        <v>3447</v>
      </c>
      <c r="AF52" s="3476" t="s">
        <v>3781</v>
      </c>
      <c r="AG52" s="3481" t="s">
        <v>3448</v>
      </c>
      <c r="AH52" s="3471"/>
      <c r="AI52" s="3483" t="s">
        <v>3538</v>
      </c>
      <c r="AJ52" s="3503">
        <v>39066</v>
      </c>
      <c r="AK52" s="3482">
        <v>3</v>
      </c>
      <c r="AL52" s="3480">
        <v>67641700</v>
      </c>
      <c r="AM52" s="3480"/>
      <c r="AN52" s="3483" t="s">
        <v>3691</v>
      </c>
      <c r="AO52" s="3472"/>
      <c r="AP52" s="3483" t="s">
        <v>3450</v>
      </c>
      <c r="AQ52" s="3480" t="s">
        <v>3451</v>
      </c>
      <c r="AR52" s="3480" t="s">
        <v>3453</v>
      </c>
      <c r="AS52" s="3480" t="s">
        <v>3453</v>
      </c>
      <c r="AT52" s="3480" t="s">
        <v>3453</v>
      </c>
      <c r="AU52" s="3480"/>
      <c r="AV52" s="3480"/>
      <c r="AW52" s="3480" t="s">
        <v>3452</v>
      </c>
      <c r="AX52" s="3480" t="s">
        <v>3540</v>
      </c>
      <c r="AY52" s="3484" t="s">
        <v>3944</v>
      </c>
      <c r="AZ52" s="3472" t="s">
        <v>3453</v>
      </c>
      <c r="BA52" s="3532" t="s">
        <v>3453</v>
      </c>
      <c r="BB52" s="3533" t="s">
        <v>3453</v>
      </c>
      <c r="BC52" s="3532" t="s">
        <v>3453</v>
      </c>
      <c r="BD52" s="3534" t="s">
        <v>3453</v>
      </c>
      <c r="BE52" s="3480" t="s">
        <v>3453</v>
      </c>
      <c r="BF52" s="3486" t="s">
        <v>3453</v>
      </c>
      <c r="BG52" s="3535">
        <v>38778</v>
      </c>
      <c r="BH52" s="3472" t="s">
        <v>3453</v>
      </c>
      <c r="BI52" s="3487" t="s">
        <v>3701</v>
      </c>
      <c r="BJ52" s="3493">
        <v>38797</v>
      </c>
      <c r="BK52" s="3493"/>
      <c r="BL52" s="3472" t="s">
        <v>3454</v>
      </c>
      <c r="BM52" s="3480"/>
      <c r="BN52" s="3480"/>
      <c r="BO52" s="3480"/>
      <c r="BP52" s="3480"/>
      <c r="BQ52" s="3480">
        <v>7124</v>
      </c>
      <c r="BR52" s="3480">
        <v>7184</v>
      </c>
      <c r="BS52" s="3529"/>
      <c r="BT52" s="3529"/>
      <c r="BU52" s="3529"/>
    </row>
    <row r="53" spans="1:73" s="3537" customFormat="1">
      <c r="A53" s="3472" t="s">
        <v>3945</v>
      </c>
      <c r="B53" s="3472" t="s">
        <v>3946</v>
      </c>
      <c r="C53" s="3473" t="s">
        <v>3947</v>
      </c>
      <c r="D53" s="3473" t="s">
        <v>3948</v>
      </c>
      <c r="E53" s="3492" t="s">
        <v>3446</v>
      </c>
      <c r="F53" s="3492" t="s">
        <v>3545</v>
      </c>
      <c r="G53" s="3472"/>
      <c r="H53" s="3492" t="s">
        <v>3687</v>
      </c>
      <c r="I53" s="3476" t="s">
        <v>3644</v>
      </c>
      <c r="J53" s="3472" t="s">
        <v>3949</v>
      </c>
      <c r="K53" s="3472" t="s">
        <v>3549</v>
      </c>
      <c r="L53" s="3494">
        <v>133.6</v>
      </c>
      <c r="M53" s="3472">
        <v>8</v>
      </c>
      <c r="N53" s="3472" t="s">
        <v>3690</v>
      </c>
      <c r="O53" s="3472">
        <v>112.87</v>
      </c>
      <c r="P53" s="3472" t="s">
        <v>3457</v>
      </c>
      <c r="Q53" s="3504">
        <v>764620</v>
      </c>
      <c r="R53" s="3472">
        <v>5723</v>
      </c>
      <c r="S53" s="3500">
        <v>75.790000000000006</v>
      </c>
      <c r="T53" s="3498">
        <v>757900</v>
      </c>
      <c r="U53" s="3472">
        <v>5673</v>
      </c>
      <c r="V53" s="3495">
        <v>0.1</v>
      </c>
      <c r="W53" s="3479">
        <v>68.209999999999994</v>
      </c>
      <c r="X53" s="3530">
        <v>682100</v>
      </c>
      <c r="Y53" s="3480">
        <v>2006</v>
      </c>
      <c r="Z53" s="3480">
        <v>3</v>
      </c>
      <c r="AA53" s="3505">
        <v>24</v>
      </c>
      <c r="AB53" s="3472">
        <v>1500</v>
      </c>
      <c r="AC53" s="3472" t="s">
        <v>3537</v>
      </c>
      <c r="AD53" s="3471"/>
      <c r="AE53" s="3483" t="s">
        <v>3447</v>
      </c>
      <c r="AF53" s="3476" t="s">
        <v>3709</v>
      </c>
      <c r="AG53" s="3481" t="s">
        <v>3448</v>
      </c>
      <c r="AH53" s="3471"/>
      <c r="AI53" s="3483" t="s">
        <v>3538</v>
      </c>
      <c r="AJ53" s="3503">
        <v>39051</v>
      </c>
      <c r="AK53" s="3482">
        <v>3</v>
      </c>
      <c r="AL53" s="3480">
        <v>67641700</v>
      </c>
      <c r="AM53" s="3480"/>
      <c r="AN53" s="3483" t="s">
        <v>3691</v>
      </c>
      <c r="AO53" s="3472"/>
      <c r="AP53" s="3483" t="s">
        <v>3450</v>
      </c>
      <c r="AQ53" s="3480" t="s">
        <v>3451</v>
      </c>
      <c r="AR53" s="3480" t="s">
        <v>3453</v>
      </c>
      <c r="AS53" s="3480" t="s">
        <v>3453</v>
      </c>
      <c r="AT53" s="3480" t="s">
        <v>3453</v>
      </c>
      <c r="AU53" s="3480"/>
      <c r="AV53" s="3480"/>
      <c r="AW53" s="3480" t="s">
        <v>3452</v>
      </c>
      <c r="AX53" s="3480" t="s">
        <v>3540</v>
      </c>
      <c r="AY53" s="3484" t="s">
        <v>3950</v>
      </c>
      <c r="AZ53" s="3472" t="s">
        <v>3453</v>
      </c>
      <c r="BA53" s="3532" t="s">
        <v>3453</v>
      </c>
      <c r="BB53" s="3533" t="s">
        <v>3453</v>
      </c>
      <c r="BC53" s="3532" t="s">
        <v>3453</v>
      </c>
      <c r="BD53" s="3534" t="s">
        <v>3453</v>
      </c>
      <c r="BE53" s="3480" t="s">
        <v>3453</v>
      </c>
      <c r="BF53" s="3486" t="s">
        <v>3453</v>
      </c>
      <c r="BG53" s="3535">
        <v>38686</v>
      </c>
      <c r="BH53" s="3472" t="s">
        <v>3453</v>
      </c>
      <c r="BI53" s="3487" t="s">
        <v>3701</v>
      </c>
      <c r="BJ53" s="3493">
        <v>38798</v>
      </c>
      <c r="BK53" s="3493"/>
      <c r="BL53" s="3472" t="s">
        <v>3454</v>
      </c>
      <c r="BM53" s="3480"/>
      <c r="BN53" s="3480"/>
      <c r="BO53" s="3480"/>
      <c r="BP53" s="3480"/>
      <c r="BQ53" s="3480">
        <v>6715</v>
      </c>
      <c r="BR53" s="3480">
        <v>6774</v>
      </c>
      <c r="BS53" s="3529"/>
      <c r="BT53" s="3529"/>
      <c r="BU53" s="3529"/>
    </row>
    <row r="54" spans="1:73" s="3537" customFormat="1">
      <c r="A54" s="3472" t="s">
        <v>3951</v>
      </c>
      <c r="B54" s="3472" t="s">
        <v>3952</v>
      </c>
      <c r="C54" s="3473" t="s">
        <v>3953</v>
      </c>
      <c r="D54" s="3473" t="s">
        <v>3954</v>
      </c>
      <c r="E54" s="3492" t="s">
        <v>3446</v>
      </c>
      <c r="F54" s="3492" t="s">
        <v>3545</v>
      </c>
      <c r="G54" s="3472"/>
      <c r="H54" s="3492" t="s">
        <v>3621</v>
      </c>
      <c r="I54" s="3476" t="s">
        <v>3955</v>
      </c>
      <c r="J54" s="3472" t="s">
        <v>3956</v>
      </c>
      <c r="K54" s="3472" t="s">
        <v>3549</v>
      </c>
      <c r="L54" s="3494">
        <v>93.62</v>
      </c>
      <c r="M54" s="3472">
        <v>9</v>
      </c>
      <c r="N54" s="3472" t="s">
        <v>3656</v>
      </c>
      <c r="O54" s="3472">
        <v>79.11</v>
      </c>
      <c r="P54" s="3472" t="s">
        <v>3457</v>
      </c>
      <c r="Q54" s="3504">
        <v>589806</v>
      </c>
      <c r="R54" s="3472">
        <v>6300</v>
      </c>
      <c r="S54" s="3500">
        <v>58.51</v>
      </c>
      <c r="T54" s="3498">
        <v>585100</v>
      </c>
      <c r="U54" s="3472">
        <v>6250</v>
      </c>
      <c r="V54" s="3495">
        <v>0.1</v>
      </c>
      <c r="W54" s="3479">
        <v>52.65</v>
      </c>
      <c r="X54" s="3530">
        <v>526500</v>
      </c>
      <c r="Y54" s="3480">
        <v>2006</v>
      </c>
      <c r="Z54" s="3480">
        <v>3</v>
      </c>
      <c r="AA54" s="3505">
        <v>24</v>
      </c>
      <c r="AB54" s="3472">
        <v>1500</v>
      </c>
      <c r="AC54" s="3472" t="s">
        <v>3537</v>
      </c>
      <c r="AD54" s="3471"/>
      <c r="AE54" s="3483" t="s">
        <v>3447</v>
      </c>
      <c r="AF54" s="3476" t="s">
        <v>3709</v>
      </c>
      <c r="AG54" s="3481" t="s">
        <v>3448</v>
      </c>
      <c r="AH54" s="3471"/>
      <c r="AI54" s="3483" t="s">
        <v>3538</v>
      </c>
      <c r="AJ54" s="3503">
        <v>39066</v>
      </c>
      <c r="AK54" s="3482">
        <v>3</v>
      </c>
      <c r="AL54" s="3480">
        <v>67641700</v>
      </c>
      <c r="AM54" s="3480"/>
      <c r="AN54" s="3483" t="s">
        <v>3691</v>
      </c>
      <c r="AO54" s="3472"/>
      <c r="AP54" s="3483" t="s">
        <v>3450</v>
      </c>
      <c r="AQ54" s="3480" t="s">
        <v>3451</v>
      </c>
      <c r="AR54" s="3480" t="s">
        <v>3453</v>
      </c>
      <c r="AS54" s="3480" t="s">
        <v>3453</v>
      </c>
      <c r="AT54" s="3480" t="s">
        <v>3453</v>
      </c>
      <c r="AU54" s="3480"/>
      <c r="AV54" s="3480"/>
      <c r="AW54" s="3480" t="s">
        <v>3452</v>
      </c>
      <c r="AX54" s="3480" t="s">
        <v>3540</v>
      </c>
      <c r="AY54" s="3484" t="s">
        <v>3957</v>
      </c>
      <c r="AZ54" s="3472" t="s">
        <v>3453</v>
      </c>
      <c r="BA54" s="3532" t="s">
        <v>3453</v>
      </c>
      <c r="BB54" s="3533" t="s">
        <v>3453</v>
      </c>
      <c r="BC54" s="3532" t="s">
        <v>3453</v>
      </c>
      <c r="BD54" s="3534" t="s">
        <v>3453</v>
      </c>
      <c r="BE54" s="3480" t="s">
        <v>3453</v>
      </c>
      <c r="BF54" s="3486" t="s">
        <v>3453</v>
      </c>
      <c r="BG54" s="3535">
        <v>38789</v>
      </c>
      <c r="BH54" s="3472" t="s">
        <v>3453</v>
      </c>
      <c r="BI54" s="3487" t="s">
        <v>3701</v>
      </c>
      <c r="BJ54" s="3493">
        <v>38798</v>
      </c>
      <c r="BK54" s="3493"/>
      <c r="BL54" s="3472" t="s">
        <v>3454</v>
      </c>
      <c r="BM54" s="3480"/>
      <c r="BN54" s="3480"/>
      <c r="BO54" s="3480"/>
      <c r="BP54" s="3480"/>
      <c r="BQ54" s="3480">
        <v>7396</v>
      </c>
      <c r="BR54" s="3480">
        <v>7456</v>
      </c>
      <c r="BS54" s="3529"/>
      <c r="BT54" s="3529"/>
      <c r="BU54" s="3529"/>
    </row>
    <row r="55" spans="1:73" s="3537" customFormat="1">
      <c r="A55" s="3472" t="s">
        <v>3958</v>
      </c>
      <c r="B55" s="3472" t="s">
        <v>3959</v>
      </c>
      <c r="C55" s="3473" t="s">
        <v>3960</v>
      </c>
      <c r="D55" s="3473" t="s">
        <v>3961</v>
      </c>
      <c r="E55" s="3492" t="s">
        <v>3446</v>
      </c>
      <c r="F55" s="3492" t="s">
        <v>3545</v>
      </c>
      <c r="G55" s="3472"/>
      <c r="H55" s="3492" t="s">
        <v>3687</v>
      </c>
      <c r="I55" s="3476" t="s">
        <v>3962</v>
      </c>
      <c r="J55" s="3472" t="s">
        <v>3963</v>
      </c>
      <c r="K55" s="3472" t="s">
        <v>3549</v>
      </c>
      <c r="L55" s="3494">
        <v>102.22</v>
      </c>
      <c r="M55" s="3472">
        <v>1</v>
      </c>
      <c r="N55" s="3472" t="s">
        <v>3624</v>
      </c>
      <c r="O55" s="3472">
        <v>86.36</v>
      </c>
      <c r="P55" s="3472" t="s">
        <v>3457</v>
      </c>
      <c r="Q55" s="3504">
        <v>597987</v>
      </c>
      <c r="R55" s="3472">
        <v>5850</v>
      </c>
      <c r="S55" s="3500">
        <v>59.28</v>
      </c>
      <c r="T55" s="3498">
        <v>592800</v>
      </c>
      <c r="U55" s="3472">
        <v>5800</v>
      </c>
      <c r="V55" s="3495">
        <v>0.1</v>
      </c>
      <c r="W55" s="3479">
        <v>53.35</v>
      </c>
      <c r="X55" s="3530">
        <v>533500</v>
      </c>
      <c r="Y55" s="3480">
        <v>2006</v>
      </c>
      <c r="Z55" s="3480">
        <v>3</v>
      </c>
      <c r="AA55" s="3505">
        <v>24</v>
      </c>
      <c r="AB55" s="3472">
        <v>1500</v>
      </c>
      <c r="AC55" s="3472" t="s">
        <v>3537</v>
      </c>
      <c r="AD55" s="3471"/>
      <c r="AE55" s="3483" t="s">
        <v>3447</v>
      </c>
      <c r="AF55" s="3476" t="s">
        <v>3709</v>
      </c>
      <c r="AG55" s="3481" t="s">
        <v>3448</v>
      </c>
      <c r="AH55" s="3471"/>
      <c r="AI55" s="3483" t="s">
        <v>3538</v>
      </c>
      <c r="AJ55" s="3503">
        <v>39051</v>
      </c>
      <c r="AK55" s="3482">
        <v>3</v>
      </c>
      <c r="AL55" s="3480">
        <v>67641700</v>
      </c>
      <c r="AM55" s="3480"/>
      <c r="AN55" s="3483" t="s">
        <v>3691</v>
      </c>
      <c r="AO55" s="3472"/>
      <c r="AP55" s="3483" t="s">
        <v>3450</v>
      </c>
      <c r="AQ55" s="3480" t="s">
        <v>3451</v>
      </c>
      <c r="AR55" s="3480" t="s">
        <v>3453</v>
      </c>
      <c r="AS55" s="3480" t="s">
        <v>3453</v>
      </c>
      <c r="AT55" s="3480" t="s">
        <v>3453</v>
      </c>
      <c r="AU55" s="3480"/>
      <c r="AV55" s="3480"/>
      <c r="AW55" s="3480" t="s">
        <v>3452</v>
      </c>
      <c r="AX55" s="3480" t="s">
        <v>3540</v>
      </c>
      <c r="AY55" s="3484" t="s">
        <v>3964</v>
      </c>
      <c r="AZ55" s="3472" t="s">
        <v>3453</v>
      </c>
      <c r="BA55" s="3532" t="s">
        <v>3453</v>
      </c>
      <c r="BB55" s="3533" t="s">
        <v>3453</v>
      </c>
      <c r="BC55" s="3532" t="s">
        <v>3453</v>
      </c>
      <c r="BD55" s="3534" t="s">
        <v>3453</v>
      </c>
      <c r="BE55" s="3480" t="s">
        <v>3453</v>
      </c>
      <c r="BF55" s="3486" t="s">
        <v>3453</v>
      </c>
      <c r="BG55" s="3535">
        <v>38788</v>
      </c>
      <c r="BH55" s="3472" t="s">
        <v>3453</v>
      </c>
      <c r="BI55" s="3487" t="s">
        <v>3701</v>
      </c>
      <c r="BJ55" s="3493">
        <v>38799</v>
      </c>
      <c r="BK55" s="3493"/>
      <c r="BL55" s="3472" t="s">
        <v>3454</v>
      </c>
      <c r="BM55" s="3480"/>
      <c r="BN55" s="3480"/>
      <c r="BO55" s="3480"/>
      <c r="BP55" s="3480"/>
      <c r="BQ55" s="3480">
        <v>6864</v>
      </c>
      <c r="BR55" s="3480">
        <v>6924</v>
      </c>
      <c r="BS55" s="3529"/>
      <c r="BT55" s="3529"/>
      <c r="BU55" s="3529"/>
    </row>
    <row r="56" spans="1:73" s="3537" customFormat="1">
      <c r="A56" s="3472" t="s">
        <v>3965</v>
      </c>
      <c r="B56" s="3472" t="s">
        <v>3966</v>
      </c>
      <c r="C56" s="3473" t="s">
        <v>3967</v>
      </c>
      <c r="D56" s="3473" t="s">
        <v>3968</v>
      </c>
      <c r="E56" s="3492" t="s">
        <v>3446</v>
      </c>
      <c r="F56" s="3492" t="s">
        <v>3678</v>
      </c>
      <c r="G56" s="3472"/>
      <c r="H56" s="3492" t="s">
        <v>3597</v>
      </c>
      <c r="I56" s="3476" t="s">
        <v>3679</v>
      </c>
      <c r="J56" s="3472" t="s">
        <v>3969</v>
      </c>
      <c r="K56" s="3472" t="s">
        <v>3549</v>
      </c>
      <c r="L56" s="3494">
        <v>95.9</v>
      </c>
      <c r="M56" s="3472">
        <v>13</v>
      </c>
      <c r="N56" s="3472" t="s">
        <v>3773</v>
      </c>
      <c r="O56" s="3472">
        <v>77</v>
      </c>
      <c r="P56" s="3472" t="s">
        <v>3457</v>
      </c>
      <c r="Q56" s="3504">
        <v>510188</v>
      </c>
      <c r="R56" s="3472">
        <v>5320</v>
      </c>
      <c r="S56" s="3500">
        <v>50.53</v>
      </c>
      <c r="T56" s="3498">
        <v>505300</v>
      </c>
      <c r="U56" s="3472">
        <v>5270</v>
      </c>
      <c r="V56" s="3495">
        <v>0.1</v>
      </c>
      <c r="W56" s="3479">
        <v>45.47</v>
      </c>
      <c r="X56" s="3530">
        <v>454700</v>
      </c>
      <c r="Y56" s="3480">
        <v>2006</v>
      </c>
      <c r="Z56" s="3480">
        <v>3</v>
      </c>
      <c r="AA56" s="3480">
        <v>23</v>
      </c>
      <c r="AB56" s="3472">
        <v>1500</v>
      </c>
      <c r="AC56" s="3472" t="s">
        <v>3537</v>
      </c>
      <c r="AD56" s="3471"/>
      <c r="AE56" s="3483" t="s">
        <v>3447</v>
      </c>
      <c r="AF56" s="3476" t="s">
        <v>3781</v>
      </c>
      <c r="AG56" s="3481" t="s">
        <v>3448</v>
      </c>
      <c r="AH56" s="3471"/>
      <c r="AI56" s="3483" t="s">
        <v>3538</v>
      </c>
      <c r="AJ56" s="3503">
        <v>39082</v>
      </c>
      <c r="AK56" s="3482">
        <v>3</v>
      </c>
      <c r="AL56" s="3480">
        <v>67641700</v>
      </c>
      <c r="AM56" s="3480"/>
      <c r="AN56" s="3483" t="s">
        <v>3691</v>
      </c>
      <c r="AO56" s="3472"/>
      <c r="AP56" s="3483" t="s">
        <v>3450</v>
      </c>
      <c r="AQ56" s="3480" t="s">
        <v>3451</v>
      </c>
      <c r="AR56" s="3480" t="s">
        <v>3453</v>
      </c>
      <c r="AS56" s="3480" t="s">
        <v>3453</v>
      </c>
      <c r="AT56" s="3480" t="s">
        <v>3453</v>
      </c>
      <c r="AU56" s="3480"/>
      <c r="AV56" s="3480"/>
      <c r="AW56" s="3480" t="s">
        <v>3452</v>
      </c>
      <c r="AX56" s="3480" t="s">
        <v>3540</v>
      </c>
      <c r="AY56" s="3484" t="s">
        <v>3970</v>
      </c>
      <c r="AZ56" s="3472" t="s">
        <v>3453</v>
      </c>
      <c r="BA56" s="3532" t="s">
        <v>3453</v>
      </c>
      <c r="BB56" s="3533" t="s">
        <v>3453</v>
      </c>
      <c r="BC56" s="3532" t="s">
        <v>3453</v>
      </c>
      <c r="BD56" s="3534" t="s">
        <v>3453</v>
      </c>
      <c r="BE56" s="3480" t="s">
        <v>3453</v>
      </c>
      <c r="BF56" s="3486" t="s">
        <v>3453</v>
      </c>
      <c r="BG56" s="3535">
        <v>38789</v>
      </c>
      <c r="BH56" s="3472" t="s">
        <v>3453</v>
      </c>
      <c r="BI56" s="3472" t="s">
        <v>3682</v>
      </c>
      <c r="BJ56" s="3493">
        <v>38798</v>
      </c>
      <c r="BK56" s="3493"/>
      <c r="BL56" s="3472" t="s">
        <v>3454</v>
      </c>
      <c r="BM56" s="3480"/>
      <c r="BN56" s="3480"/>
      <c r="BO56" s="3480"/>
      <c r="BP56" s="3480"/>
      <c r="BQ56" s="3480">
        <v>6562</v>
      </c>
      <c r="BR56" s="3480">
        <v>6626</v>
      </c>
      <c r="BS56" s="3529"/>
      <c r="BT56" s="3529"/>
      <c r="BU56" s="3529"/>
    </row>
    <row r="57" spans="1:73" s="3537" customFormat="1">
      <c r="A57" s="3472" t="s">
        <v>3971</v>
      </c>
      <c r="B57" s="3472" t="s">
        <v>3972</v>
      </c>
      <c r="C57" s="3473" t="s">
        <v>3973</v>
      </c>
      <c r="D57" s="3473" t="s">
        <v>3974</v>
      </c>
      <c r="E57" s="3492" t="s">
        <v>3446</v>
      </c>
      <c r="F57" s="3492" t="s">
        <v>3545</v>
      </c>
      <c r="G57" s="3472"/>
      <c r="H57" s="3492" t="s">
        <v>3621</v>
      </c>
      <c r="I57" s="3476" t="s">
        <v>3834</v>
      </c>
      <c r="J57" s="3472" t="s">
        <v>3975</v>
      </c>
      <c r="K57" s="3472" t="s">
        <v>3549</v>
      </c>
      <c r="L57" s="3494">
        <v>93.62</v>
      </c>
      <c r="M57" s="3472">
        <v>14</v>
      </c>
      <c r="N57" s="3472" t="s">
        <v>3773</v>
      </c>
      <c r="O57" s="3472">
        <v>79.11</v>
      </c>
      <c r="P57" s="3472" t="s">
        <v>3457</v>
      </c>
      <c r="Q57" s="3504">
        <v>612275</v>
      </c>
      <c r="R57" s="3472">
        <v>6540</v>
      </c>
      <c r="S57" s="3500">
        <v>60.61</v>
      </c>
      <c r="T57" s="3498">
        <v>606100</v>
      </c>
      <c r="U57" s="3472">
        <v>6475</v>
      </c>
      <c r="V57" s="3495">
        <v>0.1</v>
      </c>
      <c r="W57" s="3479">
        <v>54.54</v>
      </c>
      <c r="X57" s="3530">
        <v>545400</v>
      </c>
      <c r="Y57" s="3480">
        <v>2006</v>
      </c>
      <c r="Z57" s="3480">
        <v>3</v>
      </c>
      <c r="AA57" s="3505">
        <v>27</v>
      </c>
      <c r="AB57" s="3472">
        <v>1500</v>
      </c>
      <c r="AC57" s="3472" t="s">
        <v>3537</v>
      </c>
      <c r="AD57" s="3471"/>
      <c r="AE57" s="3483" t="s">
        <v>3447</v>
      </c>
      <c r="AF57" s="3476" t="s">
        <v>3709</v>
      </c>
      <c r="AG57" s="3481" t="s">
        <v>3448</v>
      </c>
      <c r="AH57" s="3471"/>
      <c r="AI57" s="3483" t="s">
        <v>3538</v>
      </c>
      <c r="AJ57" s="3503">
        <v>39066</v>
      </c>
      <c r="AK57" s="3482">
        <v>3</v>
      </c>
      <c r="AL57" s="3480">
        <v>67641700</v>
      </c>
      <c r="AM57" s="3480"/>
      <c r="AN57" s="3483" t="s">
        <v>3976</v>
      </c>
      <c r="AO57" s="3472"/>
      <c r="AP57" s="3483" t="s">
        <v>3450</v>
      </c>
      <c r="AQ57" s="3480" t="s">
        <v>3451</v>
      </c>
      <c r="AR57" s="3480" t="s">
        <v>3453</v>
      </c>
      <c r="AS57" s="3480" t="s">
        <v>3453</v>
      </c>
      <c r="AT57" s="3480" t="s">
        <v>3453</v>
      </c>
      <c r="AU57" s="3480"/>
      <c r="AV57" s="3480"/>
      <c r="AW57" s="3480" t="s">
        <v>3452</v>
      </c>
      <c r="AX57" s="3480" t="s">
        <v>3540</v>
      </c>
      <c r="AY57" s="3484" t="s">
        <v>3977</v>
      </c>
      <c r="AZ57" s="3472" t="s">
        <v>3453</v>
      </c>
      <c r="BA57" s="3532" t="s">
        <v>3453</v>
      </c>
      <c r="BB57" s="3533" t="s">
        <v>3453</v>
      </c>
      <c r="BC57" s="3532" t="s">
        <v>3453</v>
      </c>
      <c r="BD57" s="3534" t="s">
        <v>3453</v>
      </c>
      <c r="BE57" s="3480" t="s">
        <v>3453</v>
      </c>
      <c r="BF57" s="3486" t="s">
        <v>3453</v>
      </c>
      <c r="BG57" s="3535">
        <v>38777</v>
      </c>
      <c r="BH57" s="3472" t="s">
        <v>3453</v>
      </c>
      <c r="BI57" s="3487" t="s">
        <v>3701</v>
      </c>
      <c r="BJ57" s="3493">
        <v>38799</v>
      </c>
      <c r="BK57" s="3493"/>
      <c r="BL57" s="3472" t="s">
        <v>3454</v>
      </c>
      <c r="BM57" s="3480"/>
      <c r="BN57" s="3480"/>
      <c r="BO57" s="3480"/>
      <c r="BP57" s="3480"/>
      <c r="BQ57" s="3480">
        <v>7661</v>
      </c>
      <c r="BR57" s="3480">
        <v>7740</v>
      </c>
      <c r="BS57" s="3529"/>
      <c r="BT57" s="3529"/>
      <c r="BU57" s="3529"/>
    </row>
    <row r="58" spans="1:73" s="3537" customFormat="1">
      <c r="A58" s="3472" t="s">
        <v>3978</v>
      </c>
      <c r="B58" s="3472" t="s">
        <v>3979</v>
      </c>
      <c r="C58" s="3473" t="s">
        <v>3980</v>
      </c>
      <c r="D58" s="3473" t="s">
        <v>3981</v>
      </c>
      <c r="E58" s="3492" t="s">
        <v>3446</v>
      </c>
      <c r="F58" s="3492" t="s">
        <v>3632</v>
      </c>
      <c r="G58" s="3472"/>
      <c r="H58" s="3492" t="s">
        <v>3596</v>
      </c>
      <c r="I58" s="3476" t="s">
        <v>3982</v>
      </c>
      <c r="J58" s="3472" t="s">
        <v>3983</v>
      </c>
      <c r="K58" s="3472" t="s">
        <v>3549</v>
      </c>
      <c r="L58" s="3494">
        <v>96.06</v>
      </c>
      <c r="M58" s="3472">
        <v>16</v>
      </c>
      <c r="N58" s="3472" t="s">
        <v>3568</v>
      </c>
      <c r="O58" s="3472">
        <v>77</v>
      </c>
      <c r="P58" s="3472" t="s">
        <v>3457</v>
      </c>
      <c r="Q58" s="3504">
        <v>500473</v>
      </c>
      <c r="R58" s="3472">
        <v>5210</v>
      </c>
      <c r="S58" s="3500">
        <v>49.56</v>
      </c>
      <c r="T58" s="3498">
        <v>495600</v>
      </c>
      <c r="U58" s="3472">
        <v>5160</v>
      </c>
      <c r="V58" s="3495">
        <v>0.1</v>
      </c>
      <c r="W58" s="3479">
        <v>44.6</v>
      </c>
      <c r="X58" s="3530">
        <v>446000</v>
      </c>
      <c r="Y58" s="3480">
        <v>2006</v>
      </c>
      <c r="Z58" s="3480">
        <v>3</v>
      </c>
      <c r="AA58" s="3505">
        <v>28</v>
      </c>
      <c r="AB58" s="3472">
        <v>1485</v>
      </c>
      <c r="AC58" s="3472" t="s">
        <v>3537</v>
      </c>
      <c r="AD58" s="3471"/>
      <c r="AE58" s="3483" t="s">
        <v>3447</v>
      </c>
      <c r="AF58" s="3476" t="s">
        <v>3611</v>
      </c>
      <c r="AG58" s="3481" t="s">
        <v>3448</v>
      </c>
      <c r="AH58" s="3471"/>
      <c r="AI58" s="3483" t="s">
        <v>3538</v>
      </c>
      <c r="AJ58" s="3503">
        <v>39082</v>
      </c>
      <c r="AK58" s="3482">
        <v>3</v>
      </c>
      <c r="AL58" s="3480">
        <v>67641700</v>
      </c>
      <c r="AM58" s="3480"/>
      <c r="AN58" s="3483" t="s">
        <v>3984</v>
      </c>
      <c r="AO58" s="3472"/>
      <c r="AP58" s="3483" t="s">
        <v>3450</v>
      </c>
      <c r="AQ58" s="3480" t="s">
        <v>3451</v>
      </c>
      <c r="AR58" s="3480" t="s">
        <v>3453</v>
      </c>
      <c r="AS58" s="3480" t="s">
        <v>3453</v>
      </c>
      <c r="AT58" s="3480" t="s">
        <v>3453</v>
      </c>
      <c r="AU58" s="3480"/>
      <c r="AV58" s="3480"/>
      <c r="AW58" s="3480" t="s">
        <v>3452</v>
      </c>
      <c r="AX58" s="3480" t="s">
        <v>3540</v>
      </c>
      <c r="AY58" s="3484" t="s">
        <v>3985</v>
      </c>
      <c r="AZ58" s="3472" t="s">
        <v>3453</v>
      </c>
      <c r="BA58" s="3532" t="s">
        <v>3453</v>
      </c>
      <c r="BB58" s="3533" t="s">
        <v>3453</v>
      </c>
      <c r="BC58" s="3532" t="s">
        <v>3453</v>
      </c>
      <c r="BD58" s="3534" t="s">
        <v>3453</v>
      </c>
      <c r="BE58" s="3480" t="s">
        <v>3453</v>
      </c>
      <c r="BF58" s="3486" t="s">
        <v>3453</v>
      </c>
      <c r="BG58" s="3535">
        <v>38782</v>
      </c>
      <c r="BH58" s="3472" t="s">
        <v>3453</v>
      </c>
      <c r="BI58" s="3487" t="s">
        <v>3627</v>
      </c>
      <c r="BJ58" s="3493">
        <v>38800</v>
      </c>
      <c r="BK58" s="3493"/>
      <c r="BL58" s="3472" t="s">
        <v>3454</v>
      </c>
      <c r="BM58" s="3480"/>
      <c r="BN58" s="3480"/>
      <c r="BO58" s="3480"/>
      <c r="BP58" s="3480"/>
      <c r="BQ58" s="3480">
        <v>6436</v>
      </c>
      <c r="BR58" s="3480">
        <v>6500</v>
      </c>
      <c r="BS58" s="3529"/>
      <c r="BT58" s="3529"/>
      <c r="BU58" s="3529"/>
    </row>
    <row r="59" spans="1:73" s="3537" customFormat="1">
      <c r="A59" s="3472" t="s">
        <v>3986</v>
      </c>
      <c r="B59" s="3472" t="s">
        <v>3987</v>
      </c>
      <c r="C59" s="3473" t="s">
        <v>3988</v>
      </c>
      <c r="D59" s="3473" t="s">
        <v>3989</v>
      </c>
      <c r="E59" s="3492" t="s">
        <v>3446</v>
      </c>
      <c r="F59" s="3492" t="s">
        <v>3545</v>
      </c>
      <c r="G59" s="3472"/>
      <c r="H59" s="3492" t="s">
        <v>3687</v>
      </c>
      <c r="I59" s="3476" t="s">
        <v>3990</v>
      </c>
      <c r="J59" s="3472" t="s">
        <v>3991</v>
      </c>
      <c r="K59" s="3472" t="s">
        <v>3549</v>
      </c>
      <c r="L59" s="3494">
        <v>132.28</v>
      </c>
      <c r="M59" s="3472">
        <v>16</v>
      </c>
      <c r="N59" s="3472" t="s">
        <v>3646</v>
      </c>
      <c r="O59" s="3472">
        <v>111.76</v>
      </c>
      <c r="P59" s="3472" t="s">
        <v>3457</v>
      </c>
      <c r="Q59" s="3504">
        <v>787066</v>
      </c>
      <c r="R59" s="3472">
        <v>5950</v>
      </c>
      <c r="S59" s="3500">
        <v>78.040000000000006</v>
      </c>
      <c r="T59" s="3498">
        <v>780400</v>
      </c>
      <c r="U59" s="3472">
        <v>5900</v>
      </c>
      <c r="V59" s="3495">
        <v>0.1</v>
      </c>
      <c r="W59" s="3479">
        <v>70.23</v>
      </c>
      <c r="X59" s="3530">
        <v>702300</v>
      </c>
      <c r="Y59" s="3480">
        <v>2006</v>
      </c>
      <c r="Z59" s="3480">
        <v>3</v>
      </c>
      <c r="AA59" s="3505">
        <v>29</v>
      </c>
      <c r="AB59" s="3472">
        <v>1500</v>
      </c>
      <c r="AC59" s="3472" t="s">
        <v>3537</v>
      </c>
      <c r="AD59" s="3471"/>
      <c r="AE59" s="3483" t="s">
        <v>3447</v>
      </c>
      <c r="AF59" s="3476" t="s">
        <v>3647</v>
      </c>
      <c r="AG59" s="3481" t="s">
        <v>3448</v>
      </c>
      <c r="AH59" s="3471"/>
      <c r="AI59" s="3483" t="s">
        <v>3538</v>
      </c>
      <c r="AJ59" s="3503">
        <v>39051</v>
      </c>
      <c r="AK59" s="3482">
        <v>3</v>
      </c>
      <c r="AL59" s="3480">
        <v>67641700</v>
      </c>
      <c r="AM59" s="3480"/>
      <c r="AN59" s="3483" t="s">
        <v>3984</v>
      </c>
      <c r="AO59" s="3472"/>
      <c r="AP59" s="3483" t="s">
        <v>3450</v>
      </c>
      <c r="AQ59" s="3480" t="s">
        <v>3451</v>
      </c>
      <c r="AR59" s="3480" t="s">
        <v>3453</v>
      </c>
      <c r="AS59" s="3480" t="s">
        <v>3453</v>
      </c>
      <c r="AT59" s="3480" t="s">
        <v>3453</v>
      </c>
      <c r="AU59" s="3480"/>
      <c r="AV59" s="3480"/>
      <c r="AW59" s="3480" t="s">
        <v>3452</v>
      </c>
      <c r="AX59" s="3480" t="s">
        <v>3540</v>
      </c>
      <c r="AY59" s="3484" t="s">
        <v>3992</v>
      </c>
      <c r="AZ59" s="3472" t="s">
        <v>3453</v>
      </c>
      <c r="BA59" s="3532" t="s">
        <v>3453</v>
      </c>
      <c r="BB59" s="3533" t="s">
        <v>3453</v>
      </c>
      <c r="BC59" s="3532" t="s">
        <v>3453</v>
      </c>
      <c r="BD59" s="3534" t="s">
        <v>3453</v>
      </c>
      <c r="BE59" s="3480" t="s">
        <v>3453</v>
      </c>
      <c r="BF59" s="3486" t="s">
        <v>3453</v>
      </c>
      <c r="BG59" s="3535">
        <v>38794</v>
      </c>
      <c r="BH59" s="3472" t="s">
        <v>3453</v>
      </c>
      <c r="BI59" s="3487" t="s">
        <v>3627</v>
      </c>
      <c r="BJ59" s="3493">
        <v>38803</v>
      </c>
      <c r="BK59" s="3493"/>
      <c r="BL59" s="3472" t="s">
        <v>3454</v>
      </c>
      <c r="BM59" s="3480"/>
      <c r="BN59" s="3480"/>
      <c r="BO59" s="3480"/>
      <c r="BP59" s="3480"/>
      <c r="BQ59" s="3480">
        <v>6983</v>
      </c>
      <c r="BR59" s="3480">
        <v>7042</v>
      </c>
      <c r="BS59" s="3529"/>
      <c r="BT59" s="3529"/>
      <c r="BU59" s="3529"/>
    </row>
    <row r="60" spans="1:73" s="3537" customFormat="1">
      <c r="A60" s="3472" t="s">
        <v>3993</v>
      </c>
      <c r="B60" s="3472" t="s">
        <v>3994</v>
      </c>
      <c r="C60" s="3473" t="s">
        <v>3995</v>
      </c>
      <c r="D60" s="3473" t="s">
        <v>3996</v>
      </c>
      <c r="E60" s="3492" t="s">
        <v>3446</v>
      </c>
      <c r="F60" s="3492" t="s">
        <v>3545</v>
      </c>
      <c r="G60" s="3472"/>
      <c r="H60" s="3492" t="s">
        <v>3565</v>
      </c>
      <c r="I60" s="3476" t="s">
        <v>3997</v>
      </c>
      <c r="J60" s="3472" t="s">
        <v>3998</v>
      </c>
      <c r="K60" s="3472" t="s">
        <v>3549</v>
      </c>
      <c r="L60" s="3494">
        <v>127.39</v>
      </c>
      <c r="M60" s="3472">
        <v>2</v>
      </c>
      <c r="N60" s="3472" t="s">
        <v>3690</v>
      </c>
      <c r="O60" s="3472">
        <v>107.64</v>
      </c>
      <c r="P60" s="3472" t="s">
        <v>3457</v>
      </c>
      <c r="Q60" s="3504">
        <v>741410</v>
      </c>
      <c r="R60" s="3472">
        <v>5820</v>
      </c>
      <c r="S60" s="3500">
        <v>73.5</v>
      </c>
      <c r="T60" s="3498">
        <v>735000</v>
      </c>
      <c r="U60" s="3472">
        <v>5770</v>
      </c>
      <c r="V60" s="3495">
        <v>0.1</v>
      </c>
      <c r="W60" s="3479">
        <v>66.150000000000006</v>
      </c>
      <c r="X60" s="3530">
        <v>661500</v>
      </c>
      <c r="Y60" s="3480">
        <v>2006</v>
      </c>
      <c r="Z60" s="3480">
        <v>3</v>
      </c>
      <c r="AA60" s="3505">
        <v>29</v>
      </c>
      <c r="AB60" s="3472">
        <v>1500</v>
      </c>
      <c r="AC60" s="3472" t="s">
        <v>3537</v>
      </c>
      <c r="AD60" s="3471"/>
      <c r="AE60" s="3483" t="s">
        <v>3447</v>
      </c>
      <c r="AF60" s="3476" t="s">
        <v>3647</v>
      </c>
      <c r="AG60" s="3481" t="s">
        <v>3448</v>
      </c>
      <c r="AH60" s="3471"/>
      <c r="AI60" s="3483" t="s">
        <v>3538</v>
      </c>
      <c r="AJ60" s="3503">
        <v>39066</v>
      </c>
      <c r="AK60" s="3482">
        <v>3</v>
      </c>
      <c r="AL60" s="3480">
        <v>67641700</v>
      </c>
      <c r="AM60" s="3480"/>
      <c r="AN60" s="3483" t="s">
        <v>3984</v>
      </c>
      <c r="AO60" s="3472"/>
      <c r="AP60" s="3483" t="s">
        <v>3450</v>
      </c>
      <c r="AQ60" s="3480" t="s">
        <v>3451</v>
      </c>
      <c r="AR60" s="3480" t="s">
        <v>3453</v>
      </c>
      <c r="AS60" s="3480" t="s">
        <v>3453</v>
      </c>
      <c r="AT60" s="3480" t="s">
        <v>3453</v>
      </c>
      <c r="AU60" s="3480"/>
      <c r="AV60" s="3480"/>
      <c r="AW60" s="3480" t="s">
        <v>3452</v>
      </c>
      <c r="AX60" s="3480" t="s">
        <v>3540</v>
      </c>
      <c r="AY60" s="3484" t="s">
        <v>3999</v>
      </c>
      <c r="AZ60" s="3472" t="s">
        <v>3453</v>
      </c>
      <c r="BA60" s="3532" t="s">
        <v>3453</v>
      </c>
      <c r="BB60" s="3533" t="s">
        <v>3453</v>
      </c>
      <c r="BC60" s="3532" t="s">
        <v>3453</v>
      </c>
      <c r="BD60" s="3534" t="s">
        <v>3453</v>
      </c>
      <c r="BE60" s="3480" t="s">
        <v>3453</v>
      </c>
      <c r="BF60" s="3486" t="s">
        <v>3453</v>
      </c>
      <c r="BG60" s="3535">
        <v>38794</v>
      </c>
      <c r="BH60" s="3472" t="s">
        <v>3453</v>
      </c>
      <c r="BI60" s="3487" t="s">
        <v>3627</v>
      </c>
      <c r="BJ60" s="3493">
        <v>38803</v>
      </c>
      <c r="BK60" s="3493"/>
      <c r="BL60" s="3472" t="s">
        <v>3454</v>
      </c>
      <c r="BM60" s="3480"/>
      <c r="BN60" s="3480"/>
      <c r="BO60" s="3480"/>
      <c r="BP60" s="3480"/>
      <c r="BQ60" s="3480">
        <v>6828</v>
      </c>
      <c r="BR60" s="3480">
        <v>6888</v>
      </c>
      <c r="BS60" s="3529"/>
      <c r="BT60" s="3529"/>
      <c r="BU60" s="3529"/>
    </row>
    <row r="61" spans="1:73" s="3490" customFormat="1" ht="13.2">
      <c r="A61" s="3472" t="s">
        <v>4000</v>
      </c>
      <c r="B61" s="3472" t="s">
        <v>4001</v>
      </c>
      <c r="C61" s="3473" t="s">
        <v>4002</v>
      </c>
      <c r="D61" s="3473" t="s">
        <v>4003</v>
      </c>
      <c r="E61" s="3492" t="s">
        <v>3446</v>
      </c>
      <c r="F61" s="3492" t="s">
        <v>3678</v>
      </c>
      <c r="G61" s="3472"/>
      <c r="H61" s="3492" t="s">
        <v>3597</v>
      </c>
      <c r="I61" s="3476" t="s">
        <v>3982</v>
      </c>
      <c r="J61" s="3472" t="s">
        <v>4004</v>
      </c>
      <c r="K61" s="3472" t="s">
        <v>3549</v>
      </c>
      <c r="L61" s="3472">
        <v>95.9</v>
      </c>
      <c r="M61" s="3472">
        <v>16</v>
      </c>
      <c r="N61" s="3472" t="s">
        <v>3773</v>
      </c>
      <c r="O61" s="3472">
        <v>77</v>
      </c>
      <c r="P61" s="3472" t="s">
        <v>3457</v>
      </c>
      <c r="Q61" s="3504">
        <v>529368</v>
      </c>
      <c r="R61" s="3472">
        <v>5520</v>
      </c>
      <c r="S61" s="3500">
        <v>52.45</v>
      </c>
      <c r="T61" s="3498">
        <v>524500</v>
      </c>
      <c r="U61" s="3472">
        <v>5470</v>
      </c>
      <c r="V61" s="3495">
        <v>0.1</v>
      </c>
      <c r="W61" s="3479">
        <v>47.2</v>
      </c>
      <c r="X61" s="3530">
        <v>472000</v>
      </c>
      <c r="Y61" s="3480">
        <v>2006</v>
      </c>
      <c r="Z61" s="3480">
        <v>3</v>
      </c>
      <c r="AA61" s="3480">
        <v>31</v>
      </c>
      <c r="AB61" s="3472">
        <v>1500</v>
      </c>
      <c r="AC61" s="3472" t="s">
        <v>3537</v>
      </c>
      <c r="AD61" s="3471"/>
      <c r="AE61" s="3483" t="s">
        <v>3447</v>
      </c>
      <c r="AF61" s="3476" t="s">
        <v>3611</v>
      </c>
      <c r="AG61" s="3481" t="s">
        <v>3448</v>
      </c>
      <c r="AH61" s="3471"/>
      <c r="AI61" s="3483" t="s">
        <v>3538</v>
      </c>
      <c r="AJ61" s="3503">
        <v>39082</v>
      </c>
      <c r="AK61" s="3482">
        <v>3</v>
      </c>
      <c r="AL61" s="3480">
        <v>67641700</v>
      </c>
      <c r="AM61" s="3480"/>
      <c r="AN61" s="3483" t="s">
        <v>3984</v>
      </c>
      <c r="AO61" s="3472"/>
      <c r="AP61" s="3483" t="s">
        <v>3450</v>
      </c>
      <c r="AQ61" s="3480" t="s">
        <v>3451</v>
      </c>
      <c r="AR61" s="3480" t="s">
        <v>3453</v>
      </c>
      <c r="AS61" s="3480" t="s">
        <v>3453</v>
      </c>
      <c r="AT61" s="3480" t="s">
        <v>3453</v>
      </c>
      <c r="AU61" s="3480"/>
      <c r="AV61" s="3480"/>
      <c r="AW61" s="3480" t="s">
        <v>3452</v>
      </c>
      <c r="AX61" s="3480" t="s">
        <v>3540</v>
      </c>
      <c r="AY61" s="3484" t="s">
        <v>4005</v>
      </c>
      <c r="AZ61" s="3472" t="s">
        <v>3453</v>
      </c>
      <c r="BA61" s="3532" t="s">
        <v>3453</v>
      </c>
      <c r="BB61" s="3533" t="s">
        <v>3453</v>
      </c>
      <c r="BC61" s="3532" t="s">
        <v>3453</v>
      </c>
      <c r="BD61" s="3534" t="s">
        <v>3453</v>
      </c>
      <c r="BE61" s="3480" t="s">
        <v>3453</v>
      </c>
      <c r="BF61" s="3486" t="s">
        <v>3453</v>
      </c>
      <c r="BG61" s="3535">
        <v>38789</v>
      </c>
      <c r="BH61" s="3472" t="s">
        <v>3453</v>
      </c>
      <c r="BI61" s="3487" t="s">
        <v>3701</v>
      </c>
      <c r="BJ61" s="3493">
        <v>38803</v>
      </c>
      <c r="BK61" s="3493"/>
      <c r="BL61" s="3472" t="s">
        <v>3454</v>
      </c>
      <c r="BM61" s="3480"/>
      <c r="BN61" s="3480"/>
      <c r="BO61" s="3480"/>
      <c r="BP61" s="3480"/>
      <c r="BQ61" s="3480">
        <v>6812</v>
      </c>
      <c r="BR61" s="3480">
        <v>6875</v>
      </c>
      <c r="BS61" s="3529"/>
      <c r="BT61" s="3529"/>
      <c r="BU61" s="3529"/>
    </row>
    <row r="62" spans="1:73" s="3490" customFormat="1" ht="12" hidden="1">
      <c r="A62" s="3472" t="s">
        <v>4006</v>
      </c>
      <c r="B62" s="3472" t="s">
        <v>4007</v>
      </c>
      <c r="C62" s="3473" t="s">
        <v>4008</v>
      </c>
      <c r="D62" s="3473" t="s">
        <v>4009</v>
      </c>
      <c r="E62" s="3472" t="s">
        <v>3606</v>
      </c>
      <c r="F62" s="3539" t="s">
        <v>4010</v>
      </c>
      <c r="G62" s="3472" t="s">
        <v>4011</v>
      </c>
      <c r="H62" s="3472" t="s">
        <v>4012</v>
      </c>
      <c r="I62" s="3472"/>
      <c r="J62" s="3473" t="s">
        <v>4013</v>
      </c>
      <c r="K62" s="3472" t="s">
        <v>4014</v>
      </c>
      <c r="L62" s="3472">
        <v>177.93</v>
      </c>
      <c r="M62" s="3472">
        <v>6</v>
      </c>
      <c r="N62" s="3476" t="s">
        <v>4015</v>
      </c>
      <c r="O62" s="3472"/>
      <c r="P62" s="3472" t="s">
        <v>4016</v>
      </c>
      <c r="Q62" s="3504">
        <v>800000</v>
      </c>
      <c r="R62" s="3472">
        <v>4496</v>
      </c>
      <c r="S62" s="3500">
        <v>76.2</v>
      </c>
      <c r="T62" s="3498">
        <v>762000</v>
      </c>
      <c r="U62" s="3472">
        <v>4283</v>
      </c>
      <c r="V62" s="3478">
        <v>0.05</v>
      </c>
      <c r="W62" s="3479">
        <v>72.39</v>
      </c>
      <c r="X62" s="3502">
        <v>723900</v>
      </c>
      <c r="Y62" s="3472">
        <v>2006</v>
      </c>
      <c r="Z62" s="3472">
        <v>5</v>
      </c>
      <c r="AA62" s="3480">
        <v>16</v>
      </c>
      <c r="AB62" s="3472">
        <v>1500</v>
      </c>
      <c r="AC62" s="3472" t="s">
        <v>4017</v>
      </c>
      <c r="AD62" s="3471"/>
      <c r="AE62" s="3480" t="s">
        <v>4018</v>
      </c>
      <c r="AF62" s="3472" t="s">
        <v>4019</v>
      </c>
      <c r="AG62" s="3472" t="s">
        <v>4020</v>
      </c>
      <c r="AH62" s="3471"/>
      <c r="AI62" s="3483" t="s">
        <v>3612</v>
      </c>
      <c r="AJ62" s="3503"/>
      <c r="AK62" s="3482" t="s">
        <v>3984</v>
      </c>
      <c r="AL62" s="3480">
        <v>67641700</v>
      </c>
      <c r="AM62" s="3480"/>
      <c r="AN62" s="3480" t="s">
        <v>3637</v>
      </c>
      <c r="AO62" s="3480"/>
      <c r="AP62" s="3472" t="s">
        <v>3450</v>
      </c>
      <c r="AQ62" s="3472" t="s">
        <v>4021</v>
      </c>
      <c r="AR62" s="3480">
        <v>2006</v>
      </c>
      <c r="AS62" s="3480">
        <v>5</v>
      </c>
      <c r="AT62" s="3480">
        <v>16</v>
      </c>
      <c r="AU62" s="3480"/>
      <c r="AV62" s="3480"/>
      <c r="AW62" s="3480" t="s">
        <v>3614</v>
      </c>
      <c r="AX62" s="3480"/>
      <c r="AY62" s="3484"/>
      <c r="AZ62" s="3480" t="s">
        <v>4022</v>
      </c>
      <c r="BA62" s="3480"/>
      <c r="BB62" s="3484"/>
      <c r="BC62" s="3480"/>
      <c r="BD62" s="3485"/>
      <c r="BE62" s="3480">
        <v>13911935169</v>
      </c>
      <c r="BF62" s="3486"/>
      <c r="BG62" s="3489">
        <v>38804</v>
      </c>
      <c r="BH62" s="3472"/>
      <c r="BI62" s="3472" t="s">
        <v>4018</v>
      </c>
      <c r="BJ62" s="3489">
        <v>38805</v>
      </c>
      <c r="BK62" s="3493"/>
      <c r="BL62" s="3472" t="s">
        <v>4023</v>
      </c>
      <c r="BM62" s="3472" t="s">
        <v>4024</v>
      </c>
      <c r="BN62" s="3472" t="s">
        <v>4025</v>
      </c>
      <c r="BO62" s="3472" t="s">
        <v>4026</v>
      </c>
      <c r="BP62" s="3480"/>
      <c r="BQ62" s="3480" t="e">
        <v>#DIV/0!</v>
      </c>
      <c r="BR62" s="3480" t="e">
        <v>#DIV/0!</v>
      </c>
      <c r="BS62" s="3529"/>
      <c r="BT62" s="3529"/>
      <c r="BU62" s="3529"/>
    </row>
    <row r="63" spans="1:73" s="3490" customFormat="1" ht="12" hidden="1">
      <c r="A63" s="3472" t="s">
        <v>4027</v>
      </c>
      <c r="B63" s="3472" t="s">
        <v>4028</v>
      </c>
      <c r="C63" s="3473" t="s">
        <v>4029</v>
      </c>
      <c r="D63" s="3473" t="s">
        <v>4030</v>
      </c>
      <c r="E63" s="3492" t="s">
        <v>3606</v>
      </c>
      <c r="F63" s="3492" t="s">
        <v>4031</v>
      </c>
      <c r="G63" s="3472"/>
      <c r="H63" s="3471" t="s">
        <v>3621</v>
      </c>
      <c r="I63" s="3476"/>
      <c r="J63" s="3472" t="s">
        <v>4032</v>
      </c>
      <c r="K63" s="3472" t="s">
        <v>4014</v>
      </c>
      <c r="L63" s="3472">
        <v>83.46</v>
      </c>
      <c r="M63" s="3472">
        <v>2</v>
      </c>
      <c r="N63" s="3472" t="s">
        <v>3568</v>
      </c>
      <c r="O63" s="3472">
        <v>68.44</v>
      </c>
      <c r="P63" s="3472" t="s">
        <v>4033</v>
      </c>
      <c r="Q63" s="3504">
        <v>380000</v>
      </c>
      <c r="R63" s="3472">
        <v>4553</v>
      </c>
      <c r="S63" s="3500">
        <v>35.729999999999997</v>
      </c>
      <c r="T63" s="3498">
        <v>357299.99999999994</v>
      </c>
      <c r="U63" s="3472">
        <v>4282</v>
      </c>
      <c r="V63" s="3495">
        <v>0.05</v>
      </c>
      <c r="W63" s="3479">
        <v>33.94</v>
      </c>
      <c r="X63" s="3530">
        <v>339400</v>
      </c>
      <c r="Y63" s="3480">
        <v>2006</v>
      </c>
      <c r="Z63" s="3480">
        <v>5</v>
      </c>
      <c r="AA63" s="3505">
        <v>10</v>
      </c>
      <c r="AB63" s="3536">
        <v>1070</v>
      </c>
      <c r="AC63" s="3472" t="s">
        <v>4034</v>
      </c>
      <c r="AD63" s="3471"/>
      <c r="AE63" s="3483" t="s">
        <v>4018</v>
      </c>
      <c r="AF63" s="3476" t="s">
        <v>3461</v>
      </c>
      <c r="AG63" s="3481" t="s">
        <v>4020</v>
      </c>
      <c r="AH63" s="3471"/>
      <c r="AI63" s="3483" t="s">
        <v>3612</v>
      </c>
      <c r="AJ63" s="3503"/>
      <c r="AK63" s="3482">
        <v>5</v>
      </c>
      <c r="AL63" s="3480">
        <v>67641700</v>
      </c>
      <c r="AM63" s="3480"/>
      <c r="AN63" s="3483" t="s">
        <v>3699</v>
      </c>
      <c r="AO63" s="3472"/>
      <c r="AP63" s="3483" t="s">
        <v>3450</v>
      </c>
      <c r="AQ63" s="3480" t="s">
        <v>3451</v>
      </c>
      <c r="AR63" s="3480"/>
      <c r="AS63" s="3480"/>
      <c r="AT63" s="3480"/>
      <c r="AU63" s="3480"/>
      <c r="AV63" s="3480"/>
      <c r="AW63" s="3480" t="s">
        <v>3614</v>
      </c>
      <c r="AX63" s="3480"/>
      <c r="AY63" s="3484"/>
      <c r="AZ63" s="3471" t="s">
        <v>4014</v>
      </c>
      <c r="BA63" s="3532"/>
      <c r="BB63" s="3533"/>
      <c r="BC63" s="3532"/>
      <c r="BD63" s="3534"/>
      <c r="BE63" s="3480"/>
      <c r="BF63" s="3486"/>
      <c r="BG63" s="3535">
        <v>38738</v>
      </c>
      <c r="BH63" s="3472" t="s">
        <v>4035</v>
      </c>
      <c r="BI63" s="3487" t="s">
        <v>3701</v>
      </c>
      <c r="BJ63" s="3493">
        <v>38807</v>
      </c>
      <c r="BK63" s="3493"/>
      <c r="BL63" s="3472" t="s">
        <v>4036</v>
      </c>
      <c r="BM63" s="3480" t="s">
        <v>4037</v>
      </c>
      <c r="BN63" s="3480" t="s">
        <v>4038</v>
      </c>
      <c r="BO63" s="3480" t="s">
        <v>4026</v>
      </c>
      <c r="BP63" s="3480"/>
      <c r="BQ63" s="3480">
        <v>5221</v>
      </c>
      <c r="BR63" s="3480">
        <v>5552</v>
      </c>
      <c r="BS63" s="3529"/>
      <c r="BT63" s="3529"/>
      <c r="BU63" s="3529"/>
    </row>
    <row r="64" spans="1:73" s="3490" customFormat="1" ht="13.2">
      <c r="A64" s="3472" t="s">
        <v>4039</v>
      </c>
      <c r="B64" s="3472" t="s">
        <v>4040</v>
      </c>
      <c r="C64" s="3473" t="s">
        <v>4041</v>
      </c>
      <c r="D64" s="3473" t="s">
        <v>4042</v>
      </c>
      <c r="E64" s="3492" t="s">
        <v>3446</v>
      </c>
      <c r="F64" s="3492" t="s">
        <v>3678</v>
      </c>
      <c r="G64" s="3472"/>
      <c r="H64" s="3492" t="s">
        <v>3597</v>
      </c>
      <c r="I64" s="3476" t="s">
        <v>4043</v>
      </c>
      <c r="J64" s="3472" t="s">
        <v>4044</v>
      </c>
      <c r="K64" s="3472" t="s">
        <v>3549</v>
      </c>
      <c r="L64" s="3472">
        <v>95.9</v>
      </c>
      <c r="M64" s="3472">
        <v>6</v>
      </c>
      <c r="N64" s="3472" t="s">
        <v>3568</v>
      </c>
      <c r="O64" s="3472">
        <v>77</v>
      </c>
      <c r="P64" s="3472" t="s">
        <v>3457</v>
      </c>
      <c r="Q64" s="3504">
        <v>482377</v>
      </c>
      <c r="R64" s="3472">
        <v>5030</v>
      </c>
      <c r="S64" s="3500">
        <v>47.75</v>
      </c>
      <c r="T64" s="3498">
        <v>477500</v>
      </c>
      <c r="U64" s="3472">
        <v>4980</v>
      </c>
      <c r="V64" s="3495">
        <v>0.2</v>
      </c>
      <c r="W64" s="3479">
        <v>38.200000000000003</v>
      </c>
      <c r="X64" s="3530">
        <v>382000</v>
      </c>
      <c r="Y64" s="3480">
        <v>2006</v>
      </c>
      <c r="Z64" s="3480">
        <v>4</v>
      </c>
      <c r="AA64" s="3480">
        <v>6</v>
      </c>
      <c r="AB64" s="3472">
        <v>1430</v>
      </c>
      <c r="AC64" s="3472" t="s">
        <v>4045</v>
      </c>
      <c r="AD64" s="3471"/>
      <c r="AE64" s="3483" t="s">
        <v>3447</v>
      </c>
      <c r="AF64" s="3476" t="s">
        <v>3636</v>
      </c>
      <c r="AG64" s="3481" t="s">
        <v>3448</v>
      </c>
      <c r="AH64" s="3471"/>
      <c r="AI64" s="3483" t="s">
        <v>3538</v>
      </c>
      <c r="AJ64" s="3503">
        <v>39082</v>
      </c>
      <c r="AK64" s="3482">
        <v>4</v>
      </c>
      <c r="AL64" s="3480">
        <v>67641700</v>
      </c>
      <c r="AM64" s="3480"/>
      <c r="AN64" s="3483" t="s">
        <v>3569</v>
      </c>
      <c r="AO64" s="3472"/>
      <c r="AP64" s="3483" t="s">
        <v>3450</v>
      </c>
      <c r="AQ64" s="3480" t="s">
        <v>3451</v>
      </c>
      <c r="AR64" s="3480" t="s">
        <v>3453</v>
      </c>
      <c r="AS64" s="3480" t="s">
        <v>3453</v>
      </c>
      <c r="AT64" s="3480" t="s">
        <v>3453</v>
      </c>
      <c r="AU64" s="3480"/>
      <c r="AV64" s="3480"/>
      <c r="AW64" s="3480" t="s">
        <v>3452</v>
      </c>
      <c r="AX64" s="3480" t="s">
        <v>3540</v>
      </c>
      <c r="AY64" s="3484" t="s">
        <v>4046</v>
      </c>
      <c r="AZ64" s="3472" t="s">
        <v>3453</v>
      </c>
      <c r="BA64" s="3532" t="s">
        <v>3453</v>
      </c>
      <c r="BB64" s="3533" t="s">
        <v>3453</v>
      </c>
      <c r="BC64" s="3532" t="s">
        <v>3453</v>
      </c>
      <c r="BD64" s="3534" t="s">
        <v>3453</v>
      </c>
      <c r="BE64" s="3480" t="s">
        <v>3453</v>
      </c>
      <c r="BF64" s="3486" t="s">
        <v>3453</v>
      </c>
      <c r="BG64" s="3535">
        <v>38777</v>
      </c>
      <c r="BH64" s="3472" t="s">
        <v>3453</v>
      </c>
      <c r="BI64" s="3487" t="s">
        <v>3701</v>
      </c>
      <c r="BJ64" s="3493">
        <v>38811</v>
      </c>
      <c r="BK64" s="3493"/>
      <c r="BL64" s="3472" t="s">
        <v>3454</v>
      </c>
      <c r="BM64" s="3480"/>
      <c r="BN64" s="3480"/>
      <c r="BO64" s="3480"/>
      <c r="BP64" s="3480"/>
      <c r="BQ64" s="3480">
        <v>6201</v>
      </c>
      <c r="BR64" s="3480">
        <v>6265</v>
      </c>
      <c r="BS64" s="3529"/>
      <c r="BT64" s="3529"/>
      <c r="BU64" s="3529"/>
    </row>
    <row r="65" spans="1:73" s="3490" customFormat="1" ht="12">
      <c r="A65" s="3472" t="s">
        <v>4047</v>
      </c>
      <c r="B65" s="3472" t="s">
        <v>4048</v>
      </c>
      <c r="C65" s="3473" t="s">
        <v>4049</v>
      </c>
      <c r="D65" s="3473" t="s">
        <v>4050</v>
      </c>
      <c r="E65" s="3492" t="s">
        <v>3446</v>
      </c>
      <c r="F65" s="3492" t="s">
        <v>3545</v>
      </c>
      <c r="G65" s="3472"/>
      <c r="H65" s="3492" t="s">
        <v>3621</v>
      </c>
      <c r="I65" s="3476" t="s">
        <v>4051</v>
      </c>
      <c r="J65" s="3472" t="s">
        <v>4052</v>
      </c>
      <c r="K65" s="3472" t="s">
        <v>3549</v>
      </c>
      <c r="L65" s="3472">
        <v>90.61</v>
      </c>
      <c r="M65" s="3472">
        <v>2</v>
      </c>
      <c r="N65" s="3472" t="s">
        <v>3568</v>
      </c>
      <c r="O65" s="3472">
        <v>76.56</v>
      </c>
      <c r="P65" s="3472" t="s">
        <v>3457</v>
      </c>
      <c r="Q65" s="3504">
        <v>527350</v>
      </c>
      <c r="R65" s="3472">
        <v>5820</v>
      </c>
      <c r="S65" s="3500">
        <v>52.28</v>
      </c>
      <c r="T65" s="3498">
        <v>522800</v>
      </c>
      <c r="U65" s="3472">
        <v>5770</v>
      </c>
      <c r="V65" s="3495">
        <v>0.1</v>
      </c>
      <c r="W65" s="3479">
        <v>47.05</v>
      </c>
      <c r="X65" s="3530">
        <v>470500</v>
      </c>
      <c r="Y65" s="3480">
        <v>2006</v>
      </c>
      <c r="Z65" s="3480">
        <v>4</v>
      </c>
      <c r="AA65" s="3480">
        <v>7</v>
      </c>
      <c r="AB65" s="3472">
        <v>1500</v>
      </c>
      <c r="AC65" s="3472" t="s">
        <v>3537</v>
      </c>
      <c r="AD65" s="3471"/>
      <c r="AE65" s="3483" t="s">
        <v>3447</v>
      </c>
      <c r="AF65" s="3476" t="s">
        <v>3591</v>
      </c>
      <c r="AG65" s="3481" t="s">
        <v>3448</v>
      </c>
      <c r="AH65" s="3471"/>
      <c r="AI65" s="3483" t="s">
        <v>3538</v>
      </c>
      <c r="AJ65" s="3503">
        <v>39066</v>
      </c>
      <c r="AK65" s="3482">
        <v>4</v>
      </c>
      <c r="AL65" s="3480">
        <v>67641700</v>
      </c>
      <c r="AM65" s="3480"/>
      <c r="AN65" s="3483" t="s">
        <v>3569</v>
      </c>
      <c r="AO65" s="3472"/>
      <c r="AP65" s="3483" t="s">
        <v>3450</v>
      </c>
      <c r="AQ65" s="3480" t="s">
        <v>3451</v>
      </c>
      <c r="AR65" s="3480" t="s">
        <v>3453</v>
      </c>
      <c r="AS65" s="3480" t="s">
        <v>3453</v>
      </c>
      <c r="AT65" s="3480" t="s">
        <v>3453</v>
      </c>
      <c r="AU65" s="3480"/>
      <c r="AV65" s="3480"/>
      <c r="AW65" s="3480" t="s">
        <v>3452</v>
      </c>
      <c r="AX65" s="3480" t="s">
        <v>3540</v>
      </c>
      <c r="AY65" s="3484" t="s">
        <v>4053</v>
      </c>
      <c r="AZ65" s="3472" t="s">
        <v>3453</v>
      </c>
      <c r="BA65" s="3532" t="s">
        <v>3453</v>
      </c>
      <c r="BB65" s="3533" t="s">
        <v>3453</v>
      </c>
      <c r="BC65" s="3532" t="s">
        <v>3453</v>
      </c>
      <c r="BD65" s="3534" t="s">
        <v>3453</v>
      </c>
      <c r="BE65" s="3480" t="s">
        <v>3453</v>
      </c>
      <c r="BF65" s="3486" t="s">
        <v>3453</v>
      </c>
      <c r="BG65" s="3535">
        <v>38796</v>
      </c>
      <c r="BH65" s="3472" t="s">
        <v>3453</v>
      </c>
      <c r="BI65" s="3487" t="s">
        <v>3627</v>
      </c>
      <c r="BJ65" s="3493">
        <v>38805</v>
      </c>
      <c r="BK65" s="3493"/>
      <c r="BL65" s="3472" t="s">
        <v>3454</v>
      </c>
      <c r="BM65" s="3480"/>
      <c r="BN65" s="3480"/>
      <c r="BO65" s="3480"/>
      <c r="BP65" s="3480"/>
      <c r="BQ65" s="3480">
        <v>6829</v>
      </c>
      <c r="BR65" s="3480">
        <v>6888</v>
      </c>
      <c r="BS65" s="3529"/>
      <c r="BT65" s="3529"/>
      <c r="BU65" s="3529"/>
    </row>
    <row r="66" spans="1:73" s="3490" customFormat="1" ht="12">
      <c r="A66" s="3472" t="s">
        <v>4054</v>
      </c>
      <c r="B66" s="3472" t="s">
        <v>4055</v>
      </c>
      <c r="C66" s="3473" t="s">
        <v>4056</v>
      </c>
      <c r="D66" s="3473" t="s">
        <v>4057</v>
      </c>
      <c r="E66" s="3492" t="s">
        <v>3446</v>
      </c>
      <c r="F66" s="3492" t="s">
        <v>3545</v>
      </c>
      <c r="G66" s="3472"/>
      <c r="H66" s="3492" t="s">
        <v>3621</v>
      </c>
      <c r="I66" s="3476" t="s">
        <v>4058</v>
      </c>
      <c r="J66" s="3472" t="s">
        <v>4059</v>
      </c>
      <c r="K66" s="3472" t="s">
        <v>3549</v>
      </c>
      <c r="L66" s="3472">
        <v>102.2</v>
      </c>
      <c r="M66" s="3472">
        <v>1</v>
      </c>
      <c r="N66" s="3472" t="s">
        <v>4060</v>
      </c>
      <c r="O66" s="3472">
        <v>86.36</v>
      </c>
      <c r="P66" s="3472" t="s">
        <v>3457</v>
      </c>
      <c r="Q66" s="3504">
        <v>608090</v>
      </c>
      <c r="R66" s="3472">
        <v>5950</v>
      </c>
      <c r="S66" s="3500">
        <v>60.29</v>
      </c>
      <c r="T66" s="3498">
        <v>602900</v>
      </c>
      <c r="U66" s="3472">
        <v>5900</v>
      </c>
      <c r="V66" s="3495">
        <v>0.1</v>
      </c>
      <c r="W66" s="3479">
        <v>54.26</v>
      </c>
      <c r="X66" s="3530">
        <v>542600</v>
      </c>
      <c r="Y66" s="3480">
        <v>2006</v>
      </c>
      <c r="Z66" s="3480">
        <v>4</v>
      </c>
      <c r="AA66" s="3480">
        <v>7</v>
      </c>
      <c r="AB66" s="3472">
        <v>1500</v>
      </c>
      <c r="AC66" s="3472" t="s">
        <v>3537</v>
      </c>
      <c r="AD66" s="3471"/>
      <c r="AE66" s="3483" t="s">
        <v>3447</v>
      </c>
      <c r="AF66" s="3476" t="s">
        <v>3636</v>
      </c>
      <c r="AG66" s="3481" t="s">
        <v>3448</v>
      </c>
      <c r="AH66" s="3471"/>
      <c r="AI66" s="3483" t="s">
        <v>3538</v>
      </c>
      <c r="AJ66" s="3503">
        <v>39066</v>
      </c>
      <c r="AK66" s="3482">
        <v>4</v>
      </c>
      <c r="AL66" s="3480">
        <v>67641700</v>
      </c>
      <c r="AM66" s="3480"/>
      <c r="AN66" s="3483" t="s">
        <v>3699</v>
      </c>
      <c r="AO66" s="3472"/>
      <c r="AP66" s="3483" t="s">
        <v>3450</v>
      </c>
      <c r="AQ66" s="3480" t="s">
        <v>3451</v>
      </c>
      <c r="AR66" s="3480" t="s">
        <v>3453</v>
      </c>
      <c r="AS66" s="3480" t="s">
        <v>3453</v>
      </c>
      <c r="AT66" s="3480" t="s">
        <v>3453</v>
      </c>
      <c r="AU66" s="3480"/>
      <c r="AV66" s="3480"/>
      <c r="AW66" s="3480" t="s">
        <v>3452</v>
      </c>
      <c r="AX66" s="3480" t="s">
        <v>3540</v>
      </c>
      <c r="AY66" s="3484" t="s">
        <v>4061</v>
      </c>
      <c r="AZ66" s="3472" t="s">
        <v>3453</v>
      </c>
      <c r="BA66" s="3532" t="s">
        <v>3453</v>
      </c>
      <c r="BB66" s="3533" t="s">
        <v>3453</v>
      </c>
      <c r="BC66" s="3532" t="s">
        <v>3453</v>
      </c>
      <c r="BD66" s="3534" t="s">
        <v>3453</v>
      </c>
      <c r="BE66" s="3480" t="s">
        <v>3453</v>
      </c>
      <c r="BF66" s="3486" t="s">
        <v>3453</v>
      </c>
      <c r="BG66" s="3535">
        <v>38801</v>
      </c>
      <c r="BH66" s="3472" t="s">
        <v>3453</v>
      </c>
      <c r="BI66" s="3487" t="s">
        <v>3627</v>
      </c>
      <c r="BJ66" s="3493">
        <v>38805</v>
      </c>
      <c r="BK66" s="3493"/>
      <c r="BL66" s="3472" t="s">
        <v>3454</v>
      </c>
      <c r="BM66" s="3480"/>
      <c r="BN66" s="3480"/>
      <c r="BO66" s="3480"/>
      <c r="BP66" s="3480"/>
      <c r="BQ66" s="3480">
        <v>6981</v>
      </c>
      <c r="BR66" s="3480">
        <v>7041</v>
      </c>
      <c r="BS66" s="3529"/>
      <c r="BT66" s="3529"/>
      <c r="BU66" s="3529"/>
    </row>
    <row r="67" spans="1:73" s="3490" customFormat="1" ht="12">
      <c r="A67" s="3472" t="s">
        <v>4062</v>
      </c>
      <c r="B67" s="3472" t="s">
        <v>4063</v>
      </c>
      <c r="C67" s="3473" t="s">
        <v>4064</v>
      </c>
      <c r="D67" s="3473" t="s">
        <v>4065</v>
      </c>
      <c r="E67" s="3492" t="s">
        <v>3446</v>
      </c>
      <c r="F67" s="3492" t="s">
        <v>3545</v>
      </c>
      <c r="G67" s="3472"/>
      <c r="H67" s="3492" t="s">
        <v>3565</v>
      </c>
      <c r="I67" s="3476" t="s">
        <v>4066</v>
      </c>
      <c r="J67" s="3472" t="s">
        <v>4067</v>
      </c>
      <c r="K67" s="3472" t="s">
        <v>3549</v>
      </c>
      <c r="L67" s="3472">
        <v>126.37</v>
      </c>
      <c r="M67" s="3472">
        <v>7</v>
      </c>
      <c r="N67" s="3472" t="s">
        <v>3690</v>
      </c>
      <c r="O67" s="3472">
        <v>106.78</v>
      </c>
      <c r="P67" s="3472" t="s">
        <v>3457</v>
      </c>
      <c r="Q67" s="3504">
        <v>754429</v>
      </c>
      <c r="R67" s="3472">
        <v>5970</v>
      </c>
      <c r="S67" s="3500">
        <v>74.81</v>
      </c>
      <c r="T67" s="3498">
        <v>748100</v>
      </c>
      <c r="U67" s="3472">
        <v>5920</v>
      </c>
      <c r="V67" s="3495">
        <v>0.1</v>
      </c>
      <c r="W67" s="3479">
        <v>67.319999999999993</v>
      </c>
      <c r="X67" s="3530">
        <v>673199.99999999988</v>
      </c>
      <c r="Y67" s="3480">
        <v>2006</v>
      </c>
      <c r="Z67" s="3480">
        <v>4</v>
      </c>
      <c r="AA67" s="3480">
        <v>7</v>
      </c>
      <c r="AB67" s="3472">
        <v>1500</v>
      </c>
      <c r="AC67" s="3472" t="s">
        <v>3537</v>
      </c>
      <c r="AD67" s="3471"/>
      <c r="AE67" s="3483" t="s">
        <v>3447</v>
      </c>
      <c r="AF67" s="3476" t="s">
        <v>3636</v>
      </c>
      <c r="AG67" s="3481" t="s">
        <v>3448</v>
      </c>
      <c r="AH67" s="3471"/>
      <c r="AI67" s="3483" t="s">
        <v>3538</v>
      </c>
      <c r="AJ67" s="3503">
        <v>39066</v>
      </c>
      <c r="AK67" s="3482">
        <v>4</v>
      </c>
      <c r="AL67" s="3480">
        <v>67641700</v>
      </c>
      <c r="AM67" s="3480"/>
      <c r="AN67" s="3483" t="s">
        <v>3569</v>
      </c>
      <c r="AO67" s="3472"/>
      <c r="AP67" s="3483" t="s">
        <v>3450</v>
      </c>
      <c r="AQ67" s="3480" t="s">
        <v>3451</v>
      </c>
      <c r="AR67" s="3480" t="s">
        <v>3453</v>
      </c>
      <c r="AS67" s="3480" t="s">
        <v>3453</v>
      </c>
      <c r="AT67" s="3480" t="s">
        <v>3453</v>
      </c>
      <c r="AU67" s="3480"/>
      <c r="AV67" s="3480"/>
      <c r="AW67" s="3480" t="s">
        <v>3452</v>
      </c>
      <c r="AX67" s="3480" t="s">
        <v>3540</v>
      </c>
      <c r="AY67" s="3484" t="s">
        <v>4068</v>
      </c>
      <c r="AZ67" s="3472" t="s">
        <v>3453</v>
      </c>
      <c r="BA67" s="3532" t="s">
        <v>3453</v>
      </c>
      <c r="BB67" s="3533" t="s">
        <v>3453</v>
      </c>
      <c r="BC67" s="3532" t="s">
        <v>3453</v>
      </c>
      <c r="BD67" s="3534" t="s">
        <v>3453</v>
      </c>
      <c r="BE67" s="3480" t="s">
        <v>3453</v>
      </c>
      <c r="BF67" s="3486" t="s">
        <v>3453</v>
      </c>
      <c r="BG67" s="3535">
        <v>38802</v>
      </c>
      <c r="BH67" s="3472" t="s">
        <v>3453</v>
      </c>
      <c r="BI67" s="3487" t="s">
        <v>3682</v>
      </c>
      <c r="BJ67" s="3493">
        <v>38805</v>
      </c>
      <c r="BK67" s="3493"/>
      <c r="BL67" s="3472" t="s">
        <v>3454</v>
      </c>
      <c r="BM67" s="3480"/>
      <c r="BN67" s="3480"/>
      <c r="BO67" s="3480"/>
      <c r="BP67" s="3480"/>
      <c r="BQ67" s="3480">
        <v>7006</v>
      </c>
      <c r="BR67" s="3480">
        <v>7065</v>
      </c>
      <c r="BS67" s="3529"/>
      <c r="BT67" s="3529"/>
      <c r="BU67" s="3529"/>
    </row>
    <row r="68" spans="1:73" s="3490" customFormat="1" ht="12">
      <c r="A68" s="3472" t="s">
        <v>4069</v>
      </c>
      <c r="B68" s="3472" t="s">
        <v>4070</v>
      </c>
      <c r="C68" s="3473" t="s">
        <v>4071</v>
      </c>
      <c r="D68" s="3473" t="s">
        <v>4072</v>
      </c>
      <c r="E68" s="3492" t="s">
        <v>3446</v>
      </c>
      <c r="F68" s="3492" t="s">
        <v>3545</v>
      </c>
      <c r="G68" s="3472"/>
      <c r="H68" s="3492" t="s">
        <v>3565</v>
      </c>
      <c r="I68" s="3476" t="s">
        <v>3841</v>
      </c>
      <c r="J68" s="3472" t="s">
        <v>4073</v>
      </c>
      <c r="K68" s="3472" t="s">
        <v>3549</v>
      </c>
      <c r="L68" s="3472">
        <v>102.2</v>
      </c>
      <c r="M68" s="3472">
        <v>4</v>
      </c>
      <c r="N68" s="3472" t="s">
        <v>3577</v>
      </c>
      <c r="O68" s="3472">
        <v>86.36</v>
      </c>
      <c r="P68" s="3472" t="s">
        <v>3457</v>
      </c>
      <c r="Q68" s="3504">
        <v>631596</v>
      </c>
      <c r="R68" s="3472">
        <v>6180</v>
      </c>
      <c r="S68" s="3500">
        <v>62.64</v>
      </c>
      <c r="T68" s="3498">
        <v>626400</v>
      </c>
      <c r="U68" s="3472">
        <v>6130</v>
      </c>
      <c r="V68" s="3495">
        <v>0.1</v>
      </c>
      <c r="W68" s="3479">
        <v>56.37</v>
      </c>
      <c r="X68" s="3530">
        <v>563700</v>
      </c>
      <c r="Y68" s="3480">
        <v>2006</v>
      </c>
      <c r="Z68" s="3480">
        <v>4</v>
      </c>
      <c r="AA68" s="3480">
        <v>7</v>
      </c>
      <c r="AB68" s="3472">
        <v>1500</v>
      </c>
      <c r="AC68" s="3472" t="s">
        <v>3537</v>
      </c>
      <c r="AD68" s="3471"/>
      <c r="AE68" s="3483" t="s">
        <v>3447</v>
      </c>
      <c r="AF68" s="3476" t="s">
        <v>3636</v>
      </c>
      <c r="AG68" s="3481" t="s">
        <v>3448</v>
      </c>
      <c r="AH68" s="3471"/>
      <c r="AI68" s="3483" t="s">
        <v>3538</v>
      </c>
      <c r="AJ68" s="3503">
        <v>39066</v>
      </c>
      <c r="AK68" s="3482">
        <v>4</v>
      </c>
      <c r="AL68" s="3480">
        <v>67641700</v>
      </c>
      <c r="AM68" s="3480"/>
      <c r="AN68" s="3483" t="s">
        <v>3699</v>
      </c>
      <c r="AO68" s="3472"/>
      <c r="AP68" s="3483" t="s">
        <v>3450</v>
      </c>
      <c r="AQ68" s="3480" t="s">
        <v>3451</v>
      </c>
      <c r="AR68" s="3480" t="s">
        <v>3453</v>
      </c>
      <c r="AS68" s="3480" t="s">
        <v>3453</v>
      </c>
      <c r="AT68" s="3480" t="s">
        <v>3453</v>
      </c>
      <c r="AU68" s="3480"/>
      <c r="AV68" s="3480"/>
      <c r="AW68" s="3480" t="s">
        <v>3452</v>
      </c>
      <c r="AX68" s="3480" t="s">
        <v>3540</v>
      </c>
      <c r="AY68" s="3484" t="s">
        <v>4074</v>
      </c>
      <c r="AZ68" s="3472" t="s">
        <v>3453</v>
      </c>
      <c r="BA68" s="3532" t="s">
        <v>3453</v>
      </c>
      <c r="BB68" s="3533" t="s">
        <v>3453</v>
      </c>
      <c r="BC68" s="3532" t="s">
        <v>3453</v>
      </c>
      <c r="BD68" s="3534" t="s">
        <v>3453</v>
      </c>
      <c r="BE68" s="3480" t="s">
        <v>3453</v>
      </c>
      <c r="BF68" s="3486" t="s">
        <v>3453</v>
      </c>
      <c r="BG68" s="3535">
        <v>38798</v>
      </c>
      <c r="BH68" s="3472" t="s">
        <v>3453</v>
      </c>
      <c r="BI68" s="3472" t="s">
        <v>4075</v>
      </c>
      <c r="BJ68" s="3493">
        <v>38805</v>
      </c>
      <c r="BK68" s="3493"/>
      <c r="BL68" s="3472" t="s">
        <v>3454</v>
      </c>
      <c r="BM68" s="3480"/>
      <c r="BN68" s="3480"/>
      <c r="BO68" s="3480"/>
      <c r="BP68" s="3480"/>
      <c r="BQ68" s="3480">
        <v>7253</v>
      </c>
      <c r="BR68" s="3480">
        <v>7314</v>
      </c>
      <c r="BS68" s="3529"/>
      <c r="BT68" s="3529"/>
      <c r="BU68" s="3529"/>
    </row>
    <row r="69" spans="1:73" s="3490" customFormat="1" ht="12">
      <c r="A69" s="3472" t="s">
        <v>4076</v>
      </c>
      <c r="B69" s="3472" t="s">
        <v>4077</v>
      </c>
      <c r="C69" s="3473" t="s">
        <v>4078</v>
      </c>
      <c r="D69" s="3473" t="s">
        <v>4079</v>
      </c>
      <c r="E69" s="3492" t="s">
        <v>3446</v>
      </c>
      <c r="F69" s="3492" t="s">
        <v>3545</v>
      </c>
      <c r="G69" s="3472"/>
      <c r="H69" s="3492" t="s">
        <v>4080</v>
      </c>
      <c r="I69" s="3476" t="s">
        <v>4081</v>
      </c>
      <c r="J69" s="3472" t="s">
        <v>4082</v>
      </c>
      <c r="K69" s="3472" t="s">
        <v>3549</v>
      </c>
      <c r="L69" s="3472">
        <v>102.18</v>
      </c>
      <c r="M69" s="3472">
        <v>8</v>
      </c>
      <c r="N69" s="3472" t="s">
        <v>4060</v>
      </c>
      <c r="O69" s="3472">
        <v>86.36</v>
      </c>
      <c r="P69" s="3472" t="s">
        <v>3457</v>
      </c>
      <c r="Q69" s="3504">
        <v>674388</v>
      </c>
      <c r="R69" s="3472">
        <v>6600</v>
      </c>
      <c r="S69" s="3500">
        <v>66.92</v>
      </c>
      <c r="T69" s="3498">
        <v>669200</v>
      </c>
      <c r="U69" s="3472">
        <v>6550</v>
      </c>
      <c r="V69" s="3495">
        <v>0.2</v>
      </c>
      <c r="W69" s="3479">
        <v>53.53</v>
      </c>
      <c r="X69" s="3530">
        <v>535300</v>
      </c>
      <c r="Y69" s="3480">
        <v>2006</v>
      </c>
      <c r="Z69" s="3480">
        <v>4</v>
      </c>
      <c r="AA69" s="3480">
        <v>11</v>
      </c>
      <c r="AB69" s="3472">
        <v>1500</v>
      </c>
      <c r="AC69" s="3472" t="s">
        <v>3537</v>
      </c>
      <c r="AD69" s="3471"/>
      <c r="AE69" s="3483" t="s">
        <v>3447</v>
      </c>
      <c r="AF69" s="3476" t="s">
        <v>3591</v>
      </c>
      <c r="AG69" s="3481" t="s">
        <v>3448</v>
      </c>
      <c r="AH69" s="3471"/>
      <c r="AI69" s="3483" t="s">
        <v>3538</v>
      </c>
      <c r="AJ69" s="3503">
        <v>39066</v>
      </c>
      <c r="AK69" s="3482">
        <v>4</v>
      </c>
      <c r="AL69" s="3480">
        <v>67641700</v>
      </c>
      <c r="AM69" s="3480"/>
      <c r="AN69" s="3483" t="s">
        <v>3637</v>
      </c>
      <c r="AO69" s="3472"/>
      <c r="AP69" s="3483" t="s">
        <v>3450</v>
      </c>
      <c r="AQ69" s="3480" t="s">
        <v>3451</v>
      </c>
      <c r="AR69" s="3480" t="s">
        <v>3453</v>
      </c>
      <c r="AS69" s="3480" t="s">
        <v>3453</v>
      </c>
      <c r="AT69" s="3480" t="s">
        <v>3453</v>
      </c>
      <c r="AU69" s="3480"/>
      <c r="AV69" s="3480"/>
      <c r="AW69" s="3480" t="s">
        <v>3452</v>
      </c>
      <c r="AX69" s="3480" t="s">
        <v>3540</v>
      </c>
      <c r="AY69" s="3484" t="s">
        <v>4083</v>
      </c>
      <c r="AZ69" s="3472" t="s">
        <v>3453</v>
      </c>
      <c r="BA69" s="3532" t="s">
        <v>3453</v>
      </c>
      <c r="BB69" s="3533" t="s">
        <v>3453</v>
      </c>
      <c r="BC69" s="3532" t="s">
        <v>3453</v>
      </c>
      <c r="BD69" s="3534" t="s">
        <v>3453</v>
      </c>
      <c r="BE69" s="3480" t="s">
        <v>3453</v>
      </c>
      <c r="BF69" s="3486" t="s">
        <v>3453</v>
      </c>
      <c r="BG69" s="3535">
        <v>38801</v>
      </c>
      <c r="BH69" s="3472" t="s">
        <v>3453</v>
      </c>
      <c r="BI69" s="3487" t="s">
        <v>3627</v>
      </c>
      <c r="BJ69" s="3493">
        <v>38813</v>
      </c>
      <c r="BK69" s="3493"/>
      <c r="BL69" s="3472" t="s">
        <v>3454</v>
      </c>
      <c r="BM69" s="3480"/>
      <c r="BN69" s="3480"/>
      <c r="BO69" s="3480"/>
      <c r="BP69" s="3480"/>
      <c r="BQ69" s="3480">
        <v>7749</v>
      </c>
      <c r="BR69" s="3480">
        <v>7809</v>
      </c>
      <c r="BS69" s="3529"/>
      <c r="BT69" s="3529"/>
      <c r="BU69" s="3529"/>
    </row>
    <row r="70" spans="1:73" s="3490" customFormat="1" ht="12">
      <c r="A70" s="3472" t="s">
        <v>4084</v>
      </c>
      <c r="B70" s="3472" t="s">
        <v>4085</v>
      </c>
      <c r="C70" s="3473" t="s">
        <v>4086</v>
      </c>
      <c r="D70" s="3473" t="s">
        <v>4087</v>
      </c>
      <c r="E70" s="3492" t="s">
        <v>3446</v>
      </c>
      <c r="F70" s="3492" t="s">
        <v>3545</v>
      </c>
      <c r="G70" s="3472"/>
      <c r="H70" s="3492" t="s">
        <v>3706</v>
      </c>
      <c r="I70" s="3476" t="s">
        <v>4088</v>
      </c>
      <c r="J70" s="3472" t="s">
        <v>4089</v>
      </c>
      <c r="K70" s="3472" t="s">
        <v>3549</v>
      </c>
      <c r="L70" s="3472">
        <v>99.79</v>
      </c>
      <c r="M70" s="3472">
        <v>14</v>
      </c>
      <c r="N70" s="3472" t="s">
        <v>3656</v>
      </c>
      <c r="O70" s="3472">
        <v>82.23</v>
      </c>
      <c r="P70" s="3472" t="s">
        <v>3457</v>
      </c>
      <c r="Q70" s="3504">
        <v>546849</v>
      </c>
      <c r="R70" s="3472">
        <v>5480</v>
      </c>
      <c r="S70" s="3500">
        <v>54.18</v>
      </c>
      <c r="T70" s="3498">
        <v>541800</v>
      </c>
      <c r="U70" s="3472">
        <v>5430</v>
      </c>
      <c r="V70" s="3495">
        <v>0.2</v>
      </c>
      <c r="W70" s="3479">
        <v>43.34</v>
      </c>
      <c r="X70" s="3530">
        <v>433400.00000000006</v>
      </c>
      <c r="Y70" s="3480">
        <v>2006</v>
      </c>
      <c r="Z70" s="3480">
        <v>4</v>
      </c>
      <c r="AA70" s="3480">
        <v>11</v>
      </c>
      <c r="AB70" s="3472">
        <v>1500</v>
      </c>
      <c r="AC70" s="3472" t="s">
        <v>3537</v>
      </c>
      <c r="AD70" s="3471"/>
      <c r="AE70" s="3483" t="s">
        <v>3447</v>
      </c>
      <c r="AF70" s="3476" t="s">
        <v>3647</v>
      </c>
      <c r="AG70" s="3481" t="s">
        <v>3448</v>
      </c>
      <c r="AH70" s="3471"/>
      <c r="AI70" s="3483" t="s">
        <v>3538</v>
      </c>
      <c r="AJ70" s="3503">
        <v>38990</v>
      </c>
      <c r="AK70" s="3482">
        <v>4</v>
      </c>
      <c r="AL70" s="3480">
        <v>67641700</v>
      </c>
      <c r="AM70" s="3480"/>
      <c r="AN70" s="3483" t="s">
        <v>3625</v>
      </c>
      <c r="AO70" s="3472"/>
      <c r="AP70" s="3483" t="s">
        <v>3450</v>
      </c>
      <c r="AQ70" s="3480" t="s">
        <v>3451</v>
      </c>
      <c r="AR70" s="3480" t="s">
        <v>3453</v>
      </c>
      <c r="AS70" s="3480" t="s">
        <v>3453</v>
      </c>
      <c r="AT70" s="3480" t="s">
        <v>3453</v>
      </c>
      <c r="AU70" s="3480"/>
      <c r="AV70" s="3480"/>
      <c r="AW70" s="3480" t="s">
        <v>3452</v>
      </c>
      <c r="AX70" s="3480" t="s">
        <v>3540</v>
      </c>
      <c r="AY70" s="3484" t="s">
        <v>4090</v>
      </c>
      <c r="AZ70" s="3472" t="s">
        <v>3453</v>
      </c>
      <c r="BA70" s="3532" t="s">
        <v>3453</v>
      </c>
      <c r="BB70" s="3533" t="s">
        <v>3453</v>
      </c>
      <c r="BC70" s="3532" t="s">
        <v>3453</v>
      </c>
      <c r="BD70" s="3534" t="s">
        <v>3453</v>
      </c>
      <c r="BE70" s="3480" t="s">
        <v>3453</v>
      </c>
      <c r="BF70" s="3486" t="s">
        <v>3453</v>
      </c>
      <c r="BG70" s="3535">
        <v>38797</v>
      </c>
      <c r="BH70" s="3472" t="s">
        <v>3453</v>
      </c>
      <c r="BI70" s="3487" t="s">
        <v>3627</v>
      </c>
      <c r="BJ70" s="3493">
        <v>38817</v>
      </c>
      <c r="BK70" s="3493"/>
      <c r="BL70" s="3472" t="s">
        <v>3454</v>
      </c>
      <c r="BM70" s="3480"/>
      <c r="BN70" s="3480"/>
      <c r="BO70" s="3480"/>
      <c r="BP70" s="3480"/>
      <c r="BQ70" s="3480">
        <v>6589</v>
      </c>
      <c r="BR70" s="3480">
        <v>6650</v>
      </c>
      <c r="BS70" s="3529"/>
      <c r="BT70" s="3529"/>
      <c r="BU70" s="3529"/>
    </row>
    <row r="71" spans="1:73" s="3490" customFormat="1" ht="12">
      <c r="A71" s="3472" t="s">
        <v>4091</v>
      </c>
      <c r="B71" s="3472" t="s">
        <v>4092</v>
      </c>
      <c r="C71" s="3473" t="s">
        <v>4093</v>
      </c>
      <c r="D71" s="3473" t="s">
        <v>4094</v>
      </c>
      <c r="E71" s="3492" t="s">
        <v>3446</v>
      </c>
      <c r="F71" s="3492" t="s">
        <v>3545</v>
      </c>
      <c r="G71" s="3472"/>
      <c r="H71" s="3492" t="s">
        <v>4095</v>
      </c>
      <c r="I71" s="3476" t="s">
        <v>4096</v>
      </c>
      <c r="J71" s="3472" t="s">
        <v>3645</v>
      </c>
      <c r="K71" s="3472" t="s">
        <v>3549</v>
      </c>
      <c r="L71" s="3472">
        <v>127.59</v>
      </c>
      <c r="M71" s="3472">
        <v>12</v>
      </c>
      <c r="N71" s="3472" t="s">
        <v>3690</v>
      </c>
      <c r="O71" s="3472">
        <v>107.84</v>
      </c>
      <c r="P71" s="3472" t="s">
        <v>3457</v>
      </c>
      <c r="Q71" s="3504">
        <v>849749</v>
      </c>
      <c r="R71" s="3472">
        <v>6660</v>
      </c>
      <c r="S71" s="3500">
        <v>84.33</v>
      </c>
      <c r="T71" s="3498">
        <v>843300</v>
      </c>
      <c r="U71" s="3472">
        <v>6610</v>
      </c>
      <c r="V71" s="3495">
        <v>0.2</v>
      </c>
      <c r="W71" s="3479">
        <v>67.459999999999994</v>
      </c>
      <c r="X71" s="3530">
        <v>674599.99999999988</v>
      </c>
      <c r="Y71" s="3480">
        <v>2006</v>
      </c>
      <c r="Z71" s="3480">
        <v>4</v>
      </c>
      <c r="AA71" s="3480">
        <v>12</v>
      </c>
      <c r="AB71" s="3472">
        <v>1500</v>
      </c>
      <c r="AC71" s="3472" t="s">
        <v>3537</v>
      </c>
      <c r="AD71" s="3471"/>
      <c r="AE71" s="3483" t="s">
        <v>3447</v>
      </c>
      <c r="AF71" s="3476" t="s">
        <v>3636</v>
      </c>
      <c r="AG71" s="3481" t="s">
        <v>3448</v>
      </c>
      <c r="AH71" s="3471"/>
      <c r="AI71" s="3483" t="s">
        <v>3538</v>
      </c>
      <c r="AJ71" s="3503">
        <v>39066</v>
      </c>
      <c r="AK71" s="3482">
        <v>4</v>
      </c>
      <c r="AL71" s="3480">
        <v>67641700</v>
      </c>
      <c r="AM71" s="3480"/>
      <c r="AN71" s="3483" t="s">
        <v>3625</v>
      </c>
      <c r="AO71" s="3472"/>
      <c r="AP71" s="3483" t="s">
        <v>3450</v>
      </c>
      <c r="AQ71" s="3480" t="s">
        <v>3451</v>
      </c>
      <c r="AR71" s="3480" t="s">
        <v>3453</v>
      </c>
      <c r="AS71" s="3480" t="s">
        <v>3453</v>
      </c>
      <c r="AT71" s="3480" t="s">
        <v>3453</v>
      </c>
      <c r="AU71" s="3480"/>
      <c r="AV71" s="3480"/>
      <c r="AW71" s="3480" t="s">
        <v>3452</v>
      </c>
      <c r="AX71" s="3480" t="s">
        <v>3540</v>
      </c>
      <c r="AY71" s="3484" t="s">
        <v>4097</v>
      </c>
      <c r="AZ71" s="3472" t="s">
        <v>3453</v>
      </c>
      <c r="BA71" s="3532" t="s">
        <v>3453</v>
      </c>
      <c r="BB71" s="3533" t="s">
        <v>3453</v>
      </c>
      <c r="BC71" s="3532" t="s">
        <v>3453</v>
      </c>
      <c r="BD71" s="3534" t="s">
        <v>3453</v>
      </c>
      <c r="BE71" s="3480" t="s">
        <v>3453</v>
      </c>
      <c r="BF71" s="3486" t="s">
        <v>3453</v>
      </c>
      <c r="BG71" s="3535">
        <v>38802</v>
      </c>
      <c r="BH71" s="3472" t="s">
        <v>3453</v>
      </c>
      <c r="BI71" s="3487" t="s">
        <v>3627</v>
      </c>
      <c r="BJ71" s="3493">
        <v>38817</v>
      </c>
      <c r="BK71" s="3493"/>
      <c r="BL71" s="3472" t="s">
        <v>3454</v>
      </c>
      <c r="BM71" s="3480"/>
      <c r="BN71" s="3480"/>
      <c r="BO71" s="3480"/>
      <c r="BP71" s="3480"/>
      <c r="BQ71" s="3480">
        <v>7820</v>
      </c>
      <c r="BR71" s="3480">
        <v>7880</v>
      </c>
      <c r="BS71" s="3529"/>
      <c r="BT71" s="3529"/>
      <c r="BU71" s="3529"/>
    </row>
    <row r="72" spans="1:73" s="3490" customFormat="1" ht="12">
      <c r="A72" s="3472" t="s">
        <v>4098</v>
      </c>
      <c r="B72" s="3472" t="s">
        <v>4099</v>
      </c>
      <c r="C72" s="3473" t="s">
        <v>4100</v>
      </c>
      <c r="D72" s="3473" t="s">
        <v>4101</v>
      </c>
      <c r="E72" s="3492" t="s">
        <v>3446</v>
      </c>
      <c r="F72" s="3492" t="s">
        <v>3545</v>
      </c>
      <c r="G72" s="3472"/>
      <c r="H72" s="3471" t="s">
        <v>4095</v>
      </c>
      <c r="I72" s="3476" t="s">
        <v>4102</v>
      </c>
      <c r="J72" s="3472" t="s">
        <v>3623</v>
      </c>
      <c r="K72" s="3472" t="s">
        <v>3549</v>
      </c>
      <c r="L72" s="3472">
        <v>90.58</v>
      </c>
      <c r="M72" s="3472">
        <v>4</v>
      </c>
      <c r="N72" s="3472" t="s">
        <v>3568</v>
      </c>
      <c r="O72" s="3472">
        <v>76.56</v>
      </c>
      <c r="P72" s="3472" t="s">
        <v>3457</v>
      </c>
      <c r="Q72" s="3504">
        <v>565219</v>
      </c>
      <c r="R72" s="3472">
        <v>6240</v>
      </c>
      <c r="S72" s="3500">
        <v>56.06</v>
      </c>
      <c r="T72" s="3498">
        <v>560600</v>
      </c>
      <c r="U72" s="3472">
        <v>6190</v>
      </c>
      <c r="V72" s="3495">
        <v>0.2</v>
      </c>
      <c r="W72" s="3479">
        <v>44.84</v>
      </c>
      <c r="X72" s="3530">
        <v>448400.00000000006</v>
      </c>
      <c r="Y72" s="3480">
        <v>2006</v>
      </c>
      <c r="Z72" s="3480">
        <v>4</v>
      </c>
      <c r="AA72" s="3480">
        <v>17</v>
      </c>
      <c r="AB72" s="3472">
        <v>1500</v>
      </c>
      <c r="AC72" s="3472" t="s">
        <v>3657</v>
      </c>
      <c r="AD72" s="3471"/>
      <c r="AE72" s="3483" t="s">
        <v>3447</v>
      </c>
      <c r="AF72" s="3476" t="s">
        <v>3709</v>
      </c>
      <c r="AG72" s="3481" t="s">
        <v>3448</v>
      </c>
      <c r="AH72" s="3471"/>
      <c r="AI72" s="3483" t="s">
        <v>3538</v>
      </c>
      <c r="AJ72" s="3503">
        <v>39066</v>
      </c>
      <c r="AK72" s="3482">
        <v>4</v>
      </c>
      <c r="AL72" s="3480">
        <v>67641700</v>
      </c>
      <c r="AM72" s="3480"/>
      <c r="AN72" s="3472" t="s">
        <v>3658</v>
      </c>
      <c r="AO72" s="3472"/>
      <c r="AP72" s="3483" t="s">
        <v>3450</v>
      </c>
      <c r="AQ72" s="3480" t="s">
        <v>3451</v>
      </c>
      <c r="AR72" s="3480" t="s">
        <v>3453</v>
      </c>
      <c r="AS72" s="3480" t="s">
        <v>3453</v>
      </c>
      <c r="AT72" s="3480" t="s">
        <v>3453</v>
      </c>
      <c r="AU72" s="3480"/>
      <c r="AV72" s="3480"/>
      <c r="AW72" s="3480" t="s">
        <v>3452</v>
      </c>
      <c r="AX72" s="3480" t="s">
        <v>3540</v>
      </c>
      <c r="AY72" s="3484" t="s">
        <v>4103</v>
      </c>
      <c r="AZ72" s="3471" t="s">
        <v>3453</v>
      </c>
      <c r="BA72" s="3532" t="s">
        <v>3453</v>
      </c>
      <c r="BB72" s="3533" t="s">
        <v>3453</v>
      </c>
      <c r="BC72" s="3532" t="s">
        <v>3453</v>
      </c>
      <c r="BD72" s="3534" t="s">
        <v>3453</v>
      </c>
      <c r="BE72" s="3480" t="s">
        <v>3453</v>
      </c>
      <c r="BF72" s="3486" t="s">
        <v>3453</v>
      </c>
      <c r="BG72" s="3535">
        <v>38807</v>
      </c>
      <c r="BH72" s="3472" t="s">
        <v>3453</v>
      </c>
      <c r="BI72" s="3472" t="s">
        <v>3572</v>
      </c>
      <c r="BJ72" s="3493">
        <v>38819</v>
      </c>
      <c r="BK72" s="3493"/>
      <c r="BL72" s="3472" t="s">
        <v>3454</v>
      </c>
      <c r="BM72" s="3480"/>
      <c r="BN72" s="3480"/>
      <c r="BO72" s="3480"/>
      <c r="BP72" s="3480"/>
      <c r="BQ72" s="3480">
        <v>7322</v>
      </c>
      <c r="BR72" s="3480">
        <v>7383</v>
      </c>
      <c r="BS72" s="3529"/>
      <c r="BT72" s="3529"/>
      <c r="BU72" s="3529"/>
    </row>
    <row r="73" spans="1:73" s="3490" customFormat="1" ht="12">
      <c r="A73" s="3472" t="s">
        <v>4104</v>
      </c>
      <c r="B73" s="3472" t="s">
        <v>4105</v>
      </c>
      <c r="C73" s="3473" t="s">
        <v>4106</v>
      </c>
      <c r="D73" s="3473" t="s">
        <v>4107</v>
      </c>
      <c r="E73" s="3492" t="s">
        <v>3446</v>
      </c>
      <c r="F73" s="3492" t="s">
        <v>3545</v>
      </c>
      <c r="G73" s="3472"/>
      <c r="H73" s="3471" t="s">
        <v>3687</v>
      </c>
      <c r="I73" s="3476" t="s">
        <v>4108</v>
      </c>
      <c r="J73" s="3472" t="s">
        <v>4109</v>
      </c>
      <c r="K73" s="3472" t="s">
        <v>3549</v>
      </c>
      <c r="L73" s="3472">
        <v>90.62</v>
      </c>
      <c r="M73" s="3472">
        <v>9</v>
      </c>
      <c r="N73" s="3472" t="s">
        <v>3773</v>
      </c>
      <c r="O73" s="3472">
        <v>76.56</v>
      </c>
      <c r="P73" s="3472" t="s">
        <v>3457</v>
      </c>
      <c r="Q73" s="3504">
        <v>557313</v>
      </c>
      <c r="R73" s="3472">
        <v>6150</v>
      </c>
      <c r="S73" s="3500">
        <v>55.27</v>
      </c>
      <c r="T73" s="3498">
        <v>552700</v>
      </c>
      <c r="U73" s="3472">
        <v>6100</v>
      </c>
      <c r="V73" s="3495">
        <v>0.2</v>
      </c>
      <c r="W73" s="3479">
        <v>44.21</v>
      </c>
      <c r="X73" s="3530">
        <v>442100</v>
      </c>
      <c r="Y73" s="3480">
        <v>2006</v>
      </c>
      <c r="Z73" s="3480">
        <v>4</v>
      </c>
      <c r="AA73" s="3480">
        <v>17</v>
      </c>
      <c r="AB73" s="3472">
        <v>1500</v>
      </c>
      <c r="AC73" s="3472" t="s">
        <v>3590</v>
      </c>
      <c r="AD73" s="3471"/>
      <c r="AE73" s="3483" t="s">
        <v>3447</v>
      </c>
      <c r="AF73" s="3476" t="s">
        <v>3709</v>
      </c>
      <c r="AG73" s="3481" t="s">
        <v>3448</v>
      </c>
      <c r="AH73" s="3471"/>
      <c r="AI73" s="3483" t="s">
        <v>3538</v>
      </c>
      <c r="AJ73" s="3503">
        <v>39051</v>
      </c>
      <c r="AK73" s="3482">
        <v>4</v>
      </c>
      <c r="AL73" s="3480">
        <v>67641700</v>
      </c>
      <c r="AM73" s="3480"/>
      <c r="AN73" s="3472" t="s">
        <v>3658</v>
      </c>
      <c r="AO73" s="3472"/>
      <c r="AP73" s="3483" t="s">
        <v>3450</v>
      </c>
      <c r="AQ73" s="3480" t="s">
        <v>3451</v>
      </c>
      <c r="AR73" s="3480" t="s">
        <v>3453</v>
      </c>
      <c r="AS73" s="3480" t="s">
        <v>3453</v>
      </c>
      <c r="AT73" s="3480" t="s">
        <v>3453</v>
      </c>
      <c r="AU73" s="3480"/>
      <c r="AV73" s="3480"/>
      <c r="AW73" s="3480" t="s">
        <v>3452</v>
      </c>
      <c r="AX73" s="3480" t="s">
        <v>3540</v>
      </c>
      <c r="AY73" s="3484" t="s">
        <v>4110</v>
      </c>
      <c r="AZ73" s="3471" t="s">
        <v>3453</v>
      </c>
      <c r="BA73" s="3532" t="s">
        <v>3453</v>
      </c>
      <c r="BB73" s="3533" t="s">
        <v>3453</v>
      </c>
      <c r="BC73" s="3532" t="s">
        <v>3453</v>
      </c>
      <c r="BD73" s="3534" t="s">
        <v>3453</v>
      </c>
      <c r="BE73" s="3480" t="s">
        <v>3453</v>
      </c>
      <c r="BF73" s="3486" t="s">
        <v>3453</v>
      </c>
      <c r="BG73" s="3535">
        <v>38789</v>
      </c>
      <c r="BH73" s="3472" t="s">
        <v>3453</v>
      </c>
      <c r="BI73" s="3472" t="s">
        <v>3850</v>
      </c>
      <c r="BJ73" s="3493">
        <v>38820</v>
      </c>
      <c r="BK73" s="3493"/>
      <c r="BL73" s="3472" t="s">
        <v>3454</v>
      </c>
      <c r="BM73" s="3480"/>
      <c r="BN73" s="3480"/>
      <c r="BO73" s="3480"/>
      <c r="BP73" s="3480"/>
      <c r="BQ73" s="3480">
        <v>7219</v>
      </c>
      <c r="BR73" s="3480">
        <v>7279</v>
      </c>
      <c r="BS73" s="3529"/>
      <c r="BT73" s="3529"/>
      <c r="BU73" s="3529"/>
    </row>
    <row r="74" spans="1:73" s="3490" customFormat="1" ht="12">
      <c r="A74" s="3472" t="s">
        <v>4111</v>
      </c>
      <c r="B74" s="3472" t="s">
        <v>4112</v>
      </c>
      <c r="C74" s="3473" t="s">
        <v>4113</v>
      </c>
      <c r="D74" s="3473" t="s">
        <v>4114</v>
      </c>
      <c r="E74" s="3492" t="s">
        <v>3446</v>
      </c>
      <c r="F74" s="3492" t="s">
        <v>3545</v>
      </c>
      <c r="G74" s="3472"/>
      <c r="H74" s="3471" t="s">
        <v>4080</v>
      </c>
      <c r="I74" s="3476" t="s">
        <v>4115</v>
      </c>
      <c r="J74" s="3472" t="s">
        <v>4116</v>
      </c>
      <c r="K74" s="3472" t="s">
        <v>3549</v>
      </c>
      <c r="L74" s="3472">
        <v>93.6</v>
      </c>
      <c r="M74" s="3472">
        <v>11</v>
      </c>
      <c r="N74" s="3472" t="s">
        <v>3568</v>
      </c>
      <c r="O74" s="3472">
        <v>79.11</v>
      </c>
      <c r="P74" s="3472" t="s">
        <v>3457</v>
      </c>
      <c r="Q74" s="3504">
        <v>662688</v>
      </c>
      <c r="R74" s="3472">
        <v>7080</v>
      </c>
      <c r="S74" s="3500">
        <v>65.7</v>
      </c>
      <c r="T74" s="3498">
        <v>657000</v>
      </c>
      <c r="U74" s="3472">
        <v>7020</v>
      </c>
      <c r="V74" s="3495">
        <v>0.2</v>
      </c>
      <c r="W74" s="3479">
        <v>52.56</v>
      </c>
      <c r="X74" s="3530">
        <v>525600</v>
      </c>
      <c r="Y74" s="3480">
        <v>2006</v>
      </c>
      <c r="Z74" s="3480">
        <v>4</v>
      </c>
      <c r="AA74" s="3480">
        <v>17</v>
      </c>
      <c r="AB74" s="3472">
        <v>1500</v>
      </c>
      <c r="AC74" s="3472" t="s">
        <v>3590</v>
      </c>
      <c r="AD74" s="3471"/>
      <c r="AE74" s="3483" t="s">
        <v>3447</v>
      </c>
      <c r="AF74" s="3476" t="s">
        <v>3647</v>
      </c>
      <c r="AG74" s="3481" t="s">
        <v>3448</v>
      </c>
      <c r="AH74" s="3471"/>
      <c r="AI74" s="3483" t="s">
        <v>3538</v>
      </c>
      <c r="AJ74" s="3503">
        <v>39066</v>
      </c>
      <c r="AK74" s="3482">
        <v>4</v>
      </c>
      <c r="AL74" s="3480">
        <v>67641700</v>
      </c>
      <c r="AM74" s="3480"/>
      <c r="AN74" s="3472" t="s">
        <v>3570</v>
      </c>
      <c r="AO74" s="3472"/>
      <c r="AP74" s="3483" t="s">
        <v>3450</v>
      </c>
      <c r="AQ74" s="3480" t="s">
        <v>3451</v>
      </c>
      <c r="AR74" s="3480" t="s">
        <v>3453</v>
      </c>
      <c r="AS74" s="3480" t="s">
        <v>3453</v>
      </c>
      <c r="AT74" s="3480" t="s">
        <v>3453</v>
      </c>
      <c r="AU74" s="3480"/>
      <c r="AV74" s="3480"/>
      <c r="AW74" s="3480" t="s">
        <v>3452</v>
      </c>
      <c r="AX74" s="3480" t="s">
        <v>3540</v>
      </c>
      <c r="AY74" s="3484" t="s">
        <v>4117</v>
      </c>
      <c r="AZ74" s="3471" t="s">
        <v>3453</v>
      </c>
      <c r="BA74" s="3532" t="s">
        <v>3453</v>
      </c>
      <c r="BB74" s="3533" t="s">
        <v>3453</v>
      </c>
      <c r="BC74" s="3532" t="s">
        <v>3453</v>
      </c>
      <c r="BD74" s="3534" t="s">
        <v>3453</v>
      </c>
      <c r="BE74" s="3480" t="s">
        <v>3453</v>
      </c>
      <c r="BF74" s="3486" t="s">
        <v>3453</v>
      </c>
      <c r="BG74" s="3535">
        <v>38801</v>
      </c>
      <c r="BH74" s="3472" t="s">
        <v>3453</v>
      </c>
      <c r="BI74" s="3472" t="s">
        <v>3850</v>
      </c>
      <c r="BJ74" s="3493">
        <v>38820</v>
      </c>
      <c r="BK74" s="3493"/>
      <c r="BL74" s="3472" t="s">
        <v>3454</v>
      </c>
      <c r="BM74" s="3480"/>
      <c r="BN74" s="3480"/>
      <c r="BO74" s="3480"/>
      <c r="BP74" s="3480"/>
      <c r="BQ74" s="3480">
        <v>8305</v>
      </c>
      <c r="BR74" s="3480">
        <v>8377</v>
      </c>
      <c r="BS74" s="3529"/>
      <c r="BT74" s="3529"/>
      <c r="BU74" s="3529"/>
    </row>
    <row r="75" spans="1:73" s="3490" customFormat="1" ht="12">
      <c r="A75" s="3472" t="s">
        <v>4118</v>
      </c>
      <c r="B75" s="3472" t="s">
        <v>4119</v>
      </c>
      <c r="C75" s="3473" t="s">
        <v>4120</v>
      </c>
      <c r="D75" s="3473" t="s">
        <v>4121</v>
      </c>
      <c r="E75" s="3492" t="s">
        <v>3446</v>
      </c>
      <c r="F75" s="3492" t="s">
        <v>3545</v>
      </c>
      <c r="G75" s="3472"/>
      <c r="H75" s="3471" t="s">
        <v>4095</v>
      </c>
      <c r="I75" s="3476" t="s">
        <v>4122</v>
      </c>
      <c r="J75" s="3472" t="s">
        <v>4123</v>
      </c>
      <c r="K75" s="3472" t="s">
        <v>3549</v>
      </c>
      <c r="L75" s="3472">
        <v>102.18</v>
      </c>
      <c r="M75" s="3472">
        <v>16</v>
      </c>
      <c r="N75" s="3472" t="s">
        <v>3577</v>
      </c>
      <c r="O75" s="3472">
        <v>86.36</v>
      </c>
      <c r="P75" s="3472" t="s">
        <v>3457</v>
      </c>
      <c r="Q75" s="3504">
        <v>664170</v>
      </c>
      <c r="R75" s="3472">
        <v>6500</v>
      </c>
      <c r="S75" s="3500">
        <v>65.900000000000006</v>
      </c>
      <c r="T75" s="3498">
        <v>659000</v>
      </c>
      <c r="U75" s="3472">
        <v>6450</v>
      </c>
      <c r="V75" s="3495">
        <v>0.1</v>
      </c>
      <c r="W75" s="3479">
        <v>59.31</v>
      </c>
      <c r="X75" s="3530">
        <v>593100</v>
      </c>
      <c r="Y75" s="3480">
        <v>2006</v>
      </c>
      <c r="Z75" s="3480">
        <v>4</v>
      </c>
      <c r="AA75" s="3480">
        <v>17</v>
      </c>
      <c r="AB75" s="3472">
        <v>1500</v>
      </c>
      <c r="AC75" s="3472" t="s">
        <v>3657</v>
      </c>
      <c r="AD75" s="3471"/>
      <c r="AE75" s="3483" t="s">
        <v>3447</v>
      </c>
      <c r="AF75" s="3476" t="s">
        <v>3709</v>
      </c>
      <c r="AG75" s="3481" t="s">
        <v>3448</v>
      </c>
      <c r="AH75" s="3471"/>
      <c r="AI75" s="3483" t="s">
        <v>3538</v>
      </c>
      <c r="AJ75" s="3503">
        <v>39066</v>
      </c>
      <c r="AK75" s="3482">
        <v>4</v>
      </c>
      <c r="AL75" s="3480">
        <v>67641700</v>
      </c>
      <c r="AM75" s="3480"/>
      <c r="AN75" s="3472" t="s">
        <v>3658</v>
      </c>
      <c r="AO75" s="3472"/>
      <c r="AP75" s="3483" t="s">
        <v>3450</v>
      </c>
      <c r="AQ75" s="3480" t="s">
        <v>3451</v>
      </c>
      <c r="AR75" s="3480" t="s">
        <v>3453</v>
      </c>
      <c r="AS75" s="3480" t="s">
        <v>3453</v>
      </c>
      <c r="AT75" s="3480" t="s">
        <v>3453</v>
      </c>
      <c r="AU75" s="3480"/>
      <c r="AV75" s="3480"/>
      <c r="AW75" s="3480" t="s">
        <v>3452</v>
      </c>
      <c r="AX75" s="3480" t="s">
        <v>3540</v>
      </c>
      <c r="AY75" s="3484" t="s">
        <v>4124</v>
      </c>
      <c r="AZ75" s="3471" t="s">
        <v>3453</v>
      </c>
      <c r="BA75" s="3532" t="s">
        <v>3453</v>
      </c>
      <c r="BB75" s="3533" t="s">
        <v>3453</v>
      </c>
      <c r="BC75" s="3532" t="s">
        <v>3453</v>
      </c>
      <c r="BD75" s="3534" t="s">
        <v>3453</v>
      </c>
      <c r="BE75" s="3480" t="s">
        <v>3453</v>
      </c>
      <c r="BF75" s="3486" t="s">
        <v>3453</v>
      </c>
      <c r="BG75" s="3535">
        <v>38807</v>
      </c>
      <c r="BH75" s="3472" t="s">
        <v>3453</v>
      </c>
      <c r="BI75" s="3472" t="s">
        <v>3850</v>
      </c>
      <c r="BJ75" s="3493">
        <v>38807</v>
      </c>
      <c r="BK75" s="3493"/>
      <c r="BL75" s="3472" t="s">
        <v>3454</v>
      </c>
      <c r="BM75" s="3480"/>
      <c r="BN75" s="3480"/>
      <c r="BO75" s="3480"/>
      <c r="BP75" s="3480"/>
      <c r="BQ75" s="3480">
        <v>7631</v>
      </c>
      <c r="BR75" s="3480">
        <v>7691</v>
      </c>
      <c r="BS75" s="3529"/>
      <c r="BT75" s="3529"/>
      <c r="BU75" s="3529"/>
    </row>
    <row r="76" spans="1:73" s="3490" customFormat="1" ht="13.2">
      <c r="A76" s="3472" t="s">
        <v>4125</v>
      </c>
      <c r="B76" s="3472" t="s">
        <v>4126</v>
      </c>
      <c r="C76" s="3473" t="s">
        <v>4127</v>
      </c>
      <c r="D76" s="3473" t="s">
        <v>4128</v>
      </c>
      <c r="E76" s="3492" t="s">
        <v>3446</v>
      </c>
      <c r="F76" s="3492" t="s">
        <v>3678</v>
      </c>
      <c r="G76" s="3472"/>
      <c r="H76" s="3492" t="s">
        <v>3597</v>
      </c>
      <c r="I76" s="3476" t="s">
        <v>4129</v>
      </c>
      <c r="J76" s="3472" t="s">
        <v>4130</v>
      </c>
      <c r="K76" s="3472" t="s">
        <v>3549</v>
      </c>
      <c r="L76" s="3472">
        <v>96.06</v>
      </c>
      <c r="M76" s="3472">
        <v>17</v>
      </c>
      <c r="N76" s="3472" t="s">
        <v>3568</v>
      </c>
      <c r="O76" s="3472">
        <v>77</v>
      </c>
      <c r="P76" s="3472" t="s">
        <v>3457</v>
      </c>
      <c r="Q76" s="3504">
        <v>557148</v>
      </c>
      <c r="R76" s="3472">
        <v>5800</v>
      </c>
      <c r="S76" s="3500">
        <v>55.23</v>
      </c>
      <c r="T76" s="3498">
        <v>552300</v>
      </c>
      <c r="U76" s="3472">
        <v>5750</v>
      </c>
      <c r="V76" s="3495">
        <v>0.2</v>
      </c>
      <c r="W76" s="3479">
        <v>44.18</v>
      </c>
      <c r="X76" s="3530">
        <v>441800</v>
      </c>
      <c r="Y76" s="3480">
        <v>2006</v>
      </c>
      <c r="Z76" s="3480">
        <v>4</v>
      </c>
      <c r="AA76" s="3480">
        <v>17</v>
      </c>
      <c r="AB76" s="3472">
        <v>1500</v>
      </c>
      <c r="AC76" s="3472" t="s">
        <v>3590</v>
      </c>
      <c r="AD76" s="3471"/>
      <c r="AE76" s="3483" t="s">
        <v>3447</v>
      </c>
      <c r="AF76" s="3476" t="s">
        <v>3709</v>
      </c>
      <c r="AG76" s="3481" t="s">
        <v>3448</v>
      </c>
      <c r="AH76" s="3471"/>
      <c r="AI76" s="3483" t="s">
        <v>3538</v>
      </c>
      <c r="AJ76" s="3503">
        <v>39082</v>
      </c>
      <c r="AK76" s="3482">
        <v>4</v>
      </c>
      <c r="AL76" s="3480">
        <v>67641700</v>
      </c>
      <c r="AM76" s="3480"/>
      <c r="AN76" s="3472" t="s">
        <v>3570</v>
      </c>
      <c r="AO76" s="3472"/>
      <c r="AP76" s="3483" t="s">
        <v>3450</v>
      </c>
      <c r="AQ76" s="3480" t="s">
        <v>3451</v>
      </c>
      <c r="AR76" s="3480" t="s">
        <v>3453</v>
      </c>
      <c r="AS76" s="3480" t="s">
        <v>3453</v>
      </c>
      <c r="AT76" s="3480" t="s">
        <v>3453</v>
      </c>
      <c r="AU76" s="3480"/>
      <c r="AV76" s="3480"/>
      <c r="AW76" s="3480" t="s">
        <v>3452</v>
      </c>
      <c r="AX76" s="3480" t="s">
        <v>3540</v>
      </c>
      <c r="AY76" s="3484" t="s">
        <v>4131</v>
      </c>
      <c r="AZ76" s="3472" t="s">
        <v>3453</v>
      </c>
      <c r="BA76" s="3532" t="s">
        <v>3453</v>
      </c>
      <c r="BB76" s="3533" t="s">
        <v>3453</v>
      </c>
      <c r="BC76" s="3532" t="s">
        <v>3453</v>
      </c>
      <c r="BD76" s="3534" t="s">
        <v>3453</v>
      </c>
      <c r="BE76" s="3480" t="s">
        <v>3453</v>
      </c>
      <c r="BF76" s="3486" t="s">
        <v>3453</v>
      </c>
      <c r="BG76" s="3535">
        <v>38815</v>
      </c>
      <c r="BH76" s="3472" t="s">
        <v>3453</v>
      </c>
      <c r="BI76" s="3472" t="s">
        <v>3572</v>
      </c>
      <c r="BJ76" s="3493">
        <v>38819</v>
      </c>
      <c r="BK76" s="3493"/>
      <c r="BL76" s="3472" t="s">
        <v>3454</v>
      </c>
      <c r="BM76" s="3480"/>
      <c r="BN76" s="3480"/>
      <c r="BO76" s="3480"/>
      <c r="BP76" s="3480"/>
      <c r="BQ76" s="3480">
        <v>7173</v>
      </c>
      <c r="BR76" s="3480">
        <v>7236</v>
      </c>
      <c r="BS76" s="3529"/>
      <c r="BT76" s="3529"/>
      <c r="BU76" s="3529"/>
    </row>
    <row r="77" spans="1:73" s="3490" customFormat="1" ht="12">
      <c r="A77" s="3472" t="s">
        <v>4132</v>
      </c>
      <c r="B77" s="3472" t="s">
        <v>4133</v>
      </c>
      <c r="C77" s="3473" t="s">
        <v>4134</v>
      </c>
      <c r="D77" s="3473" t="s">
        <v>4135</v>
      </c>
      <c r="E77" s="3492" t="s">
        <v>3446</v>
      </c>
      <c r="F77" s="3492" t="s">
        <v>3545</v>
      </c>
      <c r="G77" s="3472"/>
      <c r="H77" s="3492" t="s">
        <v>4080</v>
      </c>
      <c r="I77" s="3476" t="s">
        <v>4096</v>
      </c>
      <c r="J77" s="3472" t="s">
        <v>3907</v>
      </c>
      <c r="K77" s="3472" t="s">
        <v>3549</v>
      </c>
      <c r="L77" s="3472">
        <v>126.34</v>
      </c>
      <c r="M77" s="3472">
        <v>12</v>
      </c>
      <c r="N77" s="3472" t="s">
        <v>3690</v>
      </c>
      <c r="O77" s="3472">
        <v>106.78</v>
      </c>
      <c r="P77" s="3472" t="s">
        <v>3457</v>
      </c>
      <c r="Q77" s="3504">
        <v>850268</v>
      </c>
      <c r="R77" s="3472">
        <v>6730</v>
      </c>
      <c r="S77" s="3500">
        <v>84.39</v>
      </c>
      <c r="T77" s="3498">
        <v>843900</v>
      </c>
      <c r="U77" s="3472">
        <v>6680</v>
      </c>
      <c r="V77" s="3495">
        <v>0.2</v>
      </c>
      <c r="W77" s="3479">
        <v>67.510000000000005</v>
      </c>
      <c r="X77" s="3530">
        <v>675100</v>
      </c>
      <c r="Y77" s="3480">
        <v>2006</v>
      </c>
      <c r="Z77" s="3480">
        <v>4</v>
      </c>
      <c r="AA77" s="3480">
        <v>18</v>
      </c>
      <c r="AB77" s="3472">
        <v>1500</v>
      </c>
      <c r="AC77" s="3472" t="s">
        <v>3537</v>
      </c>
      <c r="AD77" s="3471"/>
      <c r="AE77" s="3483" t="s">
        <v>3447</v>
      </c>
      <c r="AF77" s="3476" t="s">
        <v>3591</v>
      </c>
      <c r="AG77" s="3481" t="s">
        <v>3448</v>
      </c>
      <c r="AH77" s="3471"/>
      <c r="AI77" s="3483" t="s">
        <v>3538</v>
      </c>
      <c r="AJ77" s="3503">
        <v>39066</v>
      </c>
      <c r="AK77" s="3482">
        <v>4</v>
      </c>
      <c r="AL77" s="3480">
        <v>67641700</v>
      </c>
      <c r="AM77" s="3480"/>
      <c r="AN77" s="3483" t="s">
        <v>3658</v>
      </c>
      <c r="AO77" s="3472"/>
      <c r="AP77" s="3483" t="s">
        <v>3450</v>
      </c>
      <c r="AQ77" s="3480" t="s">
        <v>3451</v>
      </c>
      <c r="AR77" s="3480" t="s">
        <v>3453</v>
      </c>
      <c r="AS77" s="3480" t="s">
        <v>3453</v>
      </c>
      <c r="AT77" s="3480" t="s">
        <v>3453</v>
      </c>
      <c r="AU77" s="3480"/>
      <c r="AV77" s="3480"/>
      <c r="AW77" s="3480" t="s">
        <v>3452</v>
      </c>
      <c r="AX77" s="3480" t="s">
        <v>3540</v>
      </c>
      <c r="AY77" s="3484" t="s">
        <v>4136</v>
      </c>
      <c r="AZ77" s="3472" t="s">
        <v>3453</v>
      </c>
      <c r="BA77" s="3532" t="s">
        <v>3453</v>
      </c>
      <c r="BB77" s="3533" t="s">
        <v>3453</v>
      </c>
      <c r="BC77" s="3532" t="s">
        <v>3453</v>
      </c>
      <c r="BD77" s="3534" t="s">
        <v>3453</v>
      </c>
      <c r="BE77" s="3480" t="s">
        <v>3453</v>
      </c>
      <c r="BF77" s="3486" t="s">
        <v>3453</v>
      </c>
      <c r="BG77" s="3535">
        <v>38816</v>
      </c>
      <c r="BH77" s="3472" t="s">
        <v>3453</v>
      </c>
      <c r="BI77" s="3487" t="s">
        <v>3701</v>
      </c>
      <c r="BJ77" s="3493">
        <v>38821</v>
      </c>
      <c r="BK77" s="3493"/>
      <c r="BL77" s="3472" t="s">
        <v>3454</v>
      </c>
      <c r="BM77" s="3480"/>
      <c r="BN77" s="3480"/>
      <c r="BO77" s="3480"/>
      <c r="BP77" s="3480"/>
      <c r="BQ77" s="3480">
        <v>7903</v>
      </c>
      <c r="BR77" s="3480">
        <v>7963</v>
      </c>
      <c r="BS77" s="3529"/>
      <c r="BT77" s="3529"/>
      <c r="BU77" s="3529"/>
    </row>
    <row r="78" spans="1:73" s="3490" customFormat="1" ht="12">
      <c r="A78" s="3472" t="s">
        <v>4137</v>
      </c>
      <c r="B78" s="3472" t="s">
        <v>4138</v>
      </c>
      <c r="C78" s="3473" t="s">
        <v>4139</v>
      </c>
      <c r="D78" s="3473" t="s">
        <v>4140</v>
      </c>
      <c r="E78" s="3492" t="s">
        <v>3446</v>
      </c>
      <c r="F78" s="3492" t="s">
        <v>3545</v>
      </c>
      <c r="G78" s="3472"/>
      <c r="H78" s="3492" t="s">
        <v>4095</v>
      </c>
      <c r="I78" s="3476" t="s">
        <v>4141</v>
      </c>
      <c r="J78" s="3472" t="s">
        <v>3835</v>
      </c>
      <c r="K78" s="3472" t="s">
        <v>3549</v>
      </c>
      <c r="L78" s="3472">
        <v>127.59</v>
      </c>
      <c r="M78" s="3472">
        <v>14</v>
      </c>
      <c r="N78" s="3472" t="s">
        <v>3690</v>
      </c>
      <c r="O78" s="3472">
        <v>107.84</v>
      </c>
      <c r="P78" s="3472" t="s">
        <v>3457</v>
      </c>
      <c r="Q78" s="3504">
        <v>867612</v>
      </c>
      <c r="R78" s="3472">
        <v>6800</v>
      </c>
      <c r="S78" s="3500">
        <v>86.12</v>
      </c>
      <c r="T78" s="3498">
        <v>861200</v>
      </c>
      <c r="U78" s="3472">
        <v>6750</v>
      </c>
      <c r="V78" s="3495">
        <v>0.2</v>
      </c>
      <c r="W78" s="3479">
        <v>68.89</v>
      </c>
      <c r="X78" s="3530">
        <v>688900</v>
      </c>
      <c r="Y78" s="3480">
        <v>2006</v>
      </c>
      <c r="Z78" s="3480">
        <v>4</v>
      </c>
      <c r="AA78" s="3480">
        <v>18</v>
      </c>
      <c r="AB78" s="3472">
        <v>1500</v>
      </c>
      <c r="AC78" s="3472" t="s">
        <v>3537</v>
      </c>
      <c r="AD78" s="3471"/>
      <c r="AE78" s="3483" t="s">
        <v>3447</v>
      </c>
      <c r="AF78" s="3476" t="s">
        <v>3636</v>
      </c>
      <c r="AG78" s="3481" t="s">
        <v>3448</v>
      </c>
      <c r="AH78" s="3471"/>
      <c r="AI78" s="3483" t="s">
        <v>3538</v>
      </c>
      <c r="AJ78" s="3503">
        <v>39066</v>
      </c>
      <c r="AK78" s="3482">
        <v>4</v>
      </c>
      <c r="AL78" s="3480">
        <v>67641700</v>
      </c>
      <c r="AM78" s="3480"/>
      <c r="AN78" s="3483" t="s">
        <v>3570</v>
      </c>
      <c r="AO78" s="3472"/>
      <c r="AP78" s="3483" t="s">
        <v>3450</v>
      </c>
      <c r="AQ78" s="3480" t="s">
        <v>3451</v>
      </c>
      <c r="AR78" s="3480" t="s">
        <v>3453</v>
      </c>
      <c r="AS78" s="3480" t="s">
        <v>3453</v>
      </c>
      <c r="AT78" s="3480" t="s">
        <v>3453</v>
      </c>
      <c r="AU78" s="3480"/>
      <c r="AV78" s="3480"/>
      <c r="AW78" s="3480" t="s">
        <v>3452</v>
      </c>
      <c r="AX78" s="3480" t="s">
        <v>3540</v>
      </c>
      <c r="AY78" s="3484" t="s">
        <v>4142</v>
      </c>
      <c r="AZ78" s="3472" t="s">
        <v>3453</v>
      </c>
      <c r="BA78" s="3532" t="s">
        <v>3453</v>
      </c>
      <c r="BB78" s="3533" t="s">
        <v>3453</v>
      </c>
      <c r="BC78" s="3532" t="s">
        <v>3453</v>
      </c>
      <c r="BD78" s="3534" t="s">
        <v>3453</v>
      </c>
      <c r="BE78" s="3480" t="s">
        <v>3453</v>
      </c>
      <c r="BF78" s="3486" t="s">
        <v>3453</v>
      </c>
      <c r="BG78" s="3535">
        <v>38816</v>
      </c>
      <c r="BH78" s="3472" t="s">
        <v>3453</v>
      </c>
      <c r="BI78" s="3487" t="s">
        <v>3701</v>
      </c>
      <c r="BJ78" s="3493">
        <v>38824</v>
      </c>
      <c r="BK78" s="3493"/>
      <c r="BL78" s="3472" t="s">
        <v>3454</v>
      </c>
      <c r="BM78" s="3480"/>
      <c r="BN78" s="3480"/>
      <c r="BO78" s="3480"/>
      <c r="BP78" s="3480"/>
      <c r="BQ78" s="3480">
        <v>7986</v>
      </c>
      <c r="BR78" s="3480">
        <v>8045</v>
      </c>
      <c r="BS78" s="3529"/>
      <c r="BT78" s="3529"/>
      <c r="BU78" s="3529"/>
    </row>
    <row r="79" spans="1:73" s="3490" customFormat="1" ht="12">
      <c r="A79" s="3472" t="s">
        <v>4143</v>
      </c>
      <c r="B79" s="3472" t="s">
        <v>4144</v>
      </c>
      <c r="C79" s="3473" t="s">
        <v>4145</v>
      </c>
      <c r="D79" s="3473" t="s">
        <v>4146</v>
      </c>
      <c r="E79" s="3492" t="s">
        <v>3446</v>
      </c>
      <c r="F79" s="3492" t="s">
        <v>3545</v>
      </c>
      <c r="G79" s="3472"/>
      <c r="H79" s="3492" t="s">
        <v>4095</v>
      </c>
      <c r="I79" s="3476" t="s">
        <v>4147</v>
      </c>
      <c r="J79" s="3472" t="s">
        <v>4148</v>
      </c>
      <c r="K79" s="3472" t="s">
        <v>3549</v>
      </c>
      <c r="L79" s="3472">
        <v>102.18</v>
      </c>
      <c r="M79" s="3472">
        <v>10</v>
      </c>
      <c r="N79" s="3472" t="s">
        <v>3624</v>
      </c>
      <c r="O79" s="3472">
        <v>86.36</v>
      </c>
      <c r="P79" s="3472" t="s">
        <v>3457</v>
      </c>
      <c r="Q79" s="3504">
        <v>694824</v>
      </c>
      <c r="R79" s="3472">
        <v>6800</v>
      </c>
      <c r="S79" s="3500">
        <v>68.97</v>
      </c>
      <c r="T79" s="3498">
        <v>689700</v>
      </c>
      <c r="U79" s="3472">
        <v>6750</v>
      </c>
      <c r="V79" s="3495">
        <v>0.2</v>
      </c>
      <c r="W79" s="3479">
        <v>55.17</v>
      </c>
      <c r="X79" s="3530">
        <v>551700</v>
      </c>
      <c r="Y79" s="3480">
        <v>2006</v>
      </c>
      <c r="Z79" s="3480">
        <v>4</v>
      </c>
      <c r="AA79" s="3480">
        <v>26</v>
      </c>
      <c r="AB79" s="3472">
        <v>1500</v>
      </c>
      <c r="AC79" s="3472" t="s">
        <v>3537</v>
      </c>
      <c r="AD79" s="3471"/>
      <c r="AE79" s="3483" t="s">
        <v>3447</v>
      </c>
      <c r="AF79" s="3476" t="s">
        <v>3636</v>
      </c>
      <c r="AG79" s="3481" t="s">
        <v>3448</v>
      </c>
      <c r="AH79" s="3471"/>
      <c r="AI79" s="3483" t="s">
        <v>3538</v>
      </c>
      <c r="AJ79" s="3503">
        <v>39066</v>
      </c>
      <c r="AK79" s="3482">
        <v>4</v>
      </c>
      <c r="AL79" s="3480">
        <v>67641700</v>
      </c>
      <c r="AM79" s="3480"/>
      <c r="AN79" s="3483" t="s">
        <v>3691</v>
      </c>
      <c r="AO79" s="3472"/>
      <c r="AP79" s="3483" t="s">
        <v>3450</v>
      </c>
      <c r="AQ79" s="3480" t="s">
        <v>3451</v>
      </c>
      <c r="AR79" s="3480" t="s">
        <v>3453</v>
      </c>
      <c r="AS79" s="3480" t="s">
        <v>3453</v>
      </c>
      <c r="AT79" s="3480" t="s">
        <v>3453</v>
      </c>
      <c r="AU79" s="3480"/>
      <c r="AV79" s="3480"/>
      <c r="AW79" s="3480" t="s">
        <v>3452</v>
      </c>
      <c r="AX79" s="3480" t="s">
        <v>3540</v>
      </c>
      <c r="AY79" s="3484" t="s">
        <v>4149</v>
      </c>
      <c r="AZ79" s="3472" t="s">
        <v>3453</v>
      </c>
      <c r="BA79" s="3532" t="s">
        <v>3453</v>
      </c>
      <c r="BB79" s="3533" t="s">
        <v>3453</v>
      </c>
      <c r="BC79" s="3532" t="s">
        <v>3453</v>
      </c>
      <c r="BD79" s="3534" t="s">
        <v>3453</v>
      </c>
      <c r="BE79" s="3480" t="s">
        <v>3453</v>
      </c>
      <c r="BF79" s="3486" t="s">
        <v>3453</v>
      </c>
      <c r="BG79" s="3535">
        <v>38806</v>
      </c>
      <c r="BH79" s="3472" t="s">
        <v>3453</v>
      </c>
      <c r="BI79" s="3487" t="s">
        <v>3627</v>
      </c>
      <c r="BJ79" s="3493">
        <v>38831</v>
      </c>
      <c r="BK79" s="3493"/>
      <c r="BL79" s="3472" t="s">
        <v>3454</v>
      </c>
      <c r="BM79" s="3480"/>
      <c r="BN79" s="3480"/>
      <c r="BO79" s="3480"/>
      <c r="BP79" s="3480"/>
      <c r="BQ79" s="3480">
        <v>7986</v>
      </c>
      <c r="BR79" s="3480">
        <v>8046</v>
      </c>
      <c r="BS79" s="3529"/>
      <c r="BT79" s="3529"/>
      <c r="BU79" s="3529"/>
    </row>
    <row r="80" spans="1:73" s="3490" customFormat="1" ht="12">
      <c r="A80" s="3472" t="s">
        <v>4150</v>
      </c>
      <c r="B80" s="3472" t="s">
        <v>4151</v>
      </c>
      <c r="C80" s="3473" t="s">
        <v>4152</v>
      </c>
      <c r="D80" s="3473" t="s">
        <v>4153</v>
      </c>
      <c r="E80" s="3492" t="s">
        <v>3446</v>
      </c>
      <c r="F80" s="3492" t="s">
        <v>3545</v>
      </c>
      <c r="G80" s="3472"/>
      <c r="H80" s="3492" t="s">
        <v>4095</v>
      </c>
      <c r="I80" s="3476" t="s">
        <v>4154</v>
      </c>
      <c r="J80" s="3472" t="s">
        <v>3623</v>
      </c>
      <c r="K80" s="3472" t="s">
        <v>3549</v>
      </c>
      <c r="L80" s="3472">
        <v>102.18</v>
      </c>
      <c r="M80" s="3472">
        <v>4</v>
      </c>
      <c r="N80" s="3472" t="s">
        <v>3624</v>
      </c>
      <c r="O80" s="3472">
        <v>86.36</v>
      </c>
      <c r="P80" s="3472" t="s">
        <v>3457</v>
      </c>
      <c r="Q80" s="3504">
        <v>698911</v>
      </c>
      <c r="R80" s="3472">
        <v>6840</v>
      </c>
      <c r="S80" s="3500">
        <v>69.38</v>
      </c>
      <c r="T80" s="3498">
        <v>693800</v>
      </c>
      <c r="U80" s="3472">
        <v>6790</v>
      </c>
      <c r="V80" s="3495">
        <v>0.2</v>
      </c>
      <c r="W80" s="3479">
        <v>55.5</v>
      </c>
      <c r="X80" s="3530">
        <v>555000</v>
      </c>
      <c r="Y80" s="3480">
        <v>2006</v>
      </c>
      <c r="Z80" s="3480">
        <v>4</v>
      </c>
      <c r="AA80" s="3480">
        <v>26</v>
      </c>
      <c r="AB80" s="3472">
        <v>1500</v>
      </c>
      <c r="AC80" s="3472" t="s">
        <v>3537</v>
      </c>
      <c r="AD80" s="3471"/>
      <c r="AE80" s="3483" t="s">
        <v>3447</v>
      </c>
      <c r="AF80" s="3476" t="s">
        <v>3636</v>
      </c>
      <c r="AG80" s="3481" t="s">
        <v>3448</v>
      </c>
      <c r="AH80" s="3471"/>
      <c r="AI80" s="3483" t="s">
        <v>3538</v>
      </c>
      <c r="AJ80" s="3503">
        <v>39066</v>
      </c>
      <c r="AK80" s="3482">
        <v>4</v>
      </c>
      <c r="AL80" s="3480">
        <v>67641700</v>
      </c>
      <c r="AM80" s="3480"/>
      <c r="AN80" s="3483" t="s">
        <v>3691</v>
      </c>
      <c r="AO80" s="3472"/>
      <c r="AP80" s="3483" t="s">
        <v>3450</v>
      </c>
      <c r="AQ80" s="3480" t="s">
        <v>3451</v>
      </c>
      <c r="AR80" s="3480" t="s">
        <v>3453</v>
      </c>
      <c r="AS80" s="3480" t="s">
        <v>3453</v>
      </c>
      <c r="AT80" s="3480" t="s">
        <v>3453</v>
      </c>
      <c r="AU80" s="3480"/>
      <c r="AV80" s="3480"/>
      <c r="AW80" s="3480" t="s">
        <v>3452</v>
      </c>
      <c r="AX80" s="3480" t="s">
        <v>3540</v>
      </c>
      <c r="AY80" s="3484" t="s">
        <v>4155</v>
      </c>
      <c r="AZ80" s="3472" t="s">
        <v>3453</v>
      </c>
      <c r="BA80" s="3532" t="s">
        <v>3453</v>
      </c>
      <c r="BB80" s="3533" t="s">
        <v>3453</v>
      </c>
      <c r="BC80" s="3532" t="s">
        <v>3453</v>
      </c>
      <c r="BD80" s="3534" t="s">
        <v>3453</v>
      </c>
      <c r="BE80" s="3480" t="s">
        <v>3453</v>
      </c>
      <c r="BF80" s="3486" t="s">
        <v>3453</v>
      </c>
      <c r="BG80" s="3535">
        <v>38822</v>
      </c>
      <c r="BH80" s="3472" t="s">
        <v>3453</v>
      </c>
      <c r="BI80" s="3487" t="s">
        <v>3627</v>
      </c>
      <c r="BJ80" s="3493">
        <v>38831</v>
      </c>
      <c r="BK80" s="3493"/>
      <c r="BL80" s="3472" t="s">
        <v>3454</v>
      </c>
      <c r="BM80" s="3480"/>
      <c r="BN80" s="3480"/>
      <c r="BO80" s="3480"/>
      <c r="BP80" s="3480"/>
      <c r="BQ80" s="3480">
        <v>8034</v>
      </c>
      <c r="BR80" s="3480">
        <v>8093</v>
      </c>
      <c r="BS80" s="3529"/>
      <c r="BT80" s="3529"/>
      <c r="BU80" s="3529"/>
    </row>
    <row r="81" spans="1:73" s="3490" customFormat="1" ht="12">
      <c r="A81" s="3472" t="s">
        <v>4156</v>
      </c>
      <c r="B81" s="3472" t="s">
        <v>4157</v>
      </c>
      <c r="C81" s="3473" t="s">
        <v>4158</v>
      </c>
      <c r="D81" s="3473" t="s">
        <v>4159</v>
      </c>
      <c r="E81" s="3492" t="s">
        <v>3446</v>
      </c>
      <c r="F81" s="3492" t="s">
        <v>3545</v>
      </c>
      <c r="G81" s="3472"/>
      <c r="H81" s="3492" t="s">
        <v>4095</v>
      </c>
      <c r="I81" s="3476" t="s">
        <v>4160</v>
      </c>
      <c r="J81" s="3472" t="s">
        <v>4161</v>
      </c>
      <c r="K81" s="3472" t="s">
        <v>3549</v>
      </c>
      <c r="L81" s="3472">
        <v>127.35</v>
      </c>
      <c r="M81" s="3472">
        <v>5</v>
      </c>
      <c r="N81" s="3472" t="s">
        <v>3646</v>
      </c>
      <c r="O81" s="3472">
        <v>107.64</v>
      </c>
      <c r="P81" s="3472" t="s">
        <v>3457</v>
      </c>
      <c r="Q81" s="3504">
        <v>848151</v>
      </c>
      <c r="R81" s="3472">
        <v>6660</v>
      </c>
      <c r="S81" s="3500">
        <v>84.11</v>
      </c>
      <c r="T81" s="3498">
        <v>841100</v>
      </c>
      <c r="U81" s="3472">
        <v>6605</v>
      </c>
      <c r="V81" s="3495">
        <v>0.2</v>
      </c>
      <c r="W81" s="3479">
        <v>67.28</v>
      </c>
      <c r="X81" s="3530">
        <v>672800</v>
      </c>
      <c r="Y81" s="3480">
        <v>2006</v>
      </c>
      <c r="Z81" s="3480">
        <v>5</v>
      </c>
      <c r="AA81" s="3505">
        <v>8</v>
      </c>
      <c r="AB81" s="3536">
        <v>1500</v>
      </c>
      <c r="AC81" s="3472" t="s">
        <v>3537</v>
      </c>
      <c r="AD81" s="3471"/>
      <c r="AE81" s="3483" t="s">
        <v>3447</v>
      </c>
      <c r="AF81" s="3476" t="s">
        <v>3591</v>
      </c>
      <c r="AG81" s="3481" t="s">
        <v>3448</v>
      </c>
      <c r="AH81" s="3471"/>
      <c r="AI81" s="3483" t="s">
        <v>3538</v>
      </c>
      <c r="AJ81" s="3503">
        <v>39066</v>
      </c>
      <c r="AK81" s="3482">
        <v>5</v>
      </c>
      <c r="AL81" s="3480">
        <v>67641700</v>
      </c>
      <c r="AM81" s="3480"/>
      <c r="AN81" s="3483" t="s">
        <v>3699</v>
      </c>
      <c r="AO81" s="3472"/>
      <c r="AP81" s="3483" t="s">
        <v>3450</v>
      </c>
      <c r="AQ81" s="3480" t="s">
        <v>3451</v>
      </c>
      <c r="AR81" s="3480" t="s">
        <v>3453</v>
      </c>
      <c r="AS81" s="3480" t="s">
        <v>3453</v>
      </c>
      <c r="AT81" s="3480" t="s">
        <v>3453</v>
      </c>
      <c r="AU81" s="3480"/>
      <c r="AV81" s="3480"/>
      <c r="AW81" s="3480" t="s">
        <v>3452</v>
      </c>
      <c r="AX81" s="3480" t="s">
        <v>3540</v>
      </c>
      <c r="AY81" s="3484" t="s">
        <v>4162</v>
      </c>
      <c r="AZ81" s="3472" t="s">
        <v>3453</v>
      </c>
      <c r="BA81" s="3532" t="s">
        <v>3453</v>
      </c>
      <c r="BB81" s="3533" t="s">
        <v>3453</v>
      </c>
      <c r="BC81" s="3532" t="s">
        <v>3453</v>
      </c>
      <c r="BD81" s="3534" t="s">
        <v>3453</v>
      </c>
      <c r="BE81" s="3480" t="s">
        <v>3453</v>
      </c>
      <c r="BF81" s="3486" t="s">
        <v>3453</v>
      </c>
      <c r="BG81" s="3535">
        <v>38829</v>
      </c>
      <c r="BH81" s="3472" t="s">
        <v>3453</v>
      </c>
      <c r="BI81" s="3487" t="s">
        <v>3701</v>
      </c>
      <c r="BJ81" s="3493">
        <v>38831</v>
      </c>
      <c r="BK81" s="3493"/>
      <c r="BL81" s="3472" t="s">
        <v>3454</v>
      </c>
      <c r="BM81" s="3480"/>
      <c r="BN81" s="3480"/>
      <c r="BO81" s="3480"/>
      <c r="BP81" s="3480"/>
      <c r="BQ81" s="3480">
        <v>7814</v>
      </c>
      <c r="BR81" s="3480">
        <v>7880</v>
      </c>
      <c r="BS81" s="3529"/>
      <c r="BT81" s="3529"/>
      <c r="BU81" s="3529"/>
    </row>
    <row r="82" spans="1:73" s="3577" customFormat="1" ht="12">
      <c r="A82" s="3552" t="s">
        <v>4163</v>
      </c>
      <c r="B82" s="3552" t="s">
        <v>4164</v>
      </c>
      <c r="C82" s="3553" t="s">
        <v>4165</v>
      </c>
      <c r="D82" s="3553" t="s">
        <v>4166</v>
      </c>
      <c r="E82" s="3554" t="s">
        <v>3446</v>
      </c>
      <c r="F82" s="3554" t="s">
        <v>3545</v>
      </c>
      <c r="G82" s="3552"/>
      <c r="H82" s="3554" t="s">
        <v>4095</v>
      </c>
      <c r="I82" s="3555" t="s">
        <v>4167</v>
      </c>
      <c r="J82" s="3552" t="s">
        <v>3788</v>
      </c>
      <c r="K82" s="3552" t="s">
        <v>3549</v>
      </c>
      <c r="L82" s="3552">
        <v>93.6</v>
      </c>
      <c r="M82" s="3552">
        <v>5</v>
      </c>
      <c r="N82" s="3552" t="s">
        <v>3656</v>
      </c>
      <c r="O82" s="3552">
        <v>79.11</v>
      </c>
      <c r="P82" s="3552" t="s">
        <v>3457</v>
      </c>
      <c r="Q82" s="3556">
        <v>617760</v>
      </c>
      <c r="R82" s="3552">
        <v>6600</v>
      </c>
      <c r="S82" s="3557">
        <v>61.26</v>
      </c>
      <c r="T82" s="3558">
        <v>612600</v>
      </c>
      <c r="U82" s="3552">
        <v>6545</v>
      </c>
      <c r="V82" s="3559">
        <v>0.2</v>
      </c>
      <c r="W82" s="3560">
        <v>49</v>
      </c>
      <c r="X82" s="3561">
        <v>490000</v>
      </c>
      <c r="Y82" s="3562">
        <v>2006</v>
      </c>
      <c r="Z82" s="3562">
        <v>5</v>
      </c>
      <c r="AA82" s="3578">
        <v>8</v>
      </c>
      <c r="AB82" s="3579">
        <v>1500</v>
      </c>
      <c r="AC82" s="3552" t="s">
        <v>3537</v>
      </c>
      <c r="AD82" s="3563"/>
      <c r="AE82" s="3564" t="s">
        <v>3447</v>
      </c>
      <c r="AF82" s="3555" t="s">
        <v>3591</v>
      </c>
      <c r="AG82" s="3565" t="s">
        <v>3448</v>
      </c>
      <c r="AH82" s="3563"/>
      <c r="AI82" s="3564" t="s">
        <v>3538</v>
      </c>
      <c r="AJ82" s="3566">
        <v>39066</v>
      </c>
      <c r="AK82" s="3567">
        <v>5</v>
      </c>
      <c r="AL82" s="3562">
        <v>67641700</v>
      </c>
      <c r="AM82" s="3562"/>
      <c r="AN82" s="3564" t="s">
        <v>3699</v>
      </c>
      <c r="AO82" s="3552"/>
      <c r="AP82" s="3564" t="s">
        <v>3450</v>
      </c>
      <c r="AQ82" s="3562" t="s">
        <v>3451</v>
      </c>
      <c r="AR82" s="3562" t="s">
        <v>3453</v>
      </c>
      <c r="AS82" s="3562" t="s">
        <v>3453</v>
      </c>
      <c r="AT82" s="3562" t="s">
        <v>3453</v>
      </c>
      <c r="AU82" s="3562"/>
      <c r="AV82" s="3562"/>
      <c r="AW82" s="3562" t="s">
        <v>3452</v>
      </c>
      <c r="AX82" s="3562" t="s">
        <v>3540</v>
      </c>
      <c r="AY82" s="3568" t="s">
        <v>4168</v>
      </c>
      <c r="AZ82" s="3552" t="s">
        <v>3453</v>
      </c>
      <c r="BA82" s="3569" t="s">
        <v>3453</v>
      </c>
      <c r="BB82" s="3570" t="s">
        <v>3453</v>
      </c>
      <c r="BC82" s="3569" t="s">
        <v>3453</v>
      </c>
      <c r="BD82" s="3571" t="s">
        <v>3453</v>
      </c>
      <c r="BE82" s="3562" t="s">
        <v>3453</v>
      </c>
      <c r="BF82" s="3572" t="s">
        <v>3453</v>
      </c>
      <c r="BG82" s="3573">
        <v>38805</v>
      </c>
      <c r="BH82" s="3552" t="s">
        <v>3453</v>
      </c>
      <c r="BI82" s="3574" t="s">
        <v>3701</v>
      </c>
      <c r="BJ82" s="3575">
        <v>38836</v>
      </c>
      <c r="BK82" s="3575"/>
      <c r="BL82" s="3552" t="s">
        <v>3454</v>
      </c>
      <c r="BM82" s="3562"/>
      <c r="BN82" s="3562"/>
      <c r="BO82" s="3562"/>
      <c r="BP82" s="3562"/>
      <c r="BQ82" s="3562">
        <v>7744</v>
      </c>
      <c r="BR82" s="3562">
        <v>7809</v>
      </c>
      <c r="BS82" s="3576"/>
      <c r="BT82" s="3576"/>
      <c r="BU82" s="3576"/>
    </row>
    <row r="83" spans="1:73" s="3490" customFormat="1" ht="12">
      <c r="A83" s="3472" t="s">
        <v>4169</v>
      </c>
      <c r="B83" s="3472" t="s">
        <v>4170</v>
      </c>
      <c r="C83" s="3473" t="s">
        <v>4171</v>
      </c>
      <c r="D83" s="3473" t="s">
        <v>4172</v>
      </c>
      <c r="E83" s="3492" t="s">
        <v>3446</v>
      </c>
      <c r="F83" s="3492" t="s">
        <v>3545</v>
      </c>
      <c r="G83" s="3472"/>
      <c r="H83" s="3492" t="s">
        <v>4095</v>
      </c>
      <c r="I83" s="3476" t="s">
        <v>3906</v>
      </c>
      <c r="J83" s="3472" t="s">
        <v>3645</v>
      </c>
      <c r="K83" s="3472" t="s">
        <v>3549</v>
      </c>
      <c r="L83" s="3472">
        <v>102.18</v>
      </c>
      <c r="M83" s="3472">
        <v>12</v>
      </c>
      <c r="N83" s="3472" t="s">
        <v>3624</v>
      </c>
      <c r="O83" s="3472">
        <v>86.36</v>
      </c>
      <c r="P83" s="3472" t="s">
        <v>3457</v>
      </c>
      <c r="Q83" s="3504">
        <v>735696</v>
      </c>
      <c r="R83" s="3472">
        <v>7200</v>
      </c>
      <c r="S83" s="3500">
        <v>72.849999999999994</v>
      </c>
      <c r="T83" s="3498">
        <v>728500</v>
      </c>
      <c r="U83" s="3472">
        <v>7130</v>
      </c>
      <c r="V83" s="3495">
        <v>0.2</v>
      </c>
      <c r="W83" s="3479">
        <v>58.28</v>
      </c>
      <c r="X83" s="3530">
        <v>582800</v>
      </c>
      <c r="Y83" s="3480">
        <v>2006</v>
      </c>
      <c r="Z83" s="3480">
        <v>5</v>
      </c>
      <c r="AA83" s="3480">
        <v>10</v>
      </c>
      <c r="AB83" s="3472">
        <v>1500</v>
      </c>
      <c r="AC83" s="3472" t="s">
        <v>3537</v>
      </c>
      <c r="AD83" s="3471"/>
      <c r="AE83" s="3483" t="s">
        <v>3447</v>
      </c>
      <c r="AF83" s="3476" t="s">
        <v>3591</v>
      </c>
      <c r="AG83" s="3481" t="s">
        <v>3448</v>
      </c>
      <c r="AH83" s="3471"/>
      <c r="AI83" s="3483" t="s">
        <v>3538</v>
      </c>
      <c r="AJ83" s="3503">
        <v>39066</v>
      </c>
      <c r="AK83" s="3482">
        <v>5</v>
      </c>
      <c r="AL83" s="3480">
        <v>67641700</v>
      </c>
      <c r="AM83" s="3480"/>
      <c r="AN83" s="3483" t="s">
        <v>3637</v>
      </c>
      <c r="AO83" s="3472"/>
      <c r="AP83" s="3483" t="s">
        <v>3450</v>
      </c>
      <c r="AQ83" s="3480" t="s">
        <v>3451</v>
      </c>
      <c r="AR83" s="3480" t="s">
        <v>3453</v>
      </c>
      <c r="AS83" s="3480" t="s">
        <v>3453</v>
      </c>
      <c r="AT83" s="3480" t="s">
        <v>3453</v>
      </c>
      <c r="AU83" s="3480"/>
      <c r="AV83" s="3480"/>
      <c r="AW83" s="3480" t="s">
        <v>3452</v>
      </c>
      <c r="AX83" s="3480" t="s">
        <v>3540</v>
      </c>
      <c r="AY83" s="3484" t="s">
        <v>4173</v>
      </c>
      <c r="AZ83" s="3472" t="s">
        <v>3453</v>
      </c>
      <c r="BA83" s="3532" t="s">
        <v>3453</v>
      </c>
      <c r="BB83" s="3533" t="s">
        <v>3453</v>
      </c>
      <c r="BC83" s="3532" t="s">
        <v>3453</v>
      </c>
      <c r="BD83" s="3534" t="s">
        <v>3453</v>
      </c>
      <c r="BE83" s="3480" t="s">
        <v>3453</v>
      </c>
      <c r="BF83" s="3486" t="s">
        <v>3453</v>
      </c>
      <c r="BG83" s="3535">
        <v>38823</v>
      </c>
      <c r="BH83" s="3472" t="s">
        <v>3453</v>
      </c>
      <c r="BI83" s="3487" t="s">
        <v>3682</v>
      </c>
      <c r="BJ83" s="3493">
        <v>38846</v>
      </c>
      <c r="BK83" s="3493"/>
      <c r="BL83" s="3472" t="s">
        <v>3454</v>
      </c>
      <c r="BM83" s="3480"/>
      <c r="BN83" s="3480"/>
      <c r="BO83" s="3480"/>
      <c r="BP83" s="3480"/>
      <c r="BQ83" s="3480">
        <v>8436</v>
      </c>
      <c r="BR83" s="3480">
        <v>8519</v>
      </c>
      <c r="BS83" s="3529"/>
      <c r="BT83" s="3529"/>
      <c r="BU83" s="3529"/>
    </row>
    <row r="84" spans="1:73" s="3490" customFormat="1" ht="12">
      <c r="A84" s="3472" t="s">
        <v>4174</v>
      </c>
      <c r="B84" s="3472" t="s">
        <v>4175</v>
      </c>
      <c r="C84" s="3473" t="s">
        <v>4176</v>
      </c>
      <c r="D84" s="3473" t="s">
        <v>4177</v>
      </c>
      <c r="E84" s="3492" t="s">
        <v>3446</v>
      </c>
      <c r="F84" s="3492" t="s">
        <v>3545</v>
      </c>
      <c r="G84" s="3472"/>
      <c r="H84" s="3492" t="s">
        <v>4080</v>
      </c>
      <c r="I84" s="3476" t="s">
        <v>4178</v>
      </c>
      <c r="J84" s="3472" t="s">
        <v>4179</v>
      </c>
      <c r="K84" s="3472" t="s">
        <v>3549</v>
      </c>
      <c r="L84" s="3472">
        <v>90.58</v>
      </c>
      <c r="M84" s="3472">
        <v>3</v>
      </c>
      <c r="N84" s="3472" t="s">
        <v>3589</v>
      </c>
      <c r="O84" s="3472">
        <v>76.56</v>
      </c>
      <c r="P84" s="3472" t="s">
        <v>3457</v>
      </c>
      <c r="Q84" s="3504">
        <v>501596</v>
      </c>
      <c r="R84" s="3472">
        <v>5538</v>
      </c>
      <c r="S84" s="3500">
        <v>49.68</v>
      </c>
      <c r="T84" s="3498">
        <v>496800</v>
      </c>
      <c r="U84" s="3472">
        <v>5485</v>
      </c>
      <c r="V84" s="3495">
        <v>0.2</v>
      </c>
      <c r="W84" s="3479">
        <v>39.74</v>
      </c>
      <c r="X84" s="3530">
        <v>397400</v>
      </c>
      <c r="Y84" s="3480">
        <v>2006</v>
      </c>
      <c r="Z84" s="3480">
        <v>5</v>
      </c>
      <c r="AA84" s="3505">
        <v>11</v>
      </c>
      <c r="AB84" s="3536">
        <v>1490</v>
      </c>
      <c r="AC84" s="3472" t="s">
        <v>3537</v>
      </c>
      <c r="AD84" s="3471"/>
      <c r="AE84" s="3483" t="s">
        <v>3447</v>
      </c>
      <c r="AF84" s="3476" t="s">
        <v>3591</v>
      </c>
      <c r="AG84" s="3481" t="s">
        <v>3448</v>
      </c>
      <c r="AH84" s="3471"/>
      <c r="AI84" s="3483" t="s">
        <v>3538</v>
      </c>
      <c r="AJ84" s="3503">
        <v>39066</v>
      </c>
      <c r="AK84" s="3482">
        <v>5</v>
      </c>
      <c r="AL84" s="3480">
        <v>67641700</v>
      </c>
      <c r="AM84" s="3480"/>
      <c r="AN84" s="3483" t="s">
        <v>3699</v>
      </c>
      <c r="AO84" s="3472"/>
      <c r="AP84" s="3483" t="s">
        <v>3450</v>
      </c>
      <c r="AQ84" s="3480" t="s">
        <v>3451</v>
      </c>
      <c r="AR84" s="3480" t="s">
        <v>3453</v>
      </c>
      <c r="AS84" s="3480" t="s">
        <v>3453</v>
      </c>
      <c r="AT84" s="3480" t="s">
        <v>3453</v>
      </c>
      <c r="AU84" s="3480"/>
      <c r="AV84" s="3480"/>
      <c r="AW84" s="3480" t="s">
        <v>3452</v>
      </c>
      <c r="AX84" s="3480" t="s">
        <v>3540</v>
      </c>
      <c r="AY84" s="3484" t="s">
        <v>4180</v>
      </c>
      <c r="AZ84" s="3472" t="s">
        <v>3453</v>
      </c>
      <c r="BA84" s="3532" t="s">
        <v>3453</v>
      </c>
      <c r="BB84" s="3533" t="s">
        <v>3453</v>
      </c>
      <c r="BC84" s="3532" t="s">
        <v>3453</v>
      </c>
      <c r="BD84" s="3534" t="s">
        <v>3453</v>
      </c>
      <c r="BE84" s="3480" t="s">
        <v>3453</v>
      </c>
      <c r="BF84" s="3486" t="s">
        <v>3453</v>
      </c>
      <c r="BG84" s="3535">
        <v>38808</v>
      </c>
      <c r="BH84" s="3472" t="s">
        <v>3453</v>
      </c>
      <c r="BI84" s="3487" t="s">
        <v>3701</v>
      </c>
      <c r="BJ84" s="3493">
        <v>38847</v>
      </c>
      <c r="BK84" s="3493"/>
      <c r="BL84" s="3472" t="s">
        <v>3454</v>
      </c>
      <c r="BM84" s="3480"/>
      <c r="BN84" s="3480"/>
      <c r="BO84" s="3480"/>
      <c r="BP84" s="3480"/>
      <c r="BQ84" s="3480">
        <v>6489</v>
      </c>
      <c r="BR84" s="3480">
        <v>6552</v>
      </c>
      <c r="BS84" s="3529"/>
      <c r="BT84" s="3529"/>
      <c r="BU84" s="3529"/>
    </row>
    <row r="85" spans="1:73" s="3490" customFormat="1" ht="12">
      <c r="A85" s="3472" t="s">
        <v>4181</v>
      </c>
      <c r="B85" s="3472" t="s">
        <v>4182</v>
      </c>
      <c r="C85" s="3473" t="s">
        <v>4183</v>
      </c>
      <c r="D85" s="3473" t="s">
        <v>4184</v>
      </c>
      <c r="E85" s="3492" t="s">
        <v>3446</v>
      </c>
      <c r="F85" s="3492" t="s">
        <v>3545</v>
      </c>
      <c r="G85" s="3472"/>
      <c r="H85" s="3492" t="s">
        <v>4095</v>
      </c>
      <c r="I85" s="3476" t="s">
        <v>4185</v>
      </c>
      <c r="J85" s="3472" t="s">
        <v>4186</v>
      </c>
      <c r="K85" s="3472" t="s">
        <v>3549</v>
      </c>
      <c r="L85" s="3472">
        <v>93.6</v>
      </c>
      <c r="M85" s="3472">
        <v>16</v>
      </c>
      <c r="N85" s="3472" t="s">
        <v>3656</v>
      </c>
      <c r="O85" s="3472">
        <v>79.11</v>
      </c>
      <c r="P85" s="3472" t="s">
        <v>3457</v>
      </c>
      <c r="Q85" s="3504">
        <v>645840</v>
      </c>
      <c r="R85" s="3472">
        <v>6900</v>
      </c>
      <c r="S85" s="3500">
        <v>64.11</v>
      </c>
      <c r="T85" s="3498">
        <v>641100</v>
      </c>
      <c r="U85" s="3472">
        <v>6850</v>
      </c>
      <c r="V85" s="3495">
        <v>0.2</v>
      </c>
      <c r="W85" s="3479">
        <v>51.28</v>
      </c>
      <c r="X85" s="3530">
        <v>512800</v>
      </c>
      <c r="Y85" s="3480">
        <v>2006</v>
      </c>
      <c r="Z85" s="3480">
        <v>5</v>
      </c>
      <c r="AA85" s="3480">
        <v>23</v>
      </c>
      <c r="AB85" s="3472">
        <v>1500</v>
      </c>
      <c r="AC85" s="3472" t="s">
        <v>4187</v>
      </c>
      <c r="AD85" s="3471"/>
      <c r="AE85" s="3483" t="s">
        <v>3447</v>
      </c>
      <c r="AF85" s="3476" t="s">
        <v>3591</v>
      </c>
      <c r="AG85" s="3481" t="s">
        <v>3448</v>
      </c>
      <c r="AH85" s="3471"/>
      <c r="AI85" s="3483" t="s">
        <v>3538</v>
      </c>
      <c r="AJ85" s="3503">
        <v>39066</v>
      </c>
      <c r="AK85" s="3482">
        <v>5</v>
      </c>
      <c r="AL85" s="3480">
        <v>67641700</v>
      </c>
      <c r="AM85" s="3480"/>
      <c r="AN85" s="3483" t="s">
        <v>3658</v>
      </c>
      <c r="AO85" s="3472"/>
      <c r="AP85" s="3483" t="s">
        <v>3450</v>
      </c>
      <c r="AQ85" s="3480" t="s">
        <v>3451</v>
      </c>
      <c r="AR85" s="3480" t="s">
        <v>3453</v>
      </c>
      <c r="AS85" s="3480" t="s">
        <v>3453</v>
      </c>
      <c r="AT85" s="3480" t="s">
        <v>3453</v>
      </c>
      <c r="AU85" s="3480"/>
      <c r="AV85" s="3480"/>
      <c r="AW85" s="3480" t="s">
        <v>3452</v>
      </c>
      <c r="AX85" s="3480" t="s">
        <v>3540</v>
      </c>
      <c r="AY85" s="3484" t="s">
        <v>4188</v>
      </c>
      <c r="AZ85" s="3472" t="s">
        <v>3453</v>
      </c>
      <c r="BA85" s="3532" t="s">
        <v>3453</v>
      </c>
      <c r="BB85" s="3533" t="s">
        <v>3453</v>
      </c>
      <c r="BC85" s="3532" t="s">
        <v>3453</v>
      </c>
      <c r="BD85" s="3534" t="s">
        <v>3453</v>
      </c>
      <c r="BE85" s="3480" t="s">
        <v>3453</v>
      </c>
      <c r="BF85" s="3486" t="s">
        <v>3453</v>
      </c>
      <c r="BG85" s="3535">
        <v>38829</v>
      </c>
      <c r="BH85" s="3472" t="s">
        <v>3453</v>
      </c>
      <c r="BI85" s="3487" t="s">
        <v>3701</v>
      </c>
      <c r="BJ85" s="3493">
        <v>38856</v>
      </c>
      <c r="BK85" s="3493"/>
      <c r="BL85" s="3472" t="s">
        <v>3454</v>
      </c>
      <c r="BM85" s="3480"/>
      <c r="BN85" s="3480"/>
      <c r="BO85" s="3480"/>
      <c r="BP85" s="3480"/>
      <c r="BQ85" s="3480">
        <v>8104</v>
      </c>
      <c r="BR85" s="3480">
        <v>8164</v>
      </c>
      <c r="BS85" s="3529"/>
      <c r="BT85" s="3529"/>
      <c r="BU85" s="3529"/>
    </row>
    <row r="86" spans="1:73" s="3491" customFormat="1" ht="12">
      <c r="A86" s="3472" t="s">
        <v>4189</v>
      </c>
      <c r="B86" s="3472" t="s">
        <v>4190</v>
      </c>
      <c r="C86" s="3473" t="s">
        <v>4191</v>
      </c>
      <c r="D86" s="3473" t="s">
        <v>4192</v>
      </c>
      <c r="E86" s="3492" t="s">
        <v>3446</v>
      </c>
      <c r="F86" s="3492" t="s">
        <v>4193</v>
      </c>
      <c r="G86" s="3472"/>
      <c r="H86" s="3471" t="s">
        <v>3621</v>
      </c>
      <c r="I86" s="3476" t="s">
        <v>4194</v>
      </c>
      <c r="J86" s="3472" t="s">
        <v>4186</v>
      </c>
      <c r="K86" s="3472" t="s">
        <v>3549</v>
      </c>
      <c r="L86" s="3472">
        <v>127.32</v>
      </c>
      <c r="M86" s="3472">
        <v>16</v>
      </c>
      <c r="N86" s="3472" t="s">
        <v>3690</v>
      </c>
      <c r="O86" s="3472">
        <v>107.58</v>
      </c>
      <c r="P86" s="3472" t="s">
        <v>3457</v>
      </c>
      <c r="Q86" s="3504">
        <v>840312</v>
      </c>
      <c r="R86" s="3472">
        <v>6600</v>
      </c>
      <c r="S86" s="3500">
        <v>83.39</v>
      </c>
      <c r="T86" s="3498">
        <v>833900</v>
      </c>
      <c r="U86" s="3472">
        <v>6550</v>
      </c>
      <c r="V86" s="3495">
        <v>0.3</v>
      </c>
      <c r="W86" s="3479">
        <v>58.37</v>
      </c>
      <c r="X86" s="3530">
        <v>583700</v>
      </c>
      <c r="Y86" s="3480">
        <v>2006</v>
      </c>
      <c r="Z86" s="3480">
        <v>10</v>
      </c>
      <c r="AA86" s="3480">
        <v>11</v>
      </c>
      <c r="AB86" s="3472">
        <v>1500</v>
      </c>
      <c r="AC86" s="3472" t="s">
        <v>4195</v>
      </c>
      <c r="AD86" s="3497" t="s">
        <v>4196</v>
      </c>
      <c r="AE86" s="3483" t="s">
        <v>3447</v>
      </c>
      <c r="AF86" s="3476" t="s">
        <v>4197</v>
      </c>
      <c r="AG86" s="3481" t="s">
        <v>3448</v>
      </c>
      <c r="AH86" s="3472"/>
      <c r="AI86" s="3483" t="s">
        <v>3538</v>
      </c>
      <c r="AJ86" s="3503">
        <v>39066</v>
      </c>
      <c r="AK86" s="3482" t="s">
        <v>4198</v>
      </c>
      <c r="AL86" s="3480"/>
      <c r="AM86" s="3472"/>
      <c r="AN86" s="3483" t="s">
        <v>3699</v>
      </c>
      <c r="AO86" s="3472"/>
      <c r="AP86" s="3483" t="s">
        <v>3701</v>
      </c>
      <c r="AQ86" s="3472" t="s">
        <v>3451</v>
      </c>
      <c r="AR86" s="3480" t="s">
        <v>3453</v>
      </c>
      <c r="AS86" s="3480" t="s">
        <v>3453</v>
      </c>
      <c r="AT86" s="3480" t="s">
        <v>3453</v>
      </c>
      <c r="AU86" s="3480"/>
      <c r="AV86" s="3480"/>
      <c r="AW86" s="3480" t="s">
        <v>3452</v>
      </c>
      <c r="AX86" s="3480" t="s">
        <v>3540</v>
      </c>
      <c r="AY86" s="3484" t="s">
        <v>4199</v>
      </c>
      <c r="AZ86" s="3472" t="s">
        <v>3453</v>
      </c>
      <c r="BA86" s="3532" t="s">
        <v>3453</v>
      </c>
      <c r="BB86" s="3533" t="s">
        <v>3453</v>
      </c>
      <c r="BC86" s="3532" t="s">
        <v>3453</v>
      </c>
      <c r="BD86" s="3534" t="s">
        <v>3453</v>
      </c>
      <c r="BE86" s="3480" t="s">
        <v>3453</v>
      </c>
      <c r="BF86" s="3486">
        <v>2.8</v>
      </c>
      <c r="BG86" s="3535">
        <v>38913</v>
      </c>
      <c r="BH86" s="3472" t="s">
        <v>3453</v>
      </c>
      <c r="BI86" s="3487" t="s">
        <v>3627</v>
      </c>
      <c r="BJ86" s="3493">
        <v>39000</v>
      </c>
      <c r="BK86" s="3493"/>
      <c r="BL86" s="3472" t="s">
        <v>3454</v>
      </c>
      <c r="BM86" s="3480"/>
      <c r="BN86" s="3480"/>
      <c r="BO86" s="3480"/>
      <c r="BP86" s="3480"/>
      <c r="BQ86" s="3480">
        <v>7751</v>
      </c>
      <c r="BR86" s="3480">
        <v>7811</v>
      </c>
      <c r="BS86" s="3529"/>
      <c r="BT86" s="3529"/>
      <c r="BU86" s="3529"/>
    </row>
    <row r="87" spans="1:73" s="3491" customFormat="1" ht="12" hidden="1">
      <c r="A87" s="3472" t="s">
        <v>4200</v>
      </c>
      <c r="B87" s="3472" t="s">
        <v>4201</v>
      </c>
      <c r="C87" s="3473" t="s">
        <v>4202</v>
      </c>
      <c r="D87" s="3473" t="s">
        <v>4203</v>
      </c>
      <c r="E87" s="3492" t="s">
        <v>3446</v>
      </c>
      <c r="F87" s="3492" t="s">
        <v>4193</v>
      </c>
      <c r="G87" s="3472"/>
      <c r="H87" s="3471" t="s">
        <v>4080</v>
      </c>
      <c r="I87" s="3476" t="s">
        <v>4204</v>
      </c>
      <c r="J87" s="3472" t="s">
        <v>4123</v>
      </c>
      <c r="K87" s="3472" t="s">
        <v>3549</v>
      </c>
      <c r="L87" s="3472">
        <v>133.55000000000001</v>
      </c>
      <c r="M87" s="3472">
        <v>16</v>
      </c>
      <c r="N87" s="3472" t="s">
        <v>3690</v>
      </c>
      <c r="O87" s="3472">
        <v>112.88</v>
      </c>
      <c r="P87" s="3472" t="s">
        <v>3457</v>
      </c>
      <c r="Q87" s="3504">
        <v>881430</v>
      </c>
      <c r="R87" s="3472">
        <v>6600</v>
      </c>
      <c r="S87" s="3500">
        <v>87.47</v>
      </c>
      <c r="T87" s="3498">
        <v>874700</v>
      </c>
      <c r="U87" s="3472">
        <v>6550</v>
      </c>
      <c r="V87" s="3495">
        <v>0.3</v>
      </c>
      <c r="W87" s="3479">
        <v>61.22</v>
      </c>
      <c r="X87" s="3530">
        <v>612200</v>
      </c>
      <c r="Y87" s="3480">
        <v>2006</v>
      </c>
      <c r="Z87" s="3480">
        <v>10</v>
      </c>
      <c r="AA87" s="3480">
        <v>11</v>
      </c>
      <c r="AB87" s="3472">
        <v>1500</v>
      </c>
      <c r="AC87" s="3472" t="s">
        <v>4195</v>
      </c>
      <c r="AD87" s="3497" t="s">
        <v>4205</v>
      </c>
      <c r="AE87" s="3483" t="s">
        <v>3447</v>
      </c>
      <c r="AF87" s="3476" t="s">
        <v>4197</v>
      </c>
      <c r="AG87" s="3481" t="s">
        <v>3448</v>
      </c>
      <c r="AH87" s="3472"/>
      <c r="AI87" s="3483" t="s">
        <v>3538</v>
      </c>
      <c r="AJ87" s="3503">
        <v>39066</v>
      </c>
      <c r="AK87" s="3482" t="s">
        <v>4198</v>
      </c>
      <c r="AL87" s="3480"/>
      <c r="AM87" s="3472"/>
      <c r="AN87" s="3483" t="s">
        <v>3699</v>
      </c>
      <c r="AO87" s="3472"/>
      <c r="AP87" s="3483" t="s">
        <v>3701</v>
      </c>
      <c r="AQ87" s="3472" t="s">
        <v>3451</v>
      </c>
      <c r="AR87" s="3480" t="s">
        <v>3453</v>
      </c>
      <c r="AS87" s="3480" t="s">
        <v>3453</v>
      </c>
      <c r="AT87" s="3480" t="s">
        <v>3453</v>
      </c>
      <c r="AU87" s="3480"/>
      <c r="AV87" s="3480"/>
      <c r="AW87" s="3480" t="s">
        <v>3452</v>
      </c>
      <c r="AX87" s="3480" t="s">
        <v>3540</v>
      </c>
      <c r="AY87" s="3484" t="s">
        <v>4206</v>
      </c>
      <c r="AZ87" s="3472" t="s">
        <v>3453</v>
      </c>
      <c r="BA87" s="3532" t="s">
        <v>3453</v>
      </c>
      <c r="BB87" s="3533" t="s">
        <v>3453</v>
      </c>
      <c r="BC87" s="3532" t="s">
        <v>3453</v>
      </c>
      <c r="BD87" s="3534" t="s">
        <v>3453</v>
      </c>
      <c r="BE87" s="3480" t="s">
        <v>3453</v>
      </c>
      <c r="BF87" s="3486">
        <v>2.8</v>
      </c>
      <c r="BG87" s="3535">
        <v>38931</v>
      </c>
      <c r="BH87" s="3472" t="s">
        <v>3453</v>
      </c>
      <c r="BI87" s="3487" t="s">
        <v>3701</v>
      </c>
      <c r="BJ87" s="3493">
        <v>39000</v>
      </c>
      <c r="BK87" s="3493"/>
      <c r="BL87" s="3472" t="s">
        <v>3454</v>
      </c>
      <c r="BM87" s="3480"/>
      <c r="BN87" s="3480"/>
      <c r="BO87" s="3480"/>
      <c r="BP87" s="3480"/>
      <c r="BQ87" s="3480">
        <v>7749</v>
      </c>
      <c r="BR87" s="3480">
        <v>7809</v>
      </c>
      <c r="BS87" s="3529"/>
      <c r="BT87" s="3529"/>
      <c r="BU87" s="3529"/>
    </row>
    <row r="88" spans="1:73" s="3490" customFormat="1" ht="12" hidden="1">
      <c r="A88" s="3476" t="s">
        <v>4207</v>
      </c>
      <c r="B88" s="3472" t="s">
        <v>4208</v>
      </c>
      <c r="C88" s="3474" t="s">
        <v>4209</v>
      </c>
      <c r="D88" s="3476" t="s">
        <v>4210</v>
      </c>
      <c r="E88" s="3472" t="s">
        <v>3583</v>
      </c>
      <c r="F88" s="3476" t="s">
        <v>4211</v>
      </c>
      <c r="G88" s="3472"/>
      <c r="H88" s="3472" t="s">
        <v>3585</v>
      </c>
      <c r="I88" s="3472"/>
      <c r="J88" s="3473" t="s">
        <v>4212</v>
      </c>
      <c r="K88" s="3472" t="s">
        <v>4213</v>
      </c>
      <c r="L88" s="3472">
        <v>72.66</v>
      </c>
      <c r="M88" s="3472">
        <v>23</v>
      </c>
      <c r="N88" s="3472" t="s">
        <v>4214</v>
      </c>
      <c r="O88" s="3472"/>
      <c r="P88" s="3472" t="s">
        <v>3457</v>
      </c>
      <c r="Q88" s="3504">
        <v>422000</v>
      </c>
      <c r="R88" s="3472">
        <v>5808</v>
      </c>
      <c r="S88" s="3500">
        <v>41.65</v>
      </c>
      <c r="T88" s="3498">
        <v>416500</v>
      </c>
      <c r="U88" s="3472">
        <v>5733</v>
      </c>
      <c r="V88" s="3495">
        <v>0.2</v>
      </c>
      <c r="W88" s="3479">
        <v>33.32</v>
      </c>
      <c r="X88" s="3530">
        <v>333200</v>
      </c>
      <c r="Y88" s="3472">
        <v>2006</v>
      </c>
      <c r="Z88" s="3480">
        <v>11</v>
      </c>
      <c r="AA88" s="3480">
        <v>28</v>
      </c>
      <c r="AB88" s="3472">
        <v>1245</v>
      </c>
      <c r="AC88" s="3472" t="s">
        <v>4215</v>
      </c>
      <c r="AD88" s="3540">
        <v>91302006110418</v>
      </c>
      <c r="AE88" s="3480" t="s">
        <v>4216</v>
      </c>
      <c r="AF88" s="3472" t="s">
        <v>3461</v>
      </c>
      <c r="AG88" s="3481" t="s">
        <v>4217</v>
      </c>
      <c r="AH88" s="3471" t="s">
        <v>3453</v>
      </c>
      <c r="AI88" s="3472" t="s">
        <v>3538</v>
      </c>
      <c r="AJ88" s="3503"/>
      <c r="AK88" s="3482" t="s">
        <v>4218</v>
      </c>
      <c r="AL88" s="3480">
        <v>55</v>
      </c>
      <c r="AM88" s="3472"/>
      <c r="AN88" s="3483" t="s">
        <v>3976</v>
      </c>
      <c r="AO88" s="3480" t="s">
        <v>4219</v>
      </c>
      <c r="AP88" s="3480" t="s">
        <v>4220</v>
      </c>
      <c r="AQ88" s="3472" t="s">
        <v>4021</v>
      </c>
      <c r="AR88" s="3472">
        <v>2006</v>
      </c>
      <c r="AS88" s="3472">
        <v>11</v>
      </c>
      <c r="AT88" s="3472">
        <v>28</v>
      </c>
      <c r="AU88" s="3480"/>
      <c r="AV88" s="3480" t="s">
        <v>3453</v>
      </c>
      <c r="AW88" s="3480" t="s">
        <v>4221</v>
      </c>
      <c r="AX88" s="3480"/>
      <c r="AY88" s="3484"/>
      <c r="AZ88" s="3472" t="s">
        <v>4222</v>
      </c>
      <c r="BA88" s="3480"/>
      <c r="BB88" s="3484"/>
      <c r="BC88" s="3480"/>
      <c r="BD88" s="3485"/>
      <c r="BE88" s="3480">
        <v>13051244138</v>
      </c>
      <c r="BF88" s="3486"/>
      <c r="BG88" s="3496">
        <v>39025</v>
      </c>
      <c r="BH88" s="3480"/>
      <c r="BI88" s="3472" t="s">
        <v>4220</v>
      </c>
      <c r="BJ88" s="3496">
        <v>39030</v>
      </c>
      <c r="BK88" s="3493"/>
      <c r="BL88" s="3472" t="s">
        <v>4035</v>
      </c>
      <c r="BM88" s="3480" t="s">
        <v>4024</v>
      </c>
      <c r="BN88" s="3472" t="s">
        <v>4223</v>
      </c>
      <c r="BO88" s="3480" t="s">
        <v>4224</v>
      </c>
      <c r="BP88" s="3480"/>
      <c r="BQ88" s="3480" t="e">
        <v>#DIV/0!</v>
      </c>
      <c r="BR88" s="3480" t="e">
        <v>#DIV/0!</v>
      </c>
      <c r="BS88" s="3529"/>
      <c r="BT88" s="3529"/>
      <c r="BU88" s="3529"/>
    </row>
    <row r="89" spans="1:73" s="3490" customFormat="1" ht="12">
      <c r="A89" s="3472" t="s">
        <v>4225</v>
      </c>
      <c r="B89" s="3472" t="s">
        <v>4226</v>
      </c>
      <c r="C89" s="3473" t="s">
        <v>4227</v>
      </c>
      <c r="D89" s="3473" t="s">
        <v>4228</v>
      </c>
      <c r="E89" s="3492" t="s">
        <v>3446</v>
      </c>
      <c r="F89" s="3492" t="s">
        <v>3545</v>
      </c>
      <c r="G89" s="3472"/>
      <c r="H89" s="3471" t="s">
        <v>3585</v>
      </c>
      <c r="I89" s="3476" t="s">
        <v>4229</v>
      </c>
      <c r="J89" s="3472" t="s">
        <v>4230</v>
      </c>
      <c r="K89" s="3472" t="s">
        <v>3549</v>
      </c>
      <c r="L89" s="3472">
        <v>103.9</v>
      </c>
      <c r="M89" s="3472">
        <v>21</v>
      </c>
      <c r="N89" s="3472" t="s">
        <v>3773</v>
      </c>
      <c r="O89" s="3472">
        <v>84.77</v>
      </c>
      <c r="P89" s="3472" t="s">
        <v>3457</v>
      </c>
      <c r="Q89" s="3504">
        <v>555865</v>
      </c>
      <c r="R89" s="3472">
        <v>5350</v>
      </c>
      <c r="S89" s="3500">
        <v>55.06</v>
      </c>
      <c r="T89" s="3498">
        <v>550600</v>
      </c>
      <c r="U89" s="3472">
        <v>5300</v>
      </c>
      <c r="V89" s="3495">
        <v>0.2</v>
      </c>
      <c r="W89" s="3479">
        <v>44.04</v>
      </c>
      <c r="X89" s="3530">
        <v>440400</v>
      </c>
      <c r="Y89" s="3480">
        <v>2006</v>
      </c>
      <c r="Z89" s="3480">
        <v>4</v>
      </c>
      <c r="AA89" s="3480">
        <v>12</v>
      </c>
      <c r="AB89" s="3472">
        <v>1500</v>
      </c>
      <c r="AC89" s="3472" t="s">
        <v>4231</v>
      </c>
      <c r="AD89" s="3471"/>
      <c r="AE89" s="3483" t="s">
        <v>3447</v>
      </c>
      <c r="AF89" s="3476" t="s">
        <v>3709</v>
      </c>
      <c r="AG89" s="3481" t="s">
        <v>3448</v>
      </c>
      <c r="AH89" s="3471"/>
      <c r="AI89" s="3483" t="s">
        <v>3538</v>
      </c>
      <c r="AJ89" s="3503">
        <v>39021</v>
      </c>
      <c r="AK89" s="3482">
        <v>4</v>
      </c>
      <c r="AL89" s="3480">
        <v>67641700</v>
      </c>
      <c r="AM89" s="3480"/>
      <c r="AN89" s="3483" t="s">
        <v>3625</v>
      </c>
      <c r="AO89" s="3472"/>
      <c r="AP89" s="3483" t="s">
        <v>3450</v>
      </c>
      <c r="AQ89" s="3480" t="s">
        <v>3451</v>
      </c>
      <c r="AR89" s="3480" t="s">
        <v>3453</v>
      </c>
      <c r="AS89" s="3480" t="s">
        <v>3453</v>
      </c>
      <c r="AT89" s="3480" t="s">
        <v>3453</v>
      </c>
      <c r="AU89" s="3480"/>
      <c r="AV89" s="3480"/>
      <c r="AW89" s="3480" t="s">
        <v>3452</v>
      </c>
      <c r="AX89" s="3480" t="s">
        <v>3540</v>
      </c>
      <c r="AY89" s="3484" t="s">
        <v>4232</v>
      </c>
      <c r="AZ89" s="3471" t="s">
        <v>3453</v>
      </c>
      <c r="BA89" s="3532" t="s">
        <v>3453</v>
      </c>
      <c r="BB89" s="3533" t="s">
        <v>3453</v>
      </c>
      <c r="BC89" s="3532" t="s">
        <v>3453</v>
      </c>
      <c r="BD89" s="3534" t="s">
        <v>3453</v>
      </c>
      <c r="BE89" s="3480" t="s">
        <v>3453</v>
      </c>
      <c r="BF89" s="3486" t="s">
        <v>3453</v>
      </c>
      <c r="BG89" s="3535">
        <v>38802</v>
      </c>
      <c r="BH89" s="3472" t="s">
        <v>3453</v>
      </c>
      <c r="BI89" s="3487" t="s">
        <v>3701</v>
      </c>
      <c r="BJ89" s="3493">
        <v>38818</v>
      </c>
      <c r="BK89" s="3493"/>
      <c r="BL89" s="3472" t="s">
        <v>3454</v>
      </c>
      <c r="BM89" s="3480"/>
      <c r="BN89" s="3480"/>
      <c r="BO89" s="3480"/>
      <c r="BP89" s="3480"/>
      <c r="BQ89" s="3480">
        <v>6495</v>
      </c>
      <c r="BR89" s="3480">
        <v>6557</v>
      </c>
      <c r="BS89" s="3529"/>
      <c r="BT89" s="3529"/>
      <c r="BU89" s="3529"/>
    </row>
    <row r="90" spans="1:73" s="3490" customFormat="1" ht="13.2">
      <c r="A90" s="3472" t="s">
        <v>4233</v>
      </c>
      <c r="B90" s="3472" t="s">
        <v>4234</v>
      </c>
      <c r="C90" s="3473" t="s">
        <v>4235</v>
      </c>
      <c r="D90" s="3476">
        <v>13911396105</v>
      </c>
      <c r="E90" s="3472" t="s">
        <v>3583</v>
      </c>
      <c r="F90" s="3472" t="s">
        <v>4506</v>
      </c>
      <c r="G90" s="3472"/>
      <c r="H90" s="3494" t="s">
        <v>4236</v>
      </c>
      <c r="I90" s="3476" t="s">
        <v>4237</v>
      </c>
      <c r="J90" s="3494" t="s">
        <v>4238</v>
      </c>
      <c r="K90" s="3472" t="s">
        <v>4239</v>
      </c>
      <c r="L90" s="3475">
        <v>154.63</v>
      </c>
      <c r="M90" s="3541" t="s">
        <v>4240</v>
      </c>
      <c r="N90" s="3472" t="s">
        <v>3646</v>
      </c>
      <c r="O90" s="3472">
        <v>129.78</v>
      </c>
      <c r="P90" s="3472" t="s">
        <v>3457</v>
      </c>
      <c r="Q90" s="3477">
        <v>1063437</v>
      </c>
      <c r="R90" s="3472">
        <v>6877</v>
      </c>
      <c r="S90" s="3500">
        <v>105.56</v>
      </c>
      <c r="T90" s="3498">
        <v>1055600</v>
      </c>
      <c r="U90" s="3477">
        <v>6827</v>
      </c>
      <c r="V90" s="3495">
        <v>0.2</v>
      </c>
      <c r="W90" s="3479">
        <v>84.44</v>
      </c>
      <c r="X90" s="3530">
        <v>844400</v>
      </c>
      <c r="Y90" s="3472">
        <v>2006</v>
      </c>
      <c r="Z90" s="3472">
        <v>4</v>
      </c>
      <c r="AA90" s="3472">
        <v>21</v>
      </c>
      <c r="AB90" s="3472">
        <v>1500</v>
      </c>
      <c r="AC90" s="3472" t="s">
        <v>4215</v>
      </c>
      <c r="AD90" s="3472"/>
      <c r="AE90" s="3472" t="s">
        <v>3447</v>
      </c>
      <c r="AF90" s="3472" t="s">
        <v>4197</v>
      </c>
      <c r="AG90" s="3472" t="s">
        <v>3448</v>
      </c>
      <c r="AH90" s="3472" t="s">
        <v>3453</v>
      </c>
      <c r="AI90" s="3483" t="s">
        <v>3592</v>
      </c>
      <c r="AJ90" s="3503">
        <v>38868</v>
      </c>
      <c r="AK90" s="3472" t="s">
        <v>3594</v>
      </c>
      <c r="AL90" s="3472">
        <v>67641700</v>
      </c>
      <c r="AM90" s="3472"/>
      <c r="AN90" s="3472" t="s">
        <v>4241</v>
      </c>
      <c r="AO90" s="3472"/>
      <c r="AP90" s="3480" t="s">
        <v>3450</v>
      </c>
      <c r="AQ90" s="3472" t="s">
        <v>3451</v>
      </c>
      <c r="AR90" s="3472"/>
      <c r="AS90" s="3472"/>
      <c r="AT90" s="3472"/>
      <c r="AU90" s="3472"/>
      <c r="AV90" s="3472" t="s">
        <v>3453</v>
      </c>
      <c r="AW90" s="3472" t="s">
        <v>3452</v>
      </c>
      <c r="AX90" s="3472" t="s">
        <v>3599</v>
      </c>
      <c r="AY90" s="3483">
        <v>219979</v>
      </c>
      <c r="AZ90" s="3472"/>
      <c r="BA90" s="3472"/>
      <c r="BB90" s="3472"/>
      <c r="BC90" s="3472"/>
      <c r="BD90" s="3472"/>
      <c r="BE90" s="3472"/>
      <c r="BF90" s="3472"/>
      <c r="BG90" s="3496">
        <v>38800</v>
      </c>
      <c r="BH90" s="3472"/>
      <c r="BI90" s="3472" t="s">
        <v>3682</v>
      </c>
      <c r="BJ90" s="3488">
        <v>38827</v>
      </c>
      <c r="BK90" s="3488"/>
      <c r="BL90" s="3472" t="s">
        <v>3454</v>
      </c>
      <c r="BM90" s="3472"/>
      <c r="BN90" s="3472"/>
      <c r="BO90" s="3472"/>
      <c r="BP90" s="3472"/>
      <c r="BQ90" s="3472">
        <v>8134</v>
      </c>
      <c r="BR90" s="3472">
        <v>8194</v>
      </c>
      <c r="BS90" s="3529"/>
      <c r="BT90" s="3529"/>
      <c r="BU90" s="3529"/>
    </row>
    <row r="91" spans="1:73" s="3490" customFormat="1" ht="12" hidden="1">
      <c r="A91" s="3472" t="s">
        <v>4242</v>
      </c>
      <c r="B91" s="3472" t="s">
        <v>4243</v>
      </c>
      <c r="C91" s="3473" t="s">
        <v>4244</v>
      </c>
      <c r="D91" s="3476">
        <v>13716333502</v>
      </c>
      <c r="E91" s="3471" t="s">
        <v>3583</v>
      </c>
      <c r="F91" s="3471" t="s">
        <v>4245</v>
      </c>
      <c r="G91" s="3472"/>
      <c r="H91" s="3471" t="s">
        <v>4246</v>
      </c>
      <c r="I91" s="3472" t="s">
        <v>3644</v>
      </c>
      <c r="J91" s="3472" t="s">
        <v>4032</v>
      </c>
      <c r="K91" s="3472" t="s">
        <v>4247</v>
      </c>
      <c r="L91" s="3472">
        <v>76.69</v>
      </c>
      <c r="M91" s="3472">
        <v>2</v>
      </c>
      <c r="N91" s="3472" t="s">
        <v>3773</v>
      </c>
      <c r="O91" s="3472"/>
      <c r="P91" s="3472" t="s">
        <v>4248</v>
      </c>
      <c r="Q91" s="3542">
        <v>455000</v>
      </c>
      <c r="R91" s="3472">
        <v>5933</v>
      </c>
      <c r="S91" s="3500">
        <v>34.54</v>
      </c>
      <c r="T91" s="3498">
        <v>345400</v>
      </c>
      <c r="U91" s="3472">
        <v>4505</v>
      </c>
      <c r="V91" s="3495">
        <v>0.2</v>
      </c>
      <c r="W91" s="3479">
        <v>27.63</v>
      </c>
      <c r="X91" s="3498">
        <v>276300</v>
      </c>
      <c r="Y91" s="3480">
        <v>2006</v>
      </c>
      <c r="Z91" s="3480">
        <v>5</v>
      </c>
      <c r="AA91" s="3480">
        <v>15</v>
      </c>
      <c r="AB91" s="3472">
        <v>1035</v>
      </c>
      <c r="AC91" s="3472" t="s">
        <v>4249</v>
      </c>
      <c r="AD91" s="3471"/>
      <c r="AE91" s="3476" t="s">
        <v>3447</v>
      </c>
      <c r="AF91" s="3472" t="s">
        <v>4250</v>
      </c>
      <c r="AG91" s="3471" t="s">
        <v>3448</v>
      </c>
      <c r="AH91" s="3471"/>
      <c r="AI91" s="3472" t="s">
        <v>3592</v>
      </c>
      <c r="AJ91" s="3503"/>
      <c r="AK91" s="3482" t="s">
        <v>3984</v>
      </c>
      <c r="AL91" s="3480">
        <v>67641700</v>
      </c>
      <c r="AM91" s="3480"/>
      <c r="AN91" s="3483" t="s">
        <v>4251</v>
      </c>
      <c r="AO91" s="3472"/>
      <c r="AP91" s="3472" t="s">
        <v>4252</v>
      </c>
      <c r="AQ91" s="3480" t="s">
        <v>4253</v>
      </c>
      <c r="AR91" s="3480"/>
      <c r="AS91" s="3480"/>
      <c r="AT91" s="3480"/>
      <c r="AU91" s="3480"/>
      <c r="AV91" s="3480"/>
      <c r="AW91" s="3480" t="s">
        <v>4254</v>
      </c>
      <c r="AX91" s="3480"/>
      <c r="AY91" s="3484"/>
      <c r="AZ91" s="3471" t="s">
        <v>4247</v>
      </c>
      <c r="BA91" s="3480"/>
      <c r="BB91" s="3485"/>
      <c r="BC91" s="3480"/>
      <c r="BD91" s="3485"/>
      <c r="BE91" s="3480">
        <v>13651348125</v>
      </c>
      <c r="BF91" s="3486"/>
      <c r="BG91" s="3489">
        <v>38803</v>
      </c>
      <c r="BH91" s="3472"/>
      <c r="BI91" s="3480" t="s">
        <v>4018</v>
      </c>
      <c r="BJ91" s="3489">
        <v>38848</v>
      </c>
      <c r="BK91" s="3493"/>
      <c r="BL91" s="3472" t="s">
        <v>3459</v>
      </c>
      <c r="BM91" s="3480" t="s">
        <v>4024</v>
      </c>
      <c r="BN91" s="3480" t="s">
        <v>4255</v>
      </c>
      <c r="BO91" s="3480" t="s">
        <v>4224</v>
      </c>
      <c r="BP91" s="3480"/>
      <c r="BQ91" s="3480" t="e">
        <v>#DIV/0!</v>
      </c>
      <c r="BR91" s="3480" t="e">
        <v>#DIV/0!</v>
      </c>
      <c r="BS91" s="3529"/>
      <c r="BT91" s="3529"/>
      <c r="BU91" s="3529"/>
    </row>
    <row r="92" spans="1:73" s="3490" customFormat="1" ht="12">
      <c r="A92" s="3472" t="s">
        <v>4256</v>
      </c>
      <c r="B92" s="3472" t="s">
        <v>4257</v>
      </c>
      <c r="C92" s="3473" t="s">
        <v>4258</v>
      </c>
      <c r="D92" s="3473" t="s">
        <v>4259</v>
      </c>
      <c r="E92" s="3492" t="s">
        <v>3446</v>
      </c>
      <c r="F92" s="3492" t="s">
        <v>3545</v>
      </c>
      <c r="G92" s="3472"/>
      <c r="H92" s="3492" t="s">
        <v>4080</v>
      </c>
      <c r="I92" s="3476" t="s">
        <v>4260</v>
      </c>
      <c r="J92" s="3472" t="s">
        <v>3975</v>
      </c>
      <c r="K92" s="3472" t="s">
        <v>3549</v>
      </c>
      <c r="L92" s="3472">
        <v>93.6</v>
      </c>
      <c r="M92" s="3472">
        <v>14</v>
      </c>
      <c r="N92" s="3472" t="s">
        <v>3656</v>
      </c>
      <c r="O92" s="3472">
        <v>79.11</v>
      </c>
      <c r="P92" s="3472" t="s">
        <v>3457</v>
      </c>
      <c r="Q92" s="3504">
        <v>678600</v>
      </c>
      <c r="R92" s="3472">
        <v>7250</v>
      </c>
      <c r="S92" s="3500">
        <v>67.290000000000006</v>
      </c>
      <c r="T92" s="3498">
        <v>672900.00000000012</v>
      </c>
      <c r="U92" s="3472">
        <v>7190</v>
      </c>
      <c r="V92" s="3495">
        <v>0.2</v>
      </c>
      <c r="W92" s="3479">
        <v>53.83</v>
      </c>
      <c r="X92" s="3530">
        <v>538300</v>
      </c>
      <c r="Y92" s="3480">
        <v>2006</v>
      </c>
      <c r="Z92" s="3480">
        <v>5</v>
      </c>
      <c r="AA92" s="3480">
        <v>17</v>
      </c>
      <c r="AB92" s="3472">
        <v>1500</v>
      </c>
      <c r="AC92" s="3472" t="s">
        <v>4261</v>
      </c>
      <c r="AD92" s="3471"/>
      <c r="AE92" s="3483" t="s">
        <v>3447</v>
      </c>
      <c r="AF92" s="3476" t="s">
        <v>3591</v>
      </c>
      <c r="AG92" s="3481" t="s">
        <v>3448</v>
      </c>
      <c r="AH92" s="3471"/>
      <c r="AI92" s="3483" t="s">
        <v>3538</v>
      </c>
      <c r="AJ92" s="3503">
        <v>39066</v>
      </c>
      <c r="AK92" s="3482">
        <v>5</v>
      </c>
      <c r="AL92" s="3480">
        <v>67641700</v>
      </c>
      <c r="AM92" s="3480"/>
      <c r="AN92" s="3483" t="s">
        <v>3625</v>
      </c>
      <c r="AO92" s="3472"/>
      <c r="AP92" s="3483" t="s">
        <v>3450</v>
      </c>
      <c r="AQ92" s="3480" t="s">
        <v>3451</v>
      </c>
      <c r="AR92" s="3480" t="s">
        <v>3453</v>
      </c>
      <c r="AS92" s="3480" t="s">
        <v>3453</v>
      </c>
      <c r="AT92" s="3480" t="s">
        <v>3453</v>
      </c>
      <c r="AU92" s="3480"/>
      <c r="AV92" s="3480"/>
      <c r="AW92" s="3480" t="s">
        <v>3452</v>
      </c>
      <c r="AX92" s="3480" t="s">
        <v>3540</v>
      </c>
      <c r="AY92" s="3484" t="s">
        <v>4262</v>
      </c>
      <c r="AZ92" s="3472" t="s">
        <v>3453</v>
      </c>
      <c r="BA92" s="3532" t="s">
        <v>3453</v>
      </c>
      <c r="BB92" s="3533" t="s">
        <v>3453</v>
      </c>
      <c r="BC92" s="3532" t="s">
        <v>3453</v>
      </c>
      <c r="BD92" s="3534" t="s">
        <v>3453</v>
      </c>
      <c r="BE92" s="3480" t="s">
        <v>3453</v>
      </c>
      <c r="BF92" s="3486" t="s">
        <v>3453</v>
      </c>
      <c r="BG92" s="3535">
        <v>38838</v>
      </c>
      <c r="BH92" s="3472" t="s">
        <v>3453</v>
      </c>
      <c r="BI92" s="3487" t="s">
        <v>3701</v>
      </c>
      <c r="BJ92" s="3493">
        <v>38853</v>
      </c>
      <c r="BK92" s="3493"/>
      <c r="BL92" s="3472" t="s">
        <v>3454</v>
      </c>
      <c r="BM92" s="3480"/>
      <c r="BN92" s="3480"/>
      <c r="BO92" s="3480"/>
      <c r="BP92" s="3480"/>
      <c r="BQ92" s="3480">
        <v>8506</v>
      </c>
      <c r="BR92" s="3480">
        <v>8578</v>
      </c>
      <c r="BS92" s="3529"/>
      <c r="BT92" s="3529"/>
      <c r="BU92" s="3529"/>
    </row>
    <row r="93" spans="1:73" s="3490" customFormat="1" ht="12">
      <c r="A93" s="3472" t="s">
        <v>4263</v>
      </c>
      <c r="B93" s="3472" t="s">
        <v>4264</v>
      </c>
      <c r="C93" s="3473" t="s">
        <v>4265</v>
      </c>
      <c r="D93" s="3473" t="s">
        <v>4266</v>
      </c>
      <c r="E93" s="3492" t="s">
        <v>3446</v>
      </c>
      <c r="F93" s="3492" t="s">
        <v>3545</v>
      </c>
      <c r="G93" s="3472"/>
      <c r="H93" s="3492" t="s">
        <v>4095</v>
      </c>
      <c r="I93" s="3476" t="s">
        <v>4267</v>
      </c>
      <c r="J93" s="3472" t="s">
        <v>4052</v>
      </c>
      <c r="K93" s="3472" t="s">
        <v>3549</v>
      </c>
      <c r="L93" s="3472">
        <v>90.58</v>
      </c>
      <c r="M93" s="3472">
        <v>2</v>
      </c>
      <c r="N93" s="3472" t="s">
        <v>3656</v>
      </c>
      <c r="O93" s="3472">
        <v>76.56</v>
      </c>
      <c r="P93" s="3472" t="s">
        <v>3457</v>
      </c>
      <c r="Q93" s="3504">
        <v>543480</v>
      </c>
      <c r="R93" s="3472">
        <v>6000</v>
      </c>
      <c r="S93" s="3500">
        <v>53.89</v>
      </c>
      <c r="T93" s="3498">
        <v>538900</v>
      </c>
      <c r="U93" s="3472">
        <v>5950</v>
      </c>
      <c r="V93" s="3495">
        <v>0.2</v>
      </c>
      <c r="W93" s="3479">
        <v>43.11</v>
      </c>
      <c r="X93" s="3530">
        <v>431100</v>
      </c>
      <c r="Y93" s="3480">
        <v>2006</v>
      </c>
      <c r="Z93" s="3480">
        <v>5</v>
      </c>
      <c r="AA93" s="3480">
        <v>18</v>
      </c>
      <c r="AB93" s="3472">
        <v>1500</v>
      </c>
      <c r="AC93" s="3472" t="s">
        <v>4261</v>
      </c>
      <c r="AD93" s="3471"/>
      <c r="AE93" s="3483" t="s">
        <v>3447</v>
      </c>
      <c r="AF93" s="3476" t="s">
        <v>3591</v>
      </c>
      <c r="AG93" s="3481" t="s">
        <v>3448</v>
      </c>
      <c r="AH93" s="3471"/>
      <c r="AI93" s="3483" t="s">
        <v>3538</v>
      </c>
      <c r="AJ93" s="3503">
        <v>39066</v>
      </c>
      <c r="AK93" s="3482">
        <v>5</v>
      </c>
      <c r="AL93" s="3480">
        <v>67641700</v>
      </c>
      <c r="AM93" s="3480"/>
      <c r="AN93" s="3483" t="s">
        <v>3658</v>
      </c>
      <c r="AO93" s="3472"/>
      <c r="AP93" s="3483" t="s">
        <v>3450</v>
      </c>
      <c r="AQ93" s="3480" t="s">
        <v>3451</v>
      </c>
      <c r="AR93" s="3480" t="s">
        <v>3453</v>
      </c>
      <c r="AS93" s="3480" t="s">
        <v>3453</v>
      </c>
      <c r="AT93" s="3480" t="s">
        <v>3453</v>
      </c>
      <c r="AU93" s="3480"/>
      <c r="AV93" s="3480"/>
      <c r="AW93" s="3480" t="s">
        <v>3452</v>
      </c>
      <c r="AX93" s="3480" t="s">
        <v>3540</v>
      </c>
      <c r="AY93" s="3484" t="s">
        <v>4268</v>
      </c>
      <c r="AZ93" s="3472" t="s">
        <v>3453</v>
      </c>
      <c r="BA93" s="3532" t="s">
        <v>3453</v>
      </c>
      <c r="BB93" s="3533" t="s">
        <v>3453</v>
      </c>
      <c r="BC93" s="3532" t="s">
        <v>3453</v>
      </c>
      <c r="BD93" s="3534" t="s">
        <v>3453</v>
      </c>
      <c r="BE93" s="3480" t="s">
        <v>3453</v>
      </c>
      <c r="BF93" s="3486" t="s">
        <v>3453</v>
      </c>
      <c r="BG93" s="3535">
        <v>38826</v>
      </c>
      <c r="BH93" s="3472" t="s">
        <v>3453</v>
      </c>
      <c r="BI93" s="3487" t="s">
        <v>3682</v>
      </c>
      <c r="BJ93" s="3493">
        <v>38854</v>
      </c>
      <c r="BK93" s="3493"/>
      <c r="BL93" s="3472" t="s">
        <v>3454</v>
      </c>
      <c r="BM93" s="3480"/>
      <c r="BN93" s="3480"/>
      <c r="BO93" s="3480"/>
      <c r="BP93" s="3480"/>
      <c r="BQ93" s="3480">
        <v>7039</v>
      </c>
      <c r="BR93" s="3480">
        <v>7099</v>
      </c>
      <c r="BS93" s="3529"/>
      <c r="BT93" s="3529"/>
      <c r="BU93" s="3529"/>
    </row>
    <row r="94" spans="1:73" s="3611" customFormat="1" ht="12">
      <c r="A94" s="3586" t="s">
        <v>4269</v>
      </c>
      <c r="B94" s="3586" t="s">
        <v>4270</v>
      </c>
      <c r="C94" s="3587" t="s">
        <v>4271</v>
      </c>
      <c r="D94" s="3587" t="s">
        <v>4272</v>
      </c>
      <c r="E94" s="3588" t="s">
        <v>3446</v>
      </c>
      <c r="F94" s="3588" t="s">
        <v>3545</v>
      </c>
      <c r="G94" s="3586"/>
      <c r="H94" s="3588" t="s">
        <v>4095</v>
      </c>
      <c r="I94" s="3589" t="s">
        <v>4273</v>
      </c>
      <c r="J94" s="3586" t="s">
        <v>3716</v>
      </c>
      <c r="K94" s="3586" t="s">
        <v>3549</v>
      </c>
      <c r="L94" s="3586">
        <v>93.6</v>
      </c>
      <c r="M94" s="3586">
        <v>3</v>
      </c>
      <c r="N94" s="3586" t="s">
        <v>3773</v>
      </c>
      <c r="O94" s="3586">
        <v>79.11</v>
      </c>
      <c r="P94" s="3586" t="s">
        <v>3457</v>
      </c>
      <c r="Q94" s="3590">
        <v>641160</v>
      </c>
      <c r="R94" s="3586">
        <v>6850</v>
      </c>
      <c r="S94" s="3591">
        <v>63.64</v>
      </c>
      <c r="T94" s="3592">
        <v>636400</v>
      </c>
      <c r="U94" s="3586">
        <v>6800</v>
      </c>
      <c r="V94" s="3593">
        <v>0.2</v>
      </c>
      <c r="W94" s="3594">
        <v>50.91</v>
      </c>
      <c r="X94" s="3595">
        <v>509099.99999999994</v>
      </c>
      <c r="Y94" s="3596">
        <v>2006</v>
      </c>
      <c r="Z94" s="3596">
        <v>5</v>
      </c>
      <c r="AA94" s="3596">
        <v>25</v>
      </c>
      <c r="AB94" s="3586">
        <v>1500</v>
      </c>
      <c r="AC94" s="3586" t="s">
        <v>4215</v>
      </c>
      <c r="AD94" s="3597"/>
      <c r="AE94" s="3598" t="s">
        <v>3447</v>
      </c>
      <c r="AF94" s="3589" t="s">
        <v>3591</v>
      </c>
      <c r="AG94" s="3599" t="s">
        <v>3448</v>
      </c>
      <c r="AH94" s="3597"/>
      <c r="AI94" s="3598" t="s">
        <v>3538</v>
      </c>
      <c r="AJ94" s="3600">
        <v>39066</v>
      </c>
      <c r="AK94" s="3601">
        <v>5</v>
      </c>
      <c r="AL94" s="3596">
        <v>67641700</v>
      </c>
      <c r="AM94" s="3596"/>
      <c r="AN94" s="3598" t="s">
        <v>3658</v>
      </c>
      <c r="AO94" s="3586"/>
      <c r="AP94" s="3598" t="s">
        <v>3450</v>
      </c>
      <c r="AQ94" s="3596" t="s">
        <v>3451</v>
      </c>
      <c r="AR94" s="3596" t="s">
        <v>3453</v>
      </c>
      <c r="AS94" s="3596" t="s">
        <v>3453</v>
      </c>
      <c r="AT94" s="3596" t="s">
        <v>3453</v>
      </c>
      <c r="AU94" s="3596"/>
      <c r="AV94" s="3596"/>
      <c r="AW94" s="3596" t="s">
        <v>3452</v>
      </c>
      <c r="AX94" s="3596" t="s">
        <v>3540</v>
      </c>
      <c r="AY94" s="3602" t="s">
        <v>4274</v>
      </c>
      <c r="AZ94" s="3586" t="s">
        <v>3453</v>
      </c>
      <c r="BA94" s="3603" t="s">
        <v>3453</v>
      </c>
      <c r="BB94" s="3604" t="s">
        <v>3453</v>
      </c>
      <c r="BC94" s="3603" t="s">
        <v>3453</v>
      </c>
      <c r="BD94" s="3605" t="s">
        <v>3453</v>
      </c>
      <c r="BE94" s="3596" t="s">
        <v>3453</v>
      </c>
      <c r="BF94" s="3606" t="s">
        <v>3453</v>
      </c>
      <c r="BG94" s="3607">
        <v>38834</v>
      </c>
      <c r="BH94" s="3586" t="s">
        <v>3453</v>
      </c>
      <c r="BI94" s="3608" t="s">
        <v>3701</v>
      </c>
      <c r="BJ94" s="3609">
        <v>38861</v>
      </c>
      <c r="BK94" s="3609"/>
      <c r="BL94" s="3586" t="s">
        <v>3454</v>
      </c>
      <c r="BM94" s="3596"/>
      <c r="BN94" s="3596"/>
      <c r="BO94" s="3596"/>
      <c r="BP94" s="3596"/>
      <c r="BQ94" s="3596">
        <v>8044</v>
      </c>
      <c r="BR94" s="3596">
        <v>8105</v>
      </c>
      <c r="BS94" s="3610"/>
      <c r="BT94" s="3610"/>
      <c r="BU94" s="3610"/>
    </row>
    <row r="95" spans="1:73" s="3491" customFormat="1" ht="12">
      <c r="A95" s="3471" t="s">
        <v>4275</v>
      </c>
      <c r="B95" s="3476" t="s">
        <v>4276</v>
      </c>
      <c r="C95" s="3473" t="s">
        <v>4277</v>
      </c>
      <c r="D95" s="3476">
        <v>13910127203</v>
      </c>
      <c r="E95" s="3472" t="s">
        <v>3583</v>
      </c>
      <c r="F95" s="3476" t="s">
        <v>3584</v>
      </c>
      <c r="G95" s="3476"/>
      <c r="H95" s="3476" t="s">
        <v>4095</v>
      </c>
      <c r="I95" s="3476" t="s">
        <v>4051</v>
      </c>
      <c r="J95" s="3497" t="s">
        <v>3758</v>
      </c>
      <c r="K95" s="3476" t="s">
        <v>3588</v>
      </c>
      <c r="L95" s="3494">
        <v>102.18</v>
      </c>
      <c r="M95" s="3494">
        <v>2</v>
      </c>
      <c r="N95" s="3492" t="s">
        <v>3624</v>
      </c>
      <c r="O95" s="3494">
        <v>86.36</v>
      </c>
      <c r="P95" s="3472" t="s">
        <v>3457</v>
      </c>
      <c r="Q95" s="3504">
        <v>692780</v>
      </c>
      <c r="R95" s="3472">
        <v>6780</v>
      </c>
      <c r="S95" s="3500">
        <v>68.760000000000005</v>
      </c>
      <c r="T95" s="3498">
        <v>687600</v>
      </c>
      <c r="U95" s="3472">
        <v>6730</v>
      </c>
      <c r="V95" s="3478">
        <v>0.2</v>
      </c>
      <c r="W95" s="3479">
        <v>55</v>
      </c>
      <c r="X95" s="3530">
        <v>550000</v>
      </c>
      <c r="Y95" s="3480">
        <v>2006</v>
      </c>
      <c r="Z95" s="3480">
        <v>6</v>
      </c>
      <c r="AA95" s="3480">
        <v>7</v>
      </c>
      <c r="AB95" s="3472">
        <v>1500</v>
      </c>
      <c r="AC95" s="3472" t="s">
        <v>4215</v>
      </c>
      <c r="AD95" s="3476"/>
      <c r="AE95" s="3472" t="s">
        <v>4216</v>
      </c>
      <c r="AF95" s="3476" t="s">
        <v>3781</v>
      </c>
      <c r="AG95" s="3476" t="s">
        <v>4217</v>
      </c>
      <c r="AH95" s="3476"/>
      <c r="AI95" s="3483" t="s">
        <v>3592</v>
      </c>
      <c r="AJ95" s="3496">
        <v>39066</v>
      </c>
      <c r="AK95" s="3482" t="s">
        <v>4278</v>
      </c>
      <c r="AL95" s="3480">
        <v>67641700</v>
      </c>
      <c r="AM95" s="3480"/>
      <c r="AN95" s="3480" t="s">
        <v>3625</v>
      </c>
      <c r="AO95" s="3480"/>
      <c r="AP95" s="3483" t="s">
        <v>3450</v>
      </c>
      <c r="AQ95" s="3480" t="s">
        <v>3595</v>
      </c>
      <c r="AR95" s="3472"/>
      <c r="AS95" s="3472"/>
      <c r="AT95" s="3472"/>
      <c r="AU95" s="3472"/>
      <c r="AV95" s="3501"/>
      <c r="AW95" s="3543" t="s">
        <v>3598</v>
      </c>
      <c r="AX95" s="3476" t="s">
        <v>3599</v>
      </c>
      <c r="AY95" s="3476">
        <v>256963</v>
      </c>
      <c r="AZ95" s="3476"/>
      <c r="BA95" s="3476"/>
      <c r="BB95" s="3497"/>
      <c r="BC95" s="3476"/>
      <c r="BD95" s="3476"/>
      <c r="BE95" s="3476"/>
      <c r="BF95" s="3486"/>
      <c r="BG95" s="3499">
        <v>38857</v>
      </c>
      <c r="BH95" s="3544"/>
      <c r="BI95" s="3480" t="s">
        <v>4279</v>
      </c>
      <c r="BJ95" s="3489">
        <v>38874</v>
      </c>
      <c r="BK95" s="3488"/>
      <c r="BL95" s="3472" t="s">
        <v>4280</v>
      </c>
      <c r="BM95" s="3472"/>
      <c r="BN95" s="3480"/>
      <c r="BO95" s="3472"/>
      <c r="BP95" s="3480"/>
      <c r="BQ95" s="3480">
        <v>7962</v>
      </c>
      <c r="BR95" s="3480">
        <v>8022</v>
      </c>
      <c r="BS95" s="3529"/>
      <c r="BT95" s="3529"/>
      <c r="BU95" s="3529"/>
    </row>
    <row r="96" spans="1:73" s="3490" customFormat="1" ht="12" hidden="1">
      <c r="A96" s="3476" t="s">
        <v>4281</v>
      </c>
      <c r="B96" s="3472" t="s">
        <v>4282</v>
      </c>
      <c r="C96" s="3473" t="s">
        <v>4283</v>
      </c>
      <c r="D96" s="3473" t="s">
        <v>4284</v>
      </c>
      <c r="E96" s="3472" t="s">
        <v>4285</v>
      </c>
      <c r="F96" s="3476" t="s">
        <v>4286</v>
      </c>
      <c r="G96" s="3472"/>
      <c r="H96" s="3472" t="s">
        <v>4287</v>
      </c>
      <c r="I96" s="3472"/>
      <c r="J96" s="3473" t="s">
        <v>4288</v>
      </c>
      <c r="K96" s="3472"/>
      <c r="L96" s="3472">
        <v>83.48</v>
      </c>
      <c r="M96" s="3472">
        <v>6</v>
      </c>
      <c r="N96" s="3472" t="s">
        <v>3773</v>
      </c>
      <c r="O96" s="3472"/>
      <c r="P96" s="3472" t="s">
        <v>3457</v>
      </c>
      <c r="Q96" s="3504">
        <v>500000</v>
      </c>
      <c r="R96" s="3472">
        <v>5989</v>
      </c>
      <c r="S96" s="3500">
        <v>40.89</v>
      </c>
      <c r="T96" s="3498">
        <v>408900</v>
      </c>
      <c r="U96" s="3472">
        <v>4899</v>
      </c>
      <c r="V96" s="3495">
        <v>0.2</v>
      </c>
      <c r="W96" s="3479">
        <v>32.71</v>
      </c>
      <c r="X96" s="3530">
        <v>327100</v>
      </c>
      <c r="Y96" s="3472">
        <v>2006</v>
      </c>
      <c r="Z96" s="3480">
        <v>8</v>
      </c>
      <c r="AA96" s="3480">
        <v>1</v>
      </c>
      <c r="AB96" s="3472">
        <v>1225</v>
      </c>
      <c r="AC96" s="3472" t="s">
        <v>4261</v>
      </c>
      <c r="AD96" s="3471"/>
      <c r="AE96" s="3472" t="s">
        <v>4289</v>
      </c>
      <c r="AF96" s="3472" t="s">
        <v>3458</v>
      </c>
      <c r="AG96" s="3472" t="s">
        <v>3448</v>
      </c>
      <c r="AH96" s="3471" t="s">
        <v>3453</v>
      </c>
      <c r="AI96" s="3494" t="s">
        <v>3592</v>
      </c>
      <c r="AJ96" s="3503"/>
      <c r="AK96" s="3482">
        <v>8</v>
      </c>
      <c r="AL96" s="3480">
        <v>67641700</v>
      </c>
      <c r="AM96" s="3472" t="s">
        <v>4290</v>
      </c>
      <c r="AN96" s="3483" t="s">
        <v>3691</v>
      </c>
      <c r="AO96" s="3480" t="s">
        <v>3453</v>
      </c>
      <c r="AP96" s="3480" t="s">
        <v>3701</v>
      </c>
      <c r="AQ96" s="3480" t="s">
        <v>3451</v>
      </c>
      <c r="AR96" s="3480"/>
      <c r="AS96" s="3480"/>
      <c r="AT96" s="3480"/>
      <c r="AU96" s="3480"/>
      <c r="AV96" s="3480" t="s">
        <v>3453</v>
      </c>
      <c r="AW96" s="3480" t="s">
        <v>4291</v>
      </c>
      <c r="AX96" s="3480"/>
      <c r="AY96" s="3484"/>
      <c r="AZ96" s="3472"/>
      <c r="BA96" s="3480"/>
      <c r="BB96" s="3484"/>
      <c r="BC96" s="3480"/>
      <c r="BD96" s="3485"/>
      <c r="BE96" s="3480"/>
      <c r="BF96" s="3486"/>
      <c r="BG96" s="3496">
        <v>38894</v>
      </c>
      <c r="BH96" s="3480" t="s">
        <v>4035</v>
      </c>
      <c r="BI96" s="3472" t="s">
        <v>4289</v>
      </c>
      <c r="BJ96" s="3496">
        <v>38896</v>
      </c>
      <c r="BK96" s="3493"/>
      <c r="BL96" s="3480" t="s">
        <v>4292</v>
      </c>
      <c r="BM96" s="3480"/>
      <c r="BN96" s="3480"/>
      <c r="BO96" s="3480"/>
      <c r="BP96" s="3480"/>
      <c r="BQ96" s="3480" t="e">
        <v>#DIV/0!</v>
      </c>
      <c r="BR96" s="3480" t="e">
        <v>#DIV/0!</v>
      </c>
      <c r="BS96" s="3529"/>
      <c r="BT96" s="3529"/>
      <c r="BU96" s="3529"/>
    </row>
    <row r="97" spans="1:73" s="3490" customFormat="1" ht="13.2" hidden="1">
      <c r="A97" s="3472" t="s">
        <v>4293</v>
      </c>
      <c r="B97" s="3472" t="s">
        <v>4294</v>
      </c>
      <c r="C97" s="3473" t="s">
        <v>4295</v>
      </c>
      <c r="D97" s="3472">
        <v>13366297309</v>
      </c>
      <c r="E97" s="3472" t="s">
        <v>3583</v>
      </c>
      <c r="F97" s="3472" t="s">
        <v>4296</v>
      </c>
      <c r="G97" s="3472"/>
      <c r="H97" s="3472" t="s">
        <v>3687</v>
      </c>
      <c r="I97" s="3472" t="s">
        <v>3644</v>
      </c>
      <c r="J97" s="3472" t="s">
        <v>4032</v>
      </c>
      <c r="K97" s="3476" t="s">
        <v>4297</v>
      </c>
      <c r="L97" s="3472">
        <v>88.58</v>
      </c>
      <c r="M97" s="3472">
        <v>2</v>
      </c>
      <c r="N97" s="3472" t="s">
        <v>4298</v>
      </c>
      <c r="O97" s="3472"/>
      <c r="P97" s="3472" t="s">
        <v>4299</v>
      </c>
      <c r="Q97" s="3472">
        <v>438000</v>
      </c>
      <c r="R97" s="3472">
        <v>4945</v>
      </c>
      <c r="S97" s="3500">
        <v>45.17</v>
      </c>
      <c r="T97" s="3498">
        <v>451700</v>
      </c>
      <c r="U97" s="3472">
        <v>5100</v>
      </c>
      <c r="V97" s="3478">
        <v>0.2</v>
      </c>
      <c r="W97" s="3479">
        <v>36.130000000000003</v>
      </c>
      <c r="X97" s="3530">
        <v>361300</v>
      </c>
      <c r="Y97" s="3472">
        <v>2006</v>
      </c>
      <c r="Z97" s="3472">
        <v>7</v>
      </c>
      <c r="AA97" s="3480">
        <v>5</v>
      </c>
      <c r="AB97" s="3472">
        <v>1355</v>
      </c>
      <c r="AC97" s="3472" t="s">
        <v>4215</v>
      </c>
      <c r="AD97" s="3472"/>
      <c r="AE97" s="3472" t="s">
        <v>4300</v>
      </c>
      <c r="AF97" s="3472" t="s">
        <v>4250</v>
      </c>
      <c r="AG97" s="3472" t="s">
        <v>3448</v>
      </c>
      <c r="AH97" s="3472"/>
      <c r="AI97" s="3472" t="s">
        <v>3592</v>
      </c>
      <c r="AJ97" s="3503"/>
      <c r="AK97" s="3472" t="s">
        <v>4301</v>
      </c>
      <c r="AL97" s="3472">
        <v>53</v>
      </c>
      <c r="AM97" s="3472"/>
      <c r="AN97" s="3472" t="s">
        <v>3699</v>
      </c>
      <c r="AO97" s="3472"/>
      <c r="AP97" s="3472" t="s">
        <v>4300</v>
      </c>
      <c r="AQ97" s="3472" t="s">
        <v>4021</v>
      </c>
      <c r="AR97" s="3472">
        <v>2006</v>
      </c>
      <c r="AS97" s="3472">
        <v>7</v>
      </c>
      <c r="AT97" s="3472">
        <v>5</v>
      </c>
      <c r="AU97" s="3472"/>
      <c r="AV97" s="3472"/>
      <c r="AW97" s="3472" t="s">
        <v>3598</v>
      </c>
      <c r="AX97" s="3472"/>
      <c r="AY97" s="3473"/>
      <c r="AZ97" s="3472" t="s">
        <v>4302</v>
      </c>
      <c r="BA97" s="3472"/>
      <c r="BB97" s="3472"/>
      <c r="BC97" s="3472"/>
      <c r="BD97" s="3472"/>
      <c r="BE97" s="3472"/>
      <c r="BF97" s="3472"/>
      <c r="BG97" s="3499">
        <v>38897</v>
      </c>
      <c r="BH97" s="3472"/>
      <c r="BI97" s="3472" t="s">
        <v>4300</v>
      </c>
      <c r="BJ97" s="3489">
        <v>38897</v>
      </c>
      <c r="BK97" s="3493"/>
      <c r="BL97" s="3472" t="s">
        <v>4035</v>
      </c>
      <c r="BM97" s="3472" t="s">
        <v>4024</v>
      </c>
      <c r="BN97" s="3472" t="s">
        <v>4255</v>
      </c>
      <c r="BO97" s="3472" t="s">
        <v>4303</v>
      </c>
      <c r="BP97" s="3472"/>
      <c r="BQ97" s="3480" t="e">
        <v>#DIV/0!</v>
      </c>
      <c r="BR97" s="3480" t="e">
        <v>#DIV/0!</v>
      </c>
      <c r="BS97" s="3529"/>
      <c r="BT97" s="3529"/>
      <c r="BU97" s="3529"/>
    </row>
    <row r="98" spans="1:73" s="3490" customFormat="1" ht="12">
      <c r="A98" s="3472" t="s">
        <v>4304</v>
      </c>
      <c r="B98" s="3472" t="s">
        <v>4305</v>
      </c>
      <c r="C98" s="3473" t="s">
        <v>4306</v>
      </c>
      <c r="D98" s="3473" t="s">
        <v>4307</v>
      </c>
      <c r="E98" s="3492" t="s">
        <v>3446</v>
      </c>
      <c r="F98" s="3492" t="s">
        <v>3545</v>
      </c>
      <c r="G98" s="3472"/>
      <c r="H98" s="3492" t="s">
        <v>3621</v>
      </c>
      <c r="I98" s="3476" t="s">
        <v>4308</v>
      </c>
      <c r="J98" s="3472" t="s">
        <v>3723</v>
      </c>
      <c r="K98" s="3472" t="s">
        <v>3549</v>
      </c>
      <c r="L98" s="3472">
        <v>126.9</v>
      </c>
      <c r="M98" s="3472">
        <v>15</v>
      </c>
      <c r="N98" s="3472" t="s">
        <v>3690</v>
      </c>
      <c r="O98" s="3472">
        <v>107.23</v>
      </c>
      <c r="P98" s="3472" t="s">
        <v>3457</v>
      </c>
      <c r="Q98" s="3504">
        <v>840687</v>
      </c>
      <c r="R98" s="3472">
        <v>6625</v>
      </c>
      <c r="S98" s="3500">
        <v>83.43</v>
      </c>
      <c r="T98" s="3498">
        <v>834300.00000000012</v>
      </c>
      <c r="U98" s="3472">
        <v>6575</v>
      </c>
      <c r="V98" s="3495">
        <v>0.3</v>
      </c>
      <c r="W98" s="3479">
        <v>58.4</v>
      </c>
      <c r="X98" s="3530">
        <v>584000</v>
      </c>
      <c r="Y98" s="3480">
        <v>2006</v>
      </c>
      <c r="Z98" s="3480">
        <v>7</v>
      </c>
      <c r="AA98" s="3480">
        <v>4</v>
      </c>
      <c r="AB98" s="3472">
        <v>1500</v>
      </c>
      <c r="AC98" s="3472" t="s">
        <v>4215</v>
      </c>
      <c r="AD98" s="3545" t="s">
        <v>4309</v>
      </c>
      <c r="AE98" s="3483" t="s">
        <v>3447</v>
      </c>
      <c r="AF98" s="3476" t="s">
        <v>3591</v>
      </c>
      <c r="AG98" s="3481" t="s">
        <v>3448</v>
      </c>
      <c r="AH98" s="3471"/>
      <c r="AI98" s="3483" t="s">
        <v>3538</v>
      </c>
      <c r="AJ98" s="3503">
        <v>39066</v>
      </c>
      <c r="AK98" s="3482">
        <v>7</v>
      </c>
      <c r="AL98" s="3480"/>
      <c r="AM98" s="3480"/>
      <c r="AN98" s="3483" t="s">
        <v>3699</v>
      </c>
      <c r="AO98" s="3472"/>
      <c r="AP98" s="3483" t="s">
        <v>3682</v>
      </c>
      <c r="AQ98" s="3480" t="s">
        <v>3451</v>
      </c>
      <c r="AR98" s="3480" t="s">
        <v>3453</v>
      </c>
      <c r="AS98" s="3480" t="s">
        <v>3453</v>
      </c>
      <c r="AT98" s="3480" t="s">
        <v>3453</v>
      </c>
      <c r="AU98" s="3480"/>
      <c r="AV98" s="3480"/>
      <c r="AW98" s="3480" t="s">
        <v>3452</v>
      </c>
      <c r="AX98" s="3480" t="s">
        <v>3540</v>
      </c>
      <c r="AY98" s="3484" t="s">
        <v>4310</v>
      </c>
      <c r="AZ98" s="3472" t="s">
        <v>3453</v>
      </c>
      <c r="BA98" s="3532" t="s">
        <v>3453</v>
      </c>
      <c r="BB98" s="3533" t="s">
        <v>3453</v>
      </c>
      <c r="BC98" s="3532" t="s">
        <v>3453</v>
      </c>
      <c r="BD98" s="3534" t="s">
        <v>3453</v>
      </c>
      <c r="BE98" s="3480" t="s">
        <v>3453</v>
      </c>
      <c r="BF98" s="3486" t="s">
        <v>3453</v>
      </c>
      <c r="BG98" s="3535">
        <v>38825</v>
      </c>
      <c r="BH98" s="3472" t="s">
        <v>3453</v>
      </c>
      <c r="BI98" s="3480" t="s">
        <v>3682</v>
      </c>
      <c r="BJ98" s="3493">
        <v>38901</v>
      </c>
      <c r="BK98" s="3493"/>
      <c r="BL98" s="3472" t="s">
        <v>3454</v>
      </c>
      <c r="BM98" s="3480"/>
      <c r="BN98" s="3480"/>
      <c r="BO98" s="3480"/>
      <c r="BP98" s="3480"/>
      <c r="BQ98" s="3480">
        <v>7780</v>
      </c>
      <c r="BR98" s="3480">
        <v>7840</v>
      </c>
      <c r="BS98" s="3529"/>
      <c r="BT98" s="3529"/>
      <c r="BU98" s="3529"/>
    </row>
    <row r="99" spans="1:73" s="3490" customFormat="1" ht="12">
      <c r="A99" s="3472" t="s">
        <v>4311</v>
      </c>
      <c r="B99" s="3472" t="s">
        <v>4312</v>
      </c>
      <c r="C99" s="3473" t="s">
        <v>4313</v>
      </c>
      <c r="D99" s="3473" t="s">
        <v>4314</v>
      </c>
      <c r="E99" s="3492" t="s">
        <v>3446</v>
      </c>
      <c r="F99" s="3492" t="s">
        <v>3545</v>
      </c>
      <c r="G99" s="3472"/>
      <c r="H99" s="3492" t="s">
        <v>4095</v>
      </c>
      <c r="I99" s="3476" t="s">
        <v>4315</v>
      </c>
      <c r="J99" s="3472" t="s">
        <v>3689</v>
      </c>
      <c r="K99" s="3472" t="s">
        <v>3549</v>
      </c>
      <c r="L99" s="3472">
        <v>93.6</v>
      </c>
      <c r="M99" s="3472">
        <v>7</v>
      </c>
      <c r="N99" s="3472" t="s">
        <v>3773</v>
      </c>
      <c r="O99" s="3472">
        <v>79.11</v>
      </c>
      <c r="P99" s="3472" t="s">
        <v>3457</v>
      </c>
      <c r="Q99" s="3504">
        <v>664560</v>
      </c>
      <c r="R99" s="3472">
        <v>7100</v>
      </c>
      <c r="S99" s="3500">
        <v>65.89</v>
      </c>
      <c r="T99" s="3498">
        <v>658900</v>
      </c>
      <c r="U99" s="3472">
        <v>7040</v>
      </c>
      <c r="V99" s="3495">
        <v>0.2</v>
      </c>
      <c r="W99" s="3479">
        <v>52.71</v>
      </c>
      <c r="X99" s="3530">
        <v>527100</v>
      </c>
      <c r="Y99" s="3480">
        <v>2006</v>
      </c>
      <c r="Z99" s="3480">
        <v>7</v>
      </c>
      <c r="AA99" s="3480">
        <v>5</v>
      </c>
      <c r="AB99" s="3472">
        <v>1500</v>
      </c>
      <c r="AC99" s="3472" t="s">
        <v>4215</v>
      </c>
      <c r="AD99" s="3545" t="s">
        <v>4316</v>
      </c>
      <c r="AE99" s="3483" t="s">
        <v>3447</v>
      </c>
      <c r="AF99" s="3476" t="s">
        <v>3591</v>
      </c>
      <c r="AG99" s="3481" t="s">
        <v>3448</v>
      </c>
      <c r="AH99" s="3471"/>
      <c r="AI99" s="3483" t="s">
        <v>3538</v>
      </c>
      <c r="AJ99" s="3503">
        <v>39066</v>
      </c>
      <c r="AK99" s="3482">
        <v>7</v>
      </c>
      <c r="AL99" s="3480"/>
      <c r="AM99" s="3480"/>
      <c r="AN99" s="3483" t="s">
        <v>3699</v>
      </c>
      <c r="AO99" s="3472"/>
      <c r="AP99" s="3483" t="s">
        <v>3682</v>
      </c>
      <c r="AQ99" s="3480" t="s">
        <v>3451</v>
      </c>
      <c r="AR99" s="3480" t="s">
        <v>3453</v>
      </c>
      <c r="AS99" s="3480" t="s">
        <v>3453</v>
      </c>
      <c r="AT99" s="3480" t="s">
        <v>3453</v>
      </c>
      <c r="AU99" s="3480"/>
      <c r="AV99" s="3480"/>
      <c r="AW99" s="3480" t="s">
        <v>3452</v>
      </c>
      <c r="AX99" s="3480" t="s">
        <v>3540</v>
      </c>
      <c r="AY99" s="3484" t="s">
        <v>4317</v>
      </c>
      <c r="AZ99" s="3472" t="s">
        <v>3453</v>
      </c>
      <c r="BA99" s="3532" t="s">
        <v>3453</v>
      </c>
      <c r="BB99" s="3533" t="s">
        <v>3453</v>
      </c>
      <c r="BC99" s="3532" t="s">
        <v>3453</v>
      </c>
      <c r="BD99" s="3534" t="s">
        <v>3453</v>
      </c>
      <c r="BE99" s="3480" t="s">
        <v>3453</v>
      </c>
      <c r="BF99" s="3486" t="s">
        <v>3453</v>
      </c>
      <c r="BG99" s="3535">
        <v>38829</v>
      </c>
      <c r="BH99" s="3472" t="s">
        <v>3453</v>
      </c>
      <c r="BI99" s="3480" t="s">
        <v>3682</v>
      </c>
      <c r="BJ99" s="3493">
        <v>38902</v>
      </c>
      <c r="BK99" s="3493"/>
      <c r="BL99" s="3472" t="s">
        <v>3454</v>
      </c>
      <c r="BM99" s="3480"/>
      <c r="BN99" s="3480"/>
      <c r="BO99" s="3480"/>
      <c r="BP99" s="3480"/>
      <c r="BQ99" s="3480">
        <v>8329</v>
      </c>
      <c r="BR99" s="3480">
        <v>8400</v>
      </c>
      <c r="BS99" s="3529"/>
      <c r="BT99" s="3529"/>
      <c r="BU99" s="3529"/>
    </row>
    <row r="100" spans="1:73" s="3490" customFormat="1" ht="12">
      <c r="A100" s="3472" t="s">
        <v>4318</v>
      </c>
      <c r="B100" s="3472" t="s">
        <v>4319</v>
      </c>
      <c r="C100" s="3473" t="s">
        <v>4320</v>
      </c>
      <c r="D100" s="3473" t="s">
        <v>4321</v>
      </c>
      <c r="E100" s="3492" t="s">
        <v>3583</v>
      </c>
      <c r="F100" s="3492" t="s">
        <v>3584</v>
      </c>
      <c r="G100" s="3472"/>
      <c r="H100" s="3471" t="s">
        <v>4095</v>
      </c>
      <c r="I100" s="3476" t="s">
        <v>4322</v>
      </c>
      <c r="J100" s="3472" t="s">
        <v>4123</v>
      </c>
      <c r="K100" s="3472" t="s">
        <v>3588</v>
      </c>
      <c r="L100" s="3472">
        <v>127.35</v>
      </c>
      <c r="M100" s="3472">
        <v>16</v>
      </c>
      <c r="N100" s="3472" t="s">
        <v>3646</v>
      </c>
      <c r="O100" s="3472">
        <v>107.64</v>
      </c>
      <c r="P100" s="3472" t="s">
        <v>3457</v>
      </c>
      <c r="Q100" s="3504">
        <v>846878</v>
      </c>
      <c r="R100" s="3472">
        <v>6650</v>
      </c>
      <c r="S100" s="3500">
        <v>84.05</v>
      </c>
      <c r="T100" s="3498">
        <v>840500</v>
      </c>
      <c r="U100" s="3472">
        <v>6600</v>
      </c>
      <c r="V100" s="3495">
        <v>0.3</v>
      </c>
      <c r="W100" s="3479">
        <v>58.83</v>
      </c>
      <c r="X100" s="3530">
        <v>588300</v>
      </c>
      <c r="Y100" s="3480">
        <v>2006</v>
      </c>
      <c r="Z100" s="3480">
        <v>7</v>
      </c>
      <c r="AA100" s="3480">
        <v>6</v>
      </c>
      <c r="AB100" s="3472">
        <v>1500</v>
      </c>
      <c r="AC100" s="3472" t="s">
        <v>4215</v>
      </c>
      <c r="AD100" s="3545" t="s">
        <v>4323</v>
      </c>
      <c r="AE100" s="3483" t="s">
        <v>4216</v>
      </c>
      <c r="AF100" s="3472" t="s">
        <v>3709</v>
      </c>
      <c r="AG100" s="3481" t="s">
        <v>4217</v>
      </c>
      <c r="AH100" s="3471"/>
      <c r="AI100" s="3483" t="s">
        <v>4324</v>
      </c>
      <c r="AJ100" s="3503">
        <v>39066</v>
      </c>
      <c r="AK100" s="3482">
        <v>7</v>
      </c>
      <c r="AL100" s="3480" t="s">
        <v>3596</v>
      </c>
      <c r="AM100" s="3480"/>
      <c r="AN100" s="3483" t="s">
        <v>3699</v>
      </c>
      <c r="AO100" s="3472"/>
      <c r="AP100" s="3483" t="s">
        <v>3701</v>
      </c>
      <c r="AQ100" s="3480" t="s">
        <v>3595</v>
      </c>
      <c r="AR100" s="3480"/>
      <c r="AS100" s="3480"/>
      <c r="AT100" s="3480"/>
      <c r="AU100" s="3480"/>
      <c r="AV100" s="3480"/>
      <c r="AW100" s="3480" t="s">
        <v>3598</v>
      </c>
      <c r="AX100" s="3480" t="s">
        <v>3599</v>
      </c>
      <c r="AY100" s="3484" t="s">
        <v>4325</v>
      </c>
      <c r="AZ100" s="3471"/>
      <c r="BA100" s="3532"/>
      <c r="BB100" s="3533"/>
      <c r="BC100" s="3532"/>
      <c r="BD100" s="3534"/>
      <c r="BE100" s="3480"/>
      <c r="BF100" s="3486"/>
      <c r="BG100" s="3535">
        <v>38885</v>
      </c>
      <c r="BH100" s="3472"/>
      <c r="BI100" s="3487" t="s">
        <v>3701</v>
      </c>
      <c r="BJ100" s="3493">
        <v>38903</v>
      </c>
      <c r="BK100" s="3493"/>
      <c r="BL100" s="3472" t="s">
        <v>4280</v>
      </c>
      <c r="BM100" s="3480"/>
      <c r="BN100" s="3480"/>
      <c r="BO100" s="3480"/>
      <c r="BP100" s="3480"/>
      <c r="BQ100" s="3480">
        <v>7808</v>
      </c>
      <c r="BR100" s="3480">
        <v>7868</v>
      </c>
      <c r="BS100" s="3529"/>
      <c r="BT100" s="3529"/>
      <c r="BU100" s="3529"/>
    </row>
    <row r="101" spans="1:73" s="3490" customFormat="1" ht="12">
      <c r="A101" s="3472" t="s">
        <v>4326</v>
      </c>
      <c r="B101" s="3472" t="s">
        <v>4327</v>
      </c>
      <c r="C101" s="3473" t="s">
        <v>4328</v>
      </c>
      <c r="D101" s="3473" t="s">
        <v>4329</v>
      </c>
      <c r="E101" s="3492" t="s">
        <v>3446</v>
      </c>
      <c r="F101" s="3492" t="s">
        <v>3545</v>
      </c>
      <c r="G101" s="3472"/>
      <c r="H101" s="3492" t="s">
        <v>3687</v>
      </c>
      <c r="I101" s="3476" t="s">
        <v>4330</v>
      </c>
      <c r="J101" s="3472" t="s">
        <v>4331</v>
      </c>
      <c r="K101" s="3472" t="s">
        <v>3549</v>
      </c>
      <c r="L101" s="3472">
        <v>93.64</v>
      </c>
      <c r="M101" s="3472">
        <v>6</v>
      </c>
      <c r="N101" s="3472" t="s">
        <v>4332</v>
      </c>
      <c r="O101" s="3472">
        <v>79.11</v>
      </c>
      <c r="P101" s="3472" t="s">
        <v>3457</v>
      </c>
      <c r="Q101" s="3504">
        <v>689190</v>
      </c>
      <c r="R101" s="3472">
        <v>7360</v>
      </c>
      <c r="S101" s="3500">
        <v>68.349999999999994</v>
      </c>
      <c r="T101" s="3498">
        <v>683500</v>
      </c>
      <c r="U101" s="3472">
        <v>7300</v>
      </c>
      <c r="V101" s="3495">
        <v>0.2</v>
      </c>
      <c r="W101" s="3479">
        <v>54.68</v>
      </c>
      <c r="X101" s="3530">
        <v>546800</v>
      </c>
      <c r="Y101" s="3480">
        <v>2006</v>
      </c>
      <c r="Z101" s="3480">
        <v>7</v>
      </c>
      <c r="AA101" s="3480">
        <v>14</v>
      </c>
      <c r="AB101" s="3472">
        <v>1500</v>
      </c>
      <c r="AC101" s="3472" t="s">
        <v>4215</v>
      </c>
      <c r="AD101" s="3545" t="s">
        <v>4333</v>
      </c>
      <c r="AE101" s="3483" t="s">
        <v>3447</v>
      </c>
      <c r="AF101" s="3476" t="s">
        <v>3709</v>
      </c>
      <c r="AG101" s="3481" t="s">
        <v>3448</v>
      </c>
      <c r="AH101" s="3471"/>
      <c r="AI101" s="3483" t="s">
        <v>3538</v>
      </c>
      <c r="AJ101" s="3503">
        <v>39051</v>
      </c>
      <c r="AK101" s="3482">
        <v>7</v>
      </c>
      <c r="AL101" s="3480"/>
      <c r="AM101" s="3480"/>
      <c r="AN101" s="3483" t="s">
        <v>3625</v>
      </c>
      <c r="AO101" s="3472"/>
      <c r="AP101" s="3483" t="s">
        <v>3682</v>
      </c>
      <c r="AQ101" s="3480" t="s">
        <v>3451</v>
      </c>
      <c r="AR101" s="3480" t="s">
        <v>3453</v>
      </c>
      <c r="AS101" s="3480" t="s">
        <v>3453</v>
      </c>
      <c r="AT101" s="3480" t="s">
        <v>3453</v>
      </c>
      <c r="AU101" s="3480"/>
      <c r="AV101" s="3480"/>
      <c r="AW101" s="3480" t="s">
        <v>3452</v>
      </c>
      <c r="AX101" s="3480" t="s">
        <v>3540</v>
      </c>
      <c r="AY101" s="3484" t="s">
        <v>4334</v>
      </c>
      <c r="AZ101" s="3472" t="s">
        <v>3453</v>
      </c>
      <c r="BA101" s="3532" t="s">
        <v>3453</v>
      </c>
      <c r="BB101" s="3533" t="s">
        <v>3453</v>
      </c>
      <c r="BC101" s="3532" t="s">
        <v>3453</v>
      </c>
      <c r="BD101" s="3534" t="s">
        <v>3453</v>
      </c>
      <c r="BE101" s="3480" t="s">
        <v>3453</v>
      </c>
      <c r="BF101" s="3486" t="s">
        <v>3453</v>
      </c>
      <c r="BG101" s="3535">
        <v>38878</v>
      </c>
      <c r="BH101" s="3472" t="s">
        <v>3453</v>
      </c>
      <c r="BI101" s="3480" t="s">
        <v>3682</v>
      </c>
      <c r="BJ101" s="3493">
        <v>38911</v>
      </c>
      <c r="BK101" s="3493"/>
      <c r="BL101" s="3472" t="s">
        <v>3454</v>
      </c>
      <c r="BM101" s="3480"/>
      <c r="BN101" s="3480"/>
      <c r="BO101" s="3480"/>
      <c r="BP101" s="3480"/>
      <c r="BQ101" s="3480">
        <v>8640</v>
      </c>
      <c r="BR101" s="3480">
        <v>8712</v>
      </c>
      <c r="BS101" s="3529"/>
      <c r="BT101" s="3529"/>
      <c r="BU101" s="3529"/>
    </row>
    <row r="102" spans="1:73" s="3490" customFormat="1" ht="12" hidden="1">
      <c r="A102" s="3476" t="s">
        <v>4335</v>
      </c>
      <c r="B102" s="3472" t="s">
        <v>4336</v>
      </c>
      <c r="C102" s="3473" t="s">
        <v>4337</v>
      </c>
      <c r="D102" s="3473" t="s">
        <v>4338</v>
      </c>
      <c r="E102" s="3472" t="s">
        <v>3583</v>
      </c>
      <c r="F102" s="3476" t="s">
        <v>4211</v>
      </c>
      <c r="G102" s="3472"/>
      <c r="H102" s="3472" t="s">
        <v>3585</v>
      </c>
      <c r="I102" s="3472"/>
      <c r="J102" s="3473" t="s">
        <v>4339</v>
      </c>
      <c r="K102" s="3472" t="s">
        <v>4340</v>
      </c>
      <c r="L102" s="3472">
        <v>72.66</v>
      </c>
      <c r="M102" s="3472">
        <v>19</v>
      </c>
      <c r="N102" s="3472" t="s">
        <v>3868</v>
      </c>
      <c r="O102" s="3472"/>
      <c r="P102" s="3472" t="s">
        <v>3457</v>
      </c>
      <c r="Q102" s="3504">
        <v>430000</v>
      </c>
      <c r="R102" s="3472">
        <v>5918</v>
      </c>
      <c r="S102" s="3500">
        <v>41.64</v>
      </c>
      <c r="T102" s="3498">
        <v>416400</v>
      </c>
      <c r="U102" s="3472">
        <v>5731</v>
      </c>
      <c r="V102" s="3495">
        <v>0.2</v>
      </c>
      <c r="W102" s="3479">
        <v>33.31</v>
      </c>
      <c r="X102" s="3530">
        <v>333100</v>
      </c>
      <c r="Y102" s="3472">
        <v>2006</v>
      </c>
      <c r="Z102" s="3480">
        <v>8</v>
      </c>
      <c r="AA102" s="3480">
        <v>24</v>
      </c>
      <c r="AB102" s="3472">
        <v>1245</v>
      </c>
      <c r="AC102" s="3472" t="s">
        <v>4215</v>
      </c>
      <c r="AD102" s="3471">
        <v>91302006070666</v>
      </c>
      <c r="AE102" s="3472" t="s">
        <v>4289</v>
      </c>
      <c r="AF102" s="3472" t="s">
        <v>3458</v>
      </c>
      <c r="AG102" s="3472" t="s">
        <v>3448</v>
      </c>
      <c r="AH102" s="3471" t="s">
        <v>3453</v>
      </c>
      <c r="AI102" s="3494" t="s">
        <v>3592</v>
      </c>
      <c r="AJ102" s="3503"/>
      <c r="AK102" s="3482">
        <v>8</v>
      </c>
      <c r="AL102" s="3480">
        <v>55</v>
      </c>
      <c r="AM102" s="3472" t="s">
        <v>4341</v>
      </c>
      <c r="AN102" s="3483" t="s">
        <v>3625</v>
      </c>
      <c r="AO102" s="3480" t="s">
        <v>3453</v>
      </c>
      <c r="AP102" s="3480" t="s">
        <v>4289</v>
      </c>
      <c r="AQ102" s="3480" t="s">
        <v>3451</v>
      </c>
      <c r="AR102" s="3480"/>
      <c r="AS102" s="3480"/>
      <c r="AT102" s="3480"/>
      <c r="AU102" s="3480"/>
      <c r="AV102" s="3480" t="s">
        <v>3453</v>
      </c>
      <c r="AW102" s="3480" t="s">
        <v>4221</v>
      </c>
      <c r="AX102" s="3480"/>
      <c r="AY102" s="3484"/>
      <c r="AZ102" s="3472"/>
      <c r="BA102" s="3480"/>
      <c r="BB102" s="3484"/>
      <c r="BC102" s="3480"/>
      <c r="BD102" s="3485"/>
      <c r="BE102" s="3480"/>
      <c r="BF102" s="3486"/>
      <c r="BG102" s="3496">
        <v>38885</v>
      </c>
      <c r="BH102" s="3480" t="s">
        <v>4035</v>
      </c>
      <c r="BI102" s="3472" t="s">
        <v>4289</v>
      </c>
      <c r="BJ102" s="3496">
        <v>38911</v>
      </c>
      <c r="BK102" s="3493"/>
      <c r="BL102" s="3480" t="s">
        <v>4292</v>
      </c>
      <c r="BM102" s="3480"/>
      <c r="BN102" s="3480"/>
      <c r="BO102" s="3480"/>
      <c r="BP102" s="3480"/>
      <c r="BQ102" s="3480" t="e">
        <v>#DIV/0!</v>
      </c>
      <c r="BR102" s="3480" t="e">
        <v>#DIV/0!</v>
      </c>
      <c r="BS102" s="3529"/>
      <c r="BT102" s="3529"/>
      <c r="BU102" s="3529"/>
    </row>
    <row r="103" spans="1:73" s="3490" customFormat="1" ht="12" hidden="1">
      <c r="A103" s="3471" t="s">
        <v>4342</v>
      </c>
      <c r="B103" s="3472" t="s">
        <v>4343</v>
      </c>
      <c r="C103" s="3473" t="s">
        <v>4344</v>
      </c>
      <c r="D103" s="3473" t="s">
        <v>4345</v>
      </c>
      <c r="E103" s="3492" t="s">
        <v>3583</v>
      </c>
      <c r="F103" s="3492" t="s">
        <v>4346</v>
      </c>
      <c r="G103" s="3472"/>
      <c r="H103" s="3471" t="s">
        <v>3687</v>
      </c>
      <c r="I103" s="3476"/>
      <c r="J103" s="3472" t="s">
        <v>4347</v>
      </c>
      <c r="K103" s="3472" t="s">
        <v>4343</v>
      </c>
      <c r="L103" s="3472">
        <v>83.47</v>
      </c>
      <c r="M103" s="3472">
        <v>1</v>
      </c>
      <c r="N103" s="3472" t="s">
        <v>3656</v>
      </c>
      <c r="O103" s="3472">
        <v>68.44</v>
      </c>
      <c r="P103" s="3472" t="s">
        <v>4299</v>
      </c>
      <c r="Q103" s="3504">
        <v>520000</v>
      </c>
      <c r="R103" s="3472">
        <v>6230</v>
      </c>
      <c r="S103" s="3500">
        <v>49.17</v>
      </c>
      <c r="T103" s="3498">
        <v>491700</v>
      </c>
      <c r="U103" s="3472">
        <v>5891</v>
      </c>
      <c r="V103" s="3495">
        <v>0.2</v>
      </c>
      <c r="W103" s="3479">
        <v>39.33</v>
      </c>
      <c r="X103" s="3530">
        <v>393300</v>
      </c>
      <c r="Y103" s="3480">
        <v>2006</v>
      </c>
      <c r="Z103" s="3480">
        <v>8</v>
      </c>
      <c r="AA103" s="3480">
        <v>31</v>
      </c>
      <c r="AB103" s="3472">
        <v>1475</v>
      </c>
      <c r="AC103" s="3472" t="s">
        <v>4215</v>
      </c>
      <c r="AD103" s="3546">
        <v>91302006070984</v>
      </c>
      <c r="AE103" s="3476" t="s">
        <v>3447</v>
      </c>
      <c r="AF103" s="3476" t="s">
        <v>3461</v>
      </c>
      <c r="AG103" s="3481" t="s">
        <v>4217</v>
      </c>
      <c r="AH103" s="3471"/>
      <c r="AI103" s="3483" t="s">
        <v>3592</v>
      </c>
      <c r="AJ103" s="3503"/>
      <c r="AK103" s="3482">
        <v>8</v>
      </c>
      <c r="AL103" s="3480">
        <v>55</v>
      </c>
      <c r="AM103" s="3472" t="s">
        <v>4348</v>
      </c>
      <c r="AN103" s="3483" t="s">
        <v>3976</v>
      </c>
      <c r="AO103" s="3472"/>
      <c r="AP103" s="3483" t="s">
        <v>4349</v>
      </c>
      <c r="AQ103" s="3472" t="s">
        <v>4021</v>
      </c>
      <c r="AR103" s="3480"/>
      <c r="AS103" s="3480"/>
      <c r="AT103" s="3480"/>
      <c r="AU103" s="3480"/>
      <c r="AV103" s="3480"/>
      <c r="AW103" s="3480" t="s">
        <v>3598</v>
      </c>
      <c r="AX103" s="3480"/>
      <c r="AY103" s="3484"/>
      <c r="AZ103" s="3471"/>
      <c r="BA103" s="3532"/>
      <c r="BB103" s="3533"/>
      <c r="BC103" s="3532"/>
      <c r="BD103" s="3534"/>
      <c r="BE103" s="3480"/>
      <c r="BF103" s="3486"/>
      <c r="BG103" s="3535">
        <v>38911</v>
      </c>
      <c r="BH103" s="3472" t="s">
        <v>4035</v>
      </c>
      <c r="BI103" s="3480" t="s">
        <v>4349</v>
      </c>
      <c r="BJ103" s="3493">
        <v>38917</v>
      </c>
      <c r="BK103" s="3493"/>
      <c r="BL103" s="3472" t="s">
        <v>4292</v>
      </c>
      <c r="BM103" s="3480" t="s">
        <v>4024</v>
      </c>
      <c r="BN103" s="3480" t="s">
        <v>4223</v>
      </c>
      <c r="BO103" s="3480" t="s">
        <v>4350</v>
      </c>
      <c r="BP103" s="3480"/>
      <c r="BQ103" s="3480">
        <v>7184</v>
      </c>
      <c r="BR103" s="3480">
        <v>7598</v>
      </c>
      <c r="BS103" s="3529"/>
      <c r="BT103" s="3529"/>
      <c r="BU103" s="3529"/>
    </row>
    <row r="104" spans="1:73" s="3490" customFormat="1" ht="12" hidden="1">
      <c r="A104" s="3476" t="s">
        <v>4351</v>
      </c>
      <c r="B104" s="3472" t="s">
        <v>4352</v>
      </c>
      <c r="C104" s="3473" t="s">
        <v>4353</v>
      </c>
      <c r="D104" s="3473" t="s">
        <v>4354</v>
      </c>
      <c r="E104" s="3472" t="s">
        <v>3583</v>
      </c>
      <c r="F104" s="3476" t="s">
        <v>4355</v>
      </c>
      <c r="G104" s="3472"/>
      <c r="H104" s="3472" t="s">
        <v>4356</v>
      </c>
      <c r="I104" s="3472" t="s">
        <v>3882</v>
      </c>
      <c r="J104" s="3473" t="s">
        <v>4357</v>
      </c>
      <c r="K104" s="3472"/>
      <c r="L104" s="3472">
        <v>61.21</v>
      </c>
      <c r="M104" s="3472">
        <v>6</v>
      </c>
      <c r="N104" s="3472" t="s">
        <v>3773</v>
      </c>
      <c r="O104" s="3472"/>
      <c r="P104" s="3472" t="s">
        <v>3457</v>
      </c>
      <c r="Q104" s="3504">
        <v>390000</v>
      </c>
      <c r="R104" s="3472">
        <v>6372</v>
      </c>
      <c r="S104" s="3500">
        <v>31.31</v>
      </c>
      <c r="T104" s="3498">
        <v>313100</v>
      </c>
      <c r="U104" s="3472">
        <v>5116</v>
      </c>
      <c r="V104" s="3495">
        <v>0.2</v>
      </c>
      <c r="W104" s="3479">
        <v>25.04</v>
      </c>
      <c r="X104" s="3530">
        <v>250400</v>
      </c>
      <c r="Y104" s="3472">
        <v>2006</v>
      </c>
      <c r="Z104" s="3480">
        <v>8</v>
      </c>
      <c r="AA104" s="3480">
        <v>24</v>
      </c>
      <c r="AB104" s="3472">
        <v>935</v>
      </c>
      <c r="AC104" s="3472" t="s">
        <v>4215</v>
      </c>
      <c r="AD104" s="3471">
        <v>91302006080262</v>
      </c>
      <c r="AE104" s="3472" t="s">
        <v>4289</v>
      </c>
      <c r="AF104" s="3472" t="s">
        <v>3458</v>
      </c>
      <c r="AG104" s="3472" t="s">
        <v>3448</v>
      </c>
      <c r="AH104" s="3471" t="s">
        <v>3453</v>
      </c>
      <c r="AI104" s="3494" t="s">
        <v>3592</v>
      </c>
      <c r="AJ104" s="3503"/>
      <c r="AK104" s="3482">
        <v>8</v>
      </c>
      <c r="AL104" s="3480">
        <v>41</v>
      </c>
      <c r="AM104" s="3472" t="s">
        <v>4358</v>
      </c>
      <c r="AN104" s="3483" t="s">
        <v>3691</v>
      </c>
      <c r="AO104" s="3480" t="s">
        <v>3453</v>
      </c>
      <c r="AP104" s="3480" t="s">
        <v>4289</v>
      </c>
      <c r="AQ104" s="3480" t="s">
        <v>3451</v>
      </c>
      <c r="AR104" s="3480"/>
      <c r="AS104" s="3480"/>
      <c r="AT104" s="3480"/>
      <c r="AU104" s="3480"/>
      <c r="AV104" s="3480" t="s">
        <v>3453</v>
      </c>
      <c r="AW104" s="3480" t="s">
        <v>4359</v>
      </c>
      <c r="AX104" s="3480"/>
      <c r="AY104" s="3484"/>
      <c r="AZ104" s="3472"/>
      <c r="BA104" s="3480"/>
      <c r="BB104" s="3484"/>
      <c r="BC104" s="3480"/>
      <c r="BD104" s="3485"/>
      <c r="BE104" s="3480"/>
      <c r="BF104" s="3486"/>
      <c r="BG104" s="3496">
        <v>38912</v>
      </c>
      <c r="BH104" s="3480" t="s">
        <v>4035</v>
      </c>
      <c r="BI104" s="3472" t="s">
        <v>4289</v>
      </c>
      <c r="BJ104" s="3496">
        <v>38933</v>
      </c>
      <c r="BK104" s="3493"/>
      <c r="BL104" s="3480" t="s">
        <v>4292</v>
      </c>
      <c r="BM104" s="3480"/>
      <c r="BN104" s="3480"/>
      <c r="BO104" s="3480"/>
      <c r="BP104" s="3480"/>
      <c r="BQ104" s="3480" t="e">
        <v>#DIV/0!</v>
      </c>
      <c r="BR104" s="3480" t="e">
        <v>#DIV/0!</v>
      </c>
      <c r="BS104" s="3529"/>
      <c r="BT104" s="3529"/>
      <c r="BU104" s="3529"/>
    </row>
    <row r="105" spans="1:73" s="3490" customFormat="1" ht="12" hidden="1">
      <c r="A105" s="3472" t="s">
        <v>4360</v>
      </c>
      <c r="B105" s="3472" t="s">
        <v>4361</v>
      </c>
      <c r="C105" s="3473" t="s">
        <v>4362</v>
      </c>
      <c r="D105" s="3473" t="s">
        <v>4363</v>
      </c>
      <c r="E105" s="3492" t="s">
        <v>3446</v>
      </c>
      <c r="F105" s="3492" t="s">
        <v>4193</v>
      </c>
      <c r="G105" s="3472"/>
      <c r="H105" s="3492" t="s">
        <v>4364</v>
      </c>
      <c r="I105" s="3476" t="s">
        <v>4365</v>
      </c>
      <c r="J105" s="3472" t="s">
        <v>3698</v>
      </c>
      <c r="K105" s="3472" t="s">
        <v>3549</v>
      </c>
      <c r="L105" s="3472">
        <v>91.75</v>
      </c>
      <c r="M105" s="3472">
        <v>6</v>
      </c>
      <c r="N105" s="3472" t="s">
        <v>3773</v>
      </c>
      <c r="O105" s="3472">
        <v>76.56</v>
      </c>
      <c r="P105" s="3472" t="s">
        <v>3457</v>
      </c>
      <c r="Q105" s="3504">
        <v>670693</v>
      </c>
      <c r="R105" s="3472">
        <v>7310</v>
      </c>
      <c r="S105" s="3500">
        <v>66.510000000000005</v>
      </c>
      <c r="T105" s="3498">
        <v>665100</v>
      </c>
      <c r="U105" s="3472">
        <v>7250</v>
      </c>
      <c r="V105" s="3495">
        <v>0.3</v>
      </c>
      <c r="W105" s="3479">
        <v>46.55</v>
      </c>
      <c r="X105" s="3530">
        <v>465500</v>
      </c>
      <c r="Y105" s="3480">
        <v>2006</v>
      </c>
      <c r="Z105" s="3480">
        <v>8</v>
      </c>
      <c r="AA105" s="3480">
        <v>8</v>
      </c>
      <c r="AB105" s="3472">
        <v>1500</v>
      </c>
      <c r="AC105" s="3472" t="s">
        <v>4215</v>
      </c>
      <c r="AD105" s="3545" t="s">
        <v>4366</v>
      </c>
      <c r="AE105" s="3483" t="s">
        <v>3447</v>
      </c>
      <c r="AF105" s="3476" t="s">
        <v>3709</v>
      </c>
      <c r="AG105" s="3472" t="s">
        <v>3448</v>
      </c>
      <c r="AH105" s="3471"/>
      <c r="AI105" s="3483" t="s">
        <v>3538</v>
      </c>
      <c r="AJ105" s="3503">
        <v>39051</v>
      </c>
      <c r="AK105" s="3482">
        <v>8</v>
      </c>
      <c r="AL105" s="3480"/>
      <c r="AM105" s="3480"/>
      <c r="AN105" s="3483" t="s">
        <v>3625</v>
      </c>
      <c r="AO105" s="3472"/>
      <c r="AP105" s="3483" t="s">
        <v>4367</v>
      </c>
      <c r="AQ105" s="3480" t="s">
        <v>3451</v>
      </c>
      <c r="AR105" s="3480" t="s">
        <v>3453</v>
      </c>
      <c r="AS105" s="3480" t="s">
        <v>3453</v>
      </c>
      <c r="AT105" s="3480" t="s">
        <v>3453</v>
      </c>
      <c r="AU105" s="3480"/>
      <c r="AV105" s="3480"/>
      <c r="AW105" s="3480" t="s">
        <v>3452</v>
      </c>
      <c r="AX105" s="3480" t="s">
        <v>3540</v>
      </c>
      <c r="AY105" s="3484" t="s">
        <v>4368</v>
      </c>
      <c r="AZ105" s="3472" t="s">
        <v>3453</v>
      </c>
      <c r="BA105" s="3532" t="s">
        <v>3453</v>
      </c>
      <c r="BB105" s="3533" t="s">
        <v>3453</v>
      </c>
      <c r="BC105" s="3532" t="s">
        <v>3453</v>
      </c>
      <c r="BD105" s="3534" t="s">
        <v>3453</v>
      </c>
      <c r="BE105" s="3480" t="s">
        <v>3453</v>
      </c>
      <c r="BF105" s="3486" t="s">
        <v>3453</v>
      </c>
      <c r="BG105" s="3535">
        <v>38923</v>
      </c>
      <c r="BH105" s="3472" t="s">
        <v>3453</v>
      </c>
      <c r="BI105" s="3487" t="s">
        <v>4367</v>
      </c>
      <c r="BJ105" s="3493">
        <v>38936</v>
      </c>
      <c r="BK105" s="3493"/>
      <c r="BL105" s="3472" t="s">
        <v>3454</v>
      </c>
      <c r="BM105" s="3480"/>
      <c r="BN105" s="3480"/>
      <c r="BO105" s="3480"/>
      <c r="BP105" s="3480"/>
      <c r="BQ105" s="3480">
        <v>8687</v>
      </c>
      <c r="BR105" s="3480">
        <v>8760</v>
      </c>
      <c r="BS105" s="3529"/>
      <c r="BT105" s="3529"/>
      <c r="BU105" s="3529"/>
    </row>
    <row r="106" spans="1:73" s="3490" customFormat="1" ht="13.2" hidden="1">
      <c r="A106" s="3472" t="s">
        <v>4369</v>
      </c>
      <c r="B106" s="3472" t="s">
        <v>4370</v>
      </c>
      <c r="C106" s="3473" t="s">
        <v>4371</v>
      </c>
      <c r="D106" s="3472">
        <v>13581640748</v>
      </c>
      <c r="E106" s="3472" t="s">
        <v>3583</v>
      </c>
      <c r="F106" s="3472" t="s">
        <v>4296</v>
      </c>
      <c r="G106" s="3472"/>
      <c r="H106" s="3472" t="s">
        <v>3881</v>
      </c>
      <c r="I106" s="3472"/>
      <c r="J106" s="3472" t="s">
        <v>4372</v>
      </c>
      <c r="K106" s="3476" t="s">
        <v>4373</v>
      </c>
      <c r="L106" s="3472">
        <v>74.11</v>
      </c>
      <c r="M106" s="3472">
        <v>1</v>
      </c>
      <c r="N106" s="3472" t="s">
        <v>3773</v>
      </c>
      <c r="O106" s="3472"/>
      <c r="P106" s="3472" t="s">
        <v>4299</v>
      </c>
      <c r="Q106" s="3472">
        <v>520000</v>
      </c>
      <c r="R106" s="3472">
        <v>7017</v>
      </c>
      <c r="S106" s="3500">
        <v>43.79</v>
      </c>
      <c r="T106" s="3498">
        <v>437900</v>
      </c>
      <c r="U106" s="3472">
        <v>5909</v>
      </c>
      <c r="V106" s="3478">
        <v>0.2</v>
      </c>
      <c r="W106" s="3479">
        <v>35.03</v>
      </c>
      <c r="X106" s="3530">
        <v>350300</v>
      </c>
      <c r="Y106" s="3472">
        <v>2006</v>
      </c>
      <c r="Z106" s="3480">
        <v>9</v>
      </c>
      <c r="AA106" s="3480">
        <v>27</v>
      </c>
      <c r="AB106" s="3472">
        <v>1310</v>
      </c>
      <c r="AC106" s="3472" t="s">
        <v>4215</v>
      </c>
      <c r="AD106" s="3540">
        <v>91302006080320</v>
      </c>
      <c r="AE106" s="3472" t="s">
        <v>4300</v>
      </c>
      <c r="AF106" s="3472" t="s">
        <v>4019</v>
      </c>
      <c r="AG106" s="3472" t="s">
        <v>3448</v>
      </c>
      <c r="AH106" s="3472"/>
      <c r="AI106" s="3472" t="s">
        <v>3592</v>
      </c>
      <c r="AJ106" s="3503"/>
      <c r="AK106" s="3482">
        <v>9</v>
      </c>
      <c r="AL106" s="3472">
        <v>52</v>
      </c>
      <c r="AM106" s="3472"/>
      <c r="AN106" s="3472" t="s">
        <v>3976</v>
      </c>
      <c r="AO106" s="3472"/>
      <c r="AP106" s="3483" t="s">
        <v>4374</v>
      </c>
      <c r="AQ106" s="3472" t="s">
        <v>4021</v>
      </c>
      <c r="AR106" s="3472"/>
      <c r="AS106" s="3472"/>
      <c r="AT106" s="3472"/>
      <c r="AU106" s="3472"/>
      <c r="AV106" s="3472"/>
      <c r="AW106" s="3472" t="s">
        <v>3598</v>
      </c>
      <c r="AX106" s="3472"/>
      <c r="AY106" s="3473"/>
      <c r="AZ106" s="3472" t="s">
        <v>4373</v>
      </c>
      <c r="BA106" s="3472"/>
      <c r="BB106" s="3472"/>
      <c r="BC106" s="3472"/>
      <c r="BD106" s="3472"/>
      <c r="BE106" s="3472">
        <v>13078787788</v>
      </c>
      <c r="BF106" s="3472"/>
      <c r="BG106" s="3547">
        <v>38932</v>
      </c>
      <c r="BH106" s="3472"/>
      <c r="BI106" s="3480" t="s">
        <v>4374</v>
      </c>
      <c r="BJ106" s="3488">
        <v>38936</v>
      </c>
      <c r="BK106" s="3493"/>
      <c r="BL106" s="3472" t="s">
        <v>4035</v>
      </c>
      <c r="BM106" s="3472" t="s">
        <v>4024</v>
      </c>
      <c r="BN106" s="3472" t="s">
        <v>4223</v>
      </c>
      <c r="BO106" s="3472" t="s">
        <v>4303</v>
      </c>
      <c r="BP106" s="3472"/>
      <c r="BQ106" s="3480" t="e">
        <v>#DIV/0!</v>
      </c>
      <c r="BR106" s="3480" t="e">
        <v>#DIV/0!</v>
      </c>
      <c r="BS106" s="3529"/>
      <c r="BT106" s="3529"/>
      <c r="BU106" s="3529"/>
    </row>
    <row r="107" spans="1:73" s="3490" customFormat="1" ht="12">
      <c r="A107" s="3472" t="s">
        <v>4375</v>
      </c>
      <c r="B107" s="3472" t="s">
        <v>4376</v>
      </c>
      <c r="C107" s="3473" t="s">
        <v>4377</v>
      </c>
      <c r="D107" s="3473" t="s">
        <v>4378</v>
      </c>
      <c r="E107" s="3492" t="s">
        <v>3446</v>
      </c>
      <c r="F107" s="3492" t="s">
        <v>3545</v>
      </c>
      <c r="G107" s="3472"/>
      <c r="H107" s="3492" t="s">
        <v>4095</v>
      </c>
      <c r="I107" s="3476" t="s">
        <v>4379</v>
      </c>
      <c r="J107" s="3472" t="s">
        <v>4380</v>
      </c>
      <c r="K107" s="3472" t="s">
        <v>3549</v>
      </c>
      <c r="L107" s="3472">
        <v>90.58</v>
      </c>
      <c r="M107" s="3472">
        <v>13</v>
      </c>
      <c r="N107" s="3472" t="s">
        <v>3656</v>
      </c>
      <c r="O107" s="3472">
        <v>76.56</v>
      </c>
      <c r="P107" s="3472" t="s">
        <v>3457</v>
      </c>
      <c r="Q107" s="3504">
        <v>638589</v>
      </c>
      <c r="R107" s="3548">
        <v>7050</v>
      </c>
      <c r="S107" s="3500">
        <v>63.31</v>
      </c>
      <c r="T107" s="3498">
        <v>633100</v>
      </c>
      <c r="U107" s="3472">
        <v>6990</v>
      </c>
      <c r="V107" s="3495">
        <v>0.3</v>
      </c>
      <c r="W107" s="3479">
        <v>44.31</v>
      </c>
      <c r="X107" s="3498">
        <v>443100</v>
      </c>
      <c r="Y107" s="3480">
        <v>2006</v>
      </c>
      <c r="Z107" s="3480">
        <v>8</v>
      </c>
      <c r="AA107" s="3480">
        <v>14</v>
      </c>
      <c r="AB107" s="3472">
        <v>1500</v>
      </c>
      <c r="AC107" s="3472" t="s">
        <v>4215</v>
      </c>
      <c r="AD107" s="3545" t="s">
        <v>4381</v>
      </c>
      <c r="AE107" s="3483" t="s">
        <v>3447</v>
      </c>
      <c r="AF107" s="3476" t="s">
        <v>3709</v>
      </c>
      <c r="AG107" s="3472" t="s">
        <v>3448</v>
      </c>
      <c r="AH107" s="3471"/>
      <c r="AI107" s="3483" t="s">
        <v>3538</v>
      </c>
      <c r="AJ107" s="3503">
        <v>39066</v>
      </c>
      <c r="AK107" s="3482" t="s">
        <v>4382</v>
      </c>
      <c r="AL107" s="3480"/>
      <c r="AM107" s="3480"/>
      <c r="AN107" s="3483" t="s">
        <v>3658</v>
      </c>
      <c r="AO107" s="3472"/>
      <c r="AP107" s="3483" t="s">
        <v>3682</v>
      </c>
      <c r="AQ107" s="3480" t="s">
        <v>3451</v>
      </c>
      <c r="AR107" s="3480" t="s">
        <v>3453</v>
      </c>
      <c r="AS107" s="3480" t="s">
        <v>3453</v>
      </c>
      <c r="AT107" s="3480" t="s">
        <v>3453</v>
      </c>
      <c r="AU107" s="3480"/>
      <c r="AV107" s="3480"/>
      <c r="AW107" s="3480" t="s">
        <v>3452</v>
      </c>
      <c r="AX107" s="3480" t="s">
        <v>3540</v>
      </c>
      <c r="AY107" s="3484" t="s">
        <v>4383</v>
      </c>
      <c r="AZ107" s="3472" t="s">
        <v>3453</v>
      </c>
      <c r="BA107" s="3532" t="s">
        <v>3453</v>
      </c>
      <c r="BB107" s="3533" t="s">
        <v>3453</v>
      </c>
      <c r="BC107" s="3532" t="s">
        <v>3453</v>
      </c>
      <c r="BD107" s="3534" t="s">
        <v>3453</v>
      </c>
      <c r="BE107" s="3480" t="s">
        <v>3453</v>
      </c>
      <c r="BF107" s="3486" t="s">
        <v>3453</v>
      </c>
      <c r="BG107" s="3535">
        <v>38864</v>
      </c>
      <c r="BH107" s="3472" t="s">
        <v>3453</v>
      </c>
      <c r="BI107" s="3487" t="s">
        <v>3682</v>
      </c>
      <c r="BJ107" s="3493">
        <v>38940</v>
      </c>
      <c r="BK107" s="3493"/>
      <c r="BL107" s="3472" t="s">
        <v>3454</v>
      </c>
      <c r="BM107" s="3480"/>
      <c r="BN107" s="3480"/>
      <c r="BO107" s="3480"/>
      <c r="BP107" s="3480"/>
      <c r="BQ107" s="3480">
        <v>8269</v>
      </c>
      <c r="BR107" s="3480">
        <v>8341</v>
      </c>
      <c r="BS107" s="3529"/>
      <c r="BT107" s="3529"/>
      <c r="BU107" s="3529"/>
    </row>
    <row r="108" spans="1:73" s="3490" customFormat="1" ht="12" hidden="1">
      <c r="A108" s="3472" t="s">
        <v>4384</v>
      </c>
      <c r="B108" s="3472" t="s">
        <v>4385</v>
      </c>
      <c r="C108" s="3473" t="s">
        <v>4386</v>
      </c>
      <c r="D108" s="3473" t="s">
        <v>4387</v>
      </c>
      <c r="E108" s="3492" t="s">
        <v>3446</v>
      </c>
      <c r="F108" s="3492" t="s">
        <v>4193</v>
      </c>
      <c r="G108" s="3472"/>
      <c r="H108" s="3492" t="s">
        <v>4364</v>
      </c>
      <c r="I108" s="3476" t="s">
        <v>4388</v>
      </c>
      <c r="J108" s="3472" t="s">
        <v>3788</v>
      </c>
      <c r="K108" s="3472" t="s">
        <v>3549</v>
      </c>
      <c r="L108" s="3472">
        <v>94.81</v>
      </c>
      <c r="M108" s="3472">
        <v>5</v>
      </c>
      <c r="N108" s="3472" t="s">
        <v>3773</v>
      </c>
      <c r="O108" s="3472">
        <v>79.11</v>
      </c>
      <c r="P108" s="3472" t="s">
        <v>3457</v>
      </c>
      <c r="Q108" s="3504">
        <v>706335</v>
      </c>
      <c r="R108" s="3472">
        <v>7450</v>
      </c>
      <c r="S108" s="3500">
        <v>70.06</v>
      </c>
      <c r="T108" s="3498">
        <v>700600</v>
      </c>
      <c r="U108" s="3472">
        <v>7390</v>
      </c>
      <c r="V108" s="3495">
        <v>0.3</v>
      </c>
      <c r="W108" s="3479">
        <v>49.04</v>
      </c>
      <c r="X108" s="3530">
        <v>490400</v>
      </c>
      <c r="Y108" s="3480">
        <v>2006</v>
      </c>
      <c r="Z108" s="3480">
        <v>8</v>
      </c>
      <c r="AA108" s="3480">
        <v>15</v>
      </c>
      <c r="AB108" s="3472">
        <v>1500</v>
      </c>
      <c r="AC108" s="3472" t="s">
        <v>4215</v>
      </c>
      <c r="AD108" s="3545" t="s">
        <v>4389</v>
      </c>
      <c r="AE108" s="3483" t="s">
        <v>3447</v>
      </c>
      <c r="AF108" s="3476" t="s">
        <v>3709</v>
      </c>
      <c r="AG108" s="3472" t="s">
        <v>3448</v>
      </c>
      <c r="AH108" s="3471"/>
      <c r="AI108" s="3483" t="s">
        <v>3538</v>
      </c>
      <c r="AJ108" s="3503">
        <v>39051</v>
      </c>
      <c r="AK108" s="3482">
        <v>8</v>
      </c>
      <c r="AL108" s="3480"/>
      <c r="AM108" s="3480"/>
      <c r="AN108" s="3483" t="s">
        <v>3658</v>
      </c>
      <c r="AO108" s="3472"/>
      <c r="AP108" s="3483" t="s">
        <v>3682</v>
      </c>
      <c r="AQ108" s="3480" t="s">
        <v>3451</v>
      </c>
      <c r="AR108" s="3480" t="s">
        <v>3453</v>
      </c>
      <c r="AS108" s="3480" t="s">
        <v>3453</v>
      </c>
      <c r="AT108" s="3480" t="s">
        <v>3453</v>
      </c>
      <c r="AU108" s="3480"/>
      <c r="AV108" s="3480"/>
      <c r="AW108" s="3480" t="s">
        <v>3452</v>
      </c>
      <c r="AX108" s="3480" t="s">
        <v>3540</v>
      </c>
      <c r="AY108" s="3484" t="s">
        <v>4390</v>
      </c>
      <c r="AZ108" s="3472" t="s">
        <v>3453</v>
      </c>
      <c r="BA108" s="3532" t="s">
        <v>3453</v>
      </c>
      <c r="BB108" s="3533" t="s">
        <v>3453</v>
      </c>
      <c r="BC108" s="3532" t="s">
        <v>3453</v>
      </c>
      <c r="BD108" s="3534" t="s">
        <v>3453</v>
      </c>
      <c r="BE108" s="3480" t="s">
        <v>3453</v>
      </c>
      <c r="BF108" s="3486" t="s">
        <v>3453</v>
      </c>
      <c r="BG108" s="3535">
        <v>38923</v>
      </c>
      <c r="BH108" s="3472" t="s">
        <v>3453</v>
      </c>
      <c r="BI108" s="3487" t="s">
        <v>3682</v>
      </c>
      <c r="BJ108" s="3493">
        <v>38943</v>
      </c>
      <c r="BK108" s="3493"/>
      <c r="BL108" s="3472" t="s">
        <v>3454</v>
      </c>
      <c r="BM108" s="3480"/>
      <c r="BN108" s="3480"/>
      <c r="BO108" s="3480"/>
      <c r="BP108" s="3480"/>
      <c r="BQ108" s="3480">
        <v>8856</v>
      </c>
      <c r="BR108" s="3480">
        <v>8929</v>
      </c>
      <c r="BS108" s="3529"/>
      <c r="BT108" s="3529"/>
      <c r="BU108" s="3529"/>
    </row>
    <row r="109" spans="1:73" s="3490" customFormat="1" ht="12">
      <c r="A109" s="3472" t="s">
        <v>4391</v>
      </c>
      <c r="B109" s="3472" t="s">
        <v>4392</v>
      </c>
      <c r="C109" s="3473" t="s">
        <v>4393</v>
      </c>
      <c r="D109" s="3473" t="s">
        <v>4394</v>
      </c>
      <c r="E109" s="3492" t="s">
        <v>3446</v>
      </c>
      <c r="F109" s="3492" t="s">
        <v>3678</v>
      </c>
      <c r="G109" s="3472"/>
      <c r="H109" s="3492" t="s">
        <v>3597</v>
      </c>
      <c r="I109" s="3476" t="s">
        <v>4395</v>
      </c>
      <c r="J109" s="3472" t="s">
        <v>3867</v>
      </c>
      <c r="K109" s="3472" t="s">
        <v>3549</v>
      </c>
      <c r="L109" s="3472">
        <v>58.35</v>
      </c>
      <c r="M109" s="3472">
        <v>4</v>
      </c>
      <c r="N109" s="3472" t="s">
        <v>3868</v>
      </c>
      <c r="O109" s="3472">
        <v>46.77</v>
      </c>
      <c r="P109" s="3472" t="s">
        <v>3457</v>
      </c>
      <c r="Q109" s="3504">
        <v>402615</v>
      </c>
      <c r="R109" s="3472">
        <v>6900</v>
      </c>
      <c r="S109" s="3500">
        <v>39.96</v>
      </c>
      <c r="T109" s="3498">
        <v>399600</v>
      </c>
      <c r="U109" s="3472">
        <v>6850</v>
      </c>
      <c r="V109" s="3495">
        <v>0.2</v>
      </c>
      <c r="W109" s="3479">
        <v>31.96</v>
      </c>
      <c r="X109" s="3530">
        <v>319600</v>
      </c>
      <c r="Y109" s="3480">
        <v>2006</v>
      </c>
      <c r="Z109" s="3480">
        <v>8</v>
      </c>
      <c r="AA109" s="3480">
        <v>16</v>
      </c>
      <c r="AB109" s="3472">
        <v>1195</v>
      </c>
      <c r="AC109" s="3472" t="s">
        <v>4215</v>
      </c>
      <c r="AD109" s="3545" t="s">
        <v>4396</v>
      </c>
      <c r="AE109" s="3483" t="s">
        <v>3447</v>
      </c>
      <c r="AF109" s="3476" t="s">
        <v>3709</v>
      </c>
      <c r="AG109" s="3472" t="s">
        <v>3448</v>
      </c>
      <c r="AH109" s="3471"/>
      <c r="AI109" s="3483" t="s">
        <v>3538</v>
      </c>
      <c r="AJ109" s="3503">
        <v>39082</v>
      </c>
      <c r="AK109" s="3482">
        <v>8</v>
      </c>
      <c r="AL109" s="3480"/>
      <c r="AM109" s="3480"/>
      <c r="AN109" s="3472" t="s">
        <v>3658</v>
      </c>
      <c r="AO109" s="3472"/>
      <c r="AP109" s="3483" t="s">
        <v>3682</v>
      </c>
      <c r="AQ109" s="3480" t="s">
        <v>3451</v>
      </c>
      <c r="AR109" s="3480" t="s">
        <v>3453</v>
      </c>
      <c r="AS109" s="3480" t="s">
        <v>3453</v>
      </c>
      <c r="AT109" s="3480" t="s">
        <v>3453</v>
      </c>
      <c r="AU109" s="3480"/>
      <c r="AV109" s="3480"/>
      <c r="AW109" s="3480" t="s">
        <v>3452</v>
      </c>
      <c r="AX109" s="3480" t="s">
        <v>3540</v>
      </c>
      <c r="AY109" s="3484" t="s">
        <v>4397</v>
      </c>
      <c r="AZ109" s="3472" t="s">
        <v>3453</v>
      </c>
      <c r="BA109" s="3532" t="s">
        <v>3453</v>
      </c>
      <c r="BB109" s="3533" t="s">
        <v>3453</v>
      </c>
      <c r="BC109" s="3532" t="s">
        <v>3453</v>
      </c>
      <c r="BD109" s="3534" t="s">
        <v>3453</v>
      </c>
      <c r="BE109" s="3480" t="s">
        <v>3453</v>
      </c>
      <c r="BF109" s="3486" t="s">
        <v>3453</v>
      </c>
      <c r="BG109" s="3535">
        <v>38886</v>
      </c>
      <c r="BH109" s="3472" t="s">
        <v>3453</v>
      </c>
      <c r="BI109" s="3472" t="s">
        <v>3682</v>
      </c>
      <c r="BJ109" s="3493">
        <v>38944</v>
      </c>
      <c r="BK109" s="3493"/>
      <c r="BL109" s="3472" t="s">
        <v>3454</v>
      </c>
      <c r="BM109" s="3480"/>
      <c r="BN109" s="3480"/>
      <c r="BO109" s="3480"/>
      <c r="BP109" s="3480"/>
      <c r="BQ109" s="3480">
        <v>8544</v>
      </c>
      <c r="BR109" s="3480">
        <v>8608</v>
      </c>
      <c r="BS109" s="3529"/>
      <c r="BT109" s="3529"/>
      <c r="BU109" s="3529"/>
    </row>
    <row r="110" spans="1:73" s="3491" customFormat="1" ht="12">
      <c r="A110" s="3471" t="s">
        <v>4398</v>
      </c>
      <c r="B110" s="3476" t="s">
        <v>4399</v>
      </c>
      <c r="C110" s="3473" t="s">
        <v>4400</v>
      </c>
      <c r="D110" s="3476">
        <v>13581566837</v>
      </c>
      <c r="E110" s="3472" t="s">
        <v>3583</v>
      </c>
      <c r="F110" s="3476" t="s">
        <v>3584</v>
      </c>
      <c r="G110" s="3476"/>
      <c r="H110" s="3476" t="s">
        <v>4095</v>
      </c>
      <c r="I110" s="3476" t="s">
        <v>4401</v>
      </c>
      <c r="J110" s="3497" t="s">
        <v>4052</v>
      </c>
      <c r="K110" s="3476" t="s">
        <v>3588</v>
      </c>
      <c r="L110" s="3494">
        <v>102.18</v>
      </c>
      <c r="M110" s="3494">
        <v>2</v>
      </c>
      <c r="N110" s="3492" t="s">
        <v>3624</v>
      </c>
      <c r="O110" s="3494">
        <v>86.36</v>
      </c>
      <c r="P110" s="3472" t="s">
        <v>3457</v>
      </c>
      <c r="Q110" s="3504">
        <v>692780</v>
      </c>
      <c r="R110" s="3472">
        <v>6780</v>
      </c>
      <c r="S110" s="3500">
        <v>68.760000000000005</v>
      </c>
      <c r="T110" s="3498">
        <v>687600</v>
      </c>
      <c r="U110" s="3472">
        <v>6730</v>
      </c>
      <c r="V110" s="3478">
        <v>0.3</v>
      </c>
      <c r="W110" s="3479">
        <v>48.13</v>
      </c>
      <c r="X110" s="3530">
        <v>481300</v>
      </c>
      <c r="Y110" s="3480">
        <v>2006</v>
      </c>
      <c r="Z110" s="3480">
        <v>8</v>
      </c>
      <c r="AA110" s="3480">
        <v>17</v>
      </c>
      <c r="AB110" s="3472">
        <v>1500</v>
      </c>
      <c r="AC110" s="3472" t="s">
        <v>4215</v>
      </c>
      <c r="AD110" s="3545" t="s">
        <v>4402</v>
      </c>
      <c r="AE110" s="3472" t="s">
        <v>4216</v>
      </c>
      <c r="AF110" s="3476" t="s">
        <v>3647</v>
      </c>
      <c r="AG110" s="3472" t="s">
        <v>3448</v>
      </c>
      <c r="AH110" s="3476"/>
      <c r="AI110" s="3483" t="s">
        <v>3592</v>
      </c>
      <c r="AJ110" s="3496">
        <v>39066</v>
      </c>
      <c r="AK110" s="3482" t="s">
        <v>4382</v>
      </c>
      <c r="AL110" s="3480"/>
      <c r="AM110" s="3480"/>
      <c r="AN110" s="3480" t="s">
        <v>3658</v>
      </c>
      <c r="AO110" s="3480"/>
      <c r="AP110" s="3483" t="s">
        <v>3682</v>
      </c>
      <c r="AQ110" s="3480" t="s">
        <v>3595</v>
      </c>
      <c r="AR110" s="3472"/>
      <c r="AS110" s="3472"/>
      <c r="AT110" s="3472"/>
      <c r="AU110" s="3472"/>
      <c r="AV110" s="3501"/>
      <c r="AW110" s="3543" t="s">
        <v>3598</v>
      </c>
      <c r="AX110" s="3476" t="s">
        <v>3599</v>
      </c>
      <c r="AY110" s="3476">
        <v>247874</v>
      </c>
      <c r="AZ110" s="3476"/>
      <c r="BA110" s="3476"/>
      <c r="BB110" s="3497"/>
      <c r="BC110" s="3476"/>
      <c r="BD110" s="3476"/>
      <c r="BE110" s="3476"/>
      <c r="BF110" s="3486"/>
      <c r="BG110" s="3499">
        <v>38837</v>
      </c>
      <c r="BH110" s="3544"/>
      <c r="BI110" s="3480" t="s">
        <v>3682</v>
      </c>
      <c r="BJ110" s="3489">
        <v>38945</v>
      </c>
      <c r="BK110" s="3488"/>
      <c r="BL110" s="3472" t="s">
        <v>4280</v>
      </c>
      <c r="BM110" s="3472"/>
      <c r="BN110" s="3480"/>
      <c r="BO110" s="3472"/>
      <c r="BP110" s="3480"/>
      <c r="BQ110" s="3480">
        <v>7962</v>
      </c>
      <c r="BR110" s="3480">
        <v>8022</v>
      </c>
      <c r="BS110" s="3529"/>
      <c r="BT110" s="3529"/>
      <c r="BU110" s="3529"/>
    </row>
    <row r="111" spans="1:73" s="3490" customFormat="1" ht="12" hidden="1">
      <c r="A111" s="3472" t="s">
        <v>4403</v>
      </c>
      <c r="B111" s="3472" t="s">
        <v>4404</v>
      </c>
      <c r="C111" s="3473" t="s">
        <v>4405</v>
      </c>
      <c r="D111" s="3473" t="s">
        <v>4406</v>
      </c>
      <c r="E111" s="3492" t="s">
        <v>3446</v>
      </c>
      <c r="F111" s="3492" t="s">
        <v>4193</v>
      </c>
      <c r="G111" s="3472"/>
      <c r="H111" s="3492" t="s">
        <v>4364</v>
      </c>
      <c r="I111" s="3476" t="s">
        <v>4407</v>
      </c>
      <c r="J111" s="3472" t="s">
        <v>4408</v>
      </c>
      <c r="K111" s="3472" t="s">
        <v>3549</v>
      </c>
      <c r="L111" s="3472">
        <v>104.11</v>
      </c>
      <c r="M111" s="3472">
        <v>8</v>
      </c>
      <c r="N111" s="3472" t="s">
        <v>3929</v>
      </c>
      <c r="O111" s="3472">
        <v>86.87</v>
      </c>
      <c r="P111" s="3472" t="s">
        <v>3457</v>
      </c>
      <c r="Q111" s="3504">
        <v>777825</v>
      </c>
      <c r="R111" s="3472">
        <v>7471</v>
      </c>
      <c r="S111" s="3500">
        <v>77.150000000000006</v>
      </c>
      <c r="T111" s="3498">
        <v>771500</v>
      </c>
      <c r="U111" s="3472">
        <v>7411</v>
      </c>
      <c r="V111" s="3495">
        <v>0.3</v>
      </c>
      <c r="W111" s="3479">
        <v>54</v>
      </c>
      <c r="X111" s="3530">
        <v>540000</v>
      </c>
      <c r="Y111" s="3480">
        <v>2006</v>
      </c>
      <c r="Z111" s="3480">
        <v>8</v>
      </c>
      <c r="AA111" s="3480">
        <v>18</v>
      </c>
      <c r="AB111" s="3472">
        <v>1500</v>
      </c>
      <c r="AC111" s="3472" t="s">
        <v>4215</v>
      </c>
      <c r="AD111" s="3545" t="s">
        <v>4409</v>
      </c>
      <c r="AE111" s="3483" t="s">
        <v>3447</v>
      </c>
      <c r="AF111" s="3476" t="s">
        <v>3709</v>
      </c>
      <c r="AG111" s="3472" t="s">
        <v>3448</v>
      </c>
      <c r="AH111" s="3471"/>
      <c r="AI111" s="3483" t="s">
        <v>3538</v>
      </c>
      <c r="AJ111" s="3503">
        <v>39051</v>
      </c>
      <c r="AK111" s="3482">
        <v>8</v>
      </c>
      <c r="AL111" s="3480"/>
      <c r="AM111" s="3480"/>
      <c r="AN111" s="3483" t="s">
        <v>3658</v>
      </c>
      <c r="AO111" s="3472"/>
      <c r="AP111" s="3483" t="s">
        <v>3682</v>
      </c>
      <c r="AQ111" s="3480" t="s">
        <v>3451</v>
      </c>
      <c r="AR111" s="3480" t="s">
        <v>3453</v>
      </c>
      <c r="AS111" s="3480" t="s">
        <v>3453</v>
      </c>
      <c r="AT111" s="3480" t="s">
        <v>3453</v>
      </c>
      <c r="AU111" s="3480"/>
      <c r="AV111" s="3480"/>
      <c r="AW111" s="3480" t="s">
        <v>3452</v>
      </c>
      <c r="AX111" s="3480" t="s">
        <v>3540</v>
      </c>
      <c r="AY111" s="3484" t="s">
        <v>4410</v>
      </c>
      <c r="AZ111" s="3472" t="s">
        <v>3453</v>
      </c>
      <c r="BA111" s="3532" t="s">
        <v>3453</v>
      </c>
      <c r="BB111" s="3533" t="s">
        <v>3453</v>
      </c>
      <c r="BC111" s="3532" t="s">
        <v>3453</v>
      </c>
      <c r="BD111" s="3534" t="s">
        <v>3453</v>
      </c>
      <c r="BE111" s="3480" t="s">
        <v>3453</v>
      </c>
      <c r="BF111" s="3486" t="s">
        <v>3453</v>
      </c>
      <c r="BG111" s="3535">
        <v>38929</v>
      </c>
      <c r="BH111" s="3472" t="s">
        <v>3453</v>
      </c>
      <c r="BI111" s="3487" t="s">
        <v>3682</v>
      </c>
      <c r="BJ111" s="3493">
        <v>38946</v>
      </c>
      <c r="BK111" s="3493"/>
      <c r="BL111" s="3472" t="s">
        <v>3454</v>
      </c>
      <c r="BM111" s="3480"/>
      <c r="BN111" s="3480"/>
      <c r="BO111" s="3480"/>
      <c r="BP111" s="3480"/>
      <c r="BQ111" s="3480">
        <v>8881</v>
      </c>
      <c r="BR111" s="3480">
        <v>8954</v>
      </c>
      <c r="BS111" s="3529"/>
      <c r="BT111" s="3529"/>
      <c r="BU111" s="3529"/>
    </row>
    <row r="112" spans="1:73" s="3490" customFormat="1" ht="12" hidden="1">
      <c r="A112" s="3472" t="s">
        <v>4411</v>
      </c>
      <c r="B112" s="3472" t="s">
        <v>4412</v>
      </c>
      <c r="C112" s="3473" t="s">
        <v>4413</v>
      </c>
      <c r="D112" s="3476" t="s">
        <v>4414</v>
      </c>
      <c r="E112" s="3492" t="s">
        <v>3583</v>
      </c>
      <c r="F112" s="3492" t="s">
        <v>4415</v>
      </c>
      <c r="G112" s="3472"/>
      <c r="H112" s="3471" t="s">
        <v>3687</v>
      </c>
      <c r="I112" s="3476"/>
      <c r="J112" s="3472" t="s">
        <v>4416</v>
      </c>
      <c r="K112" s="3476" t="s">
        <v>4417</v>
      </c>
      <c r="L112" s="3472">
        <v>136.35</v>
      </c>
      <c r="M112" s="3472">
        <v>13</v>
      </c>
      <c r="N112" s="3472" t="s">
        <v>3690</v>
      </c>
      <c r="O112" s="3472">
        <v>111.8</v>
      </c>
      <c r="P112" s="3472" t="s">
        <v>4299</v>
      </c>
      <c r="Q112" s="3504">
        <v>580000</v>
      </c>
      <c r="R112" s="3472">
        <v>4254</v>
      </c>
      <c r="S112" s="3500">
        <v>78.760000000000005</v>
      </c>
      <c r="T112" s="3498">
        <v>787600</v>
      </c>
      <c r="U112" s="3472">
        <v>5777</v>
      </c>
      <c r="V112" s="3478">
        <v>0.3</v>
      </c>
      <c r="W112" s="3479">
        <v>55.13</v>
      </c>
      <c r="X112" s="3530">
        <v>551300</v>
      </c>
      <c r="Y112" s="3480">
        <v>2006</v>
      </c>
      <c r="Z112" s="3472">
        <v>9</v>
      </c>
      <c r="AA112" s="3472">
        <v>6</v>
      </c>
      <c r="AB112" s="3472">
        <v>1500</v>
      </c>
      <c r="AC112" s="3472" t="s">
        <v>4215</v>
      </c>
      <c r="AD112" s="3549">
        <v>91302006081111</v>
      </c>
      <c r="AE112" s="3476" t="s">
        <v>3447</v>
      </c>
      <c r="AF112" s="3476" t="s">
        <v>3461</v>
      </c>
      <c r="AG112" s="3481" t="s">
        <v>4217</v>
      </c>
      <c r="AH112" s="3471"/>
      <c r="AI112" s="3472" t="s">
        <v>3538</v>
      </c>
      <c r="AJ112" s="3503"/>
      <c r="AK112" s="3482">
        <v>9</v>
      </c>
      <c r="AL112" s="3480">
        <v>55</v>
      </c>
      <c r="AM112" s="3480" t="s">
        <v>4418</v>
      </c>
      <c r="AN112" s="3472" t="s">
        <v>3699</v>
      </c>
      <c r="AO112" s="3472"/>
      <c r="AP112" s="3472" t="s">
        <v>4220</v>
      </c>
      <c r="AQ112" s="3472" t="s">
        <v>4021</v>
      </c>
      <c r="AR112" s="3472">
        <v>2006</v>
      </c>
      <c r="AS112" s="3480">
        <v>9</v>
      </c>
      <c r="AT112" s="3480">
        <v>6</v>
      </c>
      <c r="AU112" s="3480"/>
      <c r="AV112" s="3480"/>
      <c r="AW112" s="3480" t="s">
        <v>3598</v>
      </c>
      <c r="AX112" s="3480"/>
      <c r="AY112" s="3484"/>
      <c r="AZ112" s="3471" t="s">
        <v>4419</v>
      </c>
      <c r="BA112" s="3532"/>
      <c r="BB112" s="3533"/>
      <c r="BC112" s="3532"/>
      <c r="BD112" s="3534"/>
      <c r="BE112" s="3480">
        <v>13901307090</v>
      </c>
      <c r="BF112" s="3486"/>
      <c r="BG112" s="3535">
        <v>38937</v>
      </c>
      <c r="BH112" s="3472" t="s">
        <v>4035</v>
      </c>
      <c r="BI112" s="3487" t="s">
        <v>3894</v>
      </c>
      <c r="BJ112" s="3489">
        <v>38950</v>
      </c>
      <c r="BK112" s="3489"/>
      <c r="BL112" s="3472" t="s">
        <v>4035</v>
      </c>
      <c r="BM112" s="3472" t="s">
        <v>3460</v>
      </c>
      <c r="BN112" s="3472" t="s">
        <v>4223</v>
      </c>
      <c r="BO112" s="3472" t="s">
        <v>4303</v>
      </c>
      <c r="BP112" s="3472"/>
      <c r="BQ112" s="3480">
        <v>7045</v>
      </c>
      <c r="BR112" s="3480">
        <v>5188</v>
      </c>
      <c r="BS112" s="3529"/>
      <c r="BT112" s="3529"/>
      <c r="BU112" s="3529"/>
    </row>
    <row r="113" spans="1:74" s="3491" customFormat="1" ht="12" hidden="1">
      <c r="A113" s="3472" t="s">
        <v>4420</v>
      </c>
      <c r="B113" s="3472" t="s">
        <v>4421</v>
      </c>
      <c r="C113" s="3473" t="s">
        <v>4422</v>
      </c>
      <c r="D113" s="3473" t="s">
        <v>4423</v>
      </c>
      <c r="E113" s="3492" t="s">
        <v>3446</v>
      </c>
      <c r="F113" s="3492" t="s">
        <v>4193</v>
      </c>
      <c r="G113" s="3472"/>
      <c r="H113" s="3492" t="s">
        <v>4364</v>
      </c>
      <c r="I113" s="3476" t="s">
        <v>4424</v>
      </c>
      <c r="J113" s="3472" t="s">
        <v>3689</v>
      </c>
      <c r="K113" s="3472" t="s">
        <v>3549</v>
      </c>
      <c r="L113" s="3472">
        <v>94.81</v>
      </c>
      <c r="M113" s="3472">
        <v>7</v>
      </c>
      <c r="N113" s="3472" t="s">
        <v>3773</v>
      </c>
      <c r="O113" s="3472">
        <v>79.11</v>
      </c>
      <c r="P113" s="3472" t="s">
        <v>3457</v>
      </c>
      <c r="Q113" s="3504">
        <v>715816</v>
      </c>
      <c r="R113" s="3472">
        <v>7550</v>
      </c>
      <c r="S113" s="3500">
        <v>71.010000000000005</v>
      </c>
      <c r="T113" s="3498">
        <v>710100</v>
      </c>
      <c r="U113" s="3472">
        <v>7490</v>
      </c>
      <c r="V113" s="3495">
        <v>0.3</v>
      </c>
      <c r="W113" s="3479">
        <v>49.7</v>
      </c>
      <c r="X113" s="3530">
        <v>497000</v>
      </c>
      <c r="Y113" s="3480">
        <v>2006</v>
      </c>
      <c r="Z113" s="3480">
        <v>9</v>
      </c>
      <c r="AA113" s="3480">
        <v>5</v>
      </c>
      <c r="AB113" s="3472">
        <v>1500</v>
      </c>
      <c r="AC113" s="3472" t="s">
        <v>4215</v>
      </c>
      <c r="AD113" s="3545" t="s">
        <v>4425</v>
      </c>
      <c r="AE113" s="3483" t="s">
        <v>3447</v>
      </c>
      <c r="AF113" s="3476" t="s">
        <v>3709</v>
      </c>
      <c r="AG113" s="3481" t="s">
        <v>3448</v>
      </c>
      <c r="AH113" s="3471"/>
      <c r="AI113" s="3483" t="s">
        <v>3538</v>
      </c>
      <c r="AJ113" s="3503">
        <v>39051</v>
      </c>
      <c r="AK113" s="3482">
        <v>9</v>
      </c>
      <c r="AL113" s="3480"/>
      <c r="AM113" s="3480"/>
      <c r="AN113" s="3483" t="s">
        <v>3625</v>
      </c>
      <c r="AO113" s="3472"/>
      <c r="AP113" s="3483" t="s">
        <v>3682</v>
      </c>
      <c r="AQ113" s="3480" t="s">
        <v>3451</v>
      </c>
      <c r="AR113" s="3480" t="s">
        <v>3453</v>
      </c>
      <c r="AS113" s="3480" t="s">
        <v>3453</v>
      </c>
      <c r="AT113" s="3480" t="s">
        <v>3453</v>
      </c>
      <c r="AU113" s="3480"/>
      <c r="AV113" s="3480"/>
      <c r="AW113" s="3480" t="s">
        <v>3452</v>
      </c>
      <c r="AX113" s="3480" t="s">
        <v>3540</v>
      </c>
      <c r="AY113" s="3484" t="s">
        <v>4426</v>
      </c>
      <c r="AZ113" s="3472" t="s">
        <v>3453</v>
      </c>
      <c r="BA113" s="3532" t="s">
        <v>3453</v>
      </c>
      <c r="BB113" s="3533" t="s">
        <v>3453</v>
      </c>
      <c r="BC113" s="3532" t="s">
        <v>3453</v>
      </c>
      <c r="BD113" s="3534" t="s">
        <v>3453</v>
      </c>
      <c r="BE113" s="3480" t="s">
        <v>3453</v>
      </c>
      <c r="BF113" s="3486" t="s">
        <v>3453</v>
      </c>
      <c r="BG113" s="3535">
        <v>38941</v>
      </c>
      <c r="BH113" s="3472" t="s">
        <v>3453</v>
      </c>
      <c r="BI113" s="3487" t="s">
        <v>3682</v>
      </c>
      <c r="BJ113" s="3493">
        <v>38964</v>
      </c>
      <c r="BK113" s="3493"/>
      <c r="BL113" s="3472" t="s">
        <v>3454</v>
      </c>
      <c r="BM113" s="3480"/>
      <c r="BN113" s="3480"/>
      <c r="BO113" s="3480"/>
      <c r="BP113" s="3480"/>
      <c r="BQ113" s="3480">
        <v>8976</v>
      </c>
      <c r="BR113" s="3480">
        <v>9048</v>
      </c>
      <c r="BS113" s="3529"/>
      <c r="BT113" s="3529"/>
      <c r="BU113" s="3529"/>
      <c r="BV113" s="3490"/>
    </row>
    <row r="114" spans="1:74" s="3491" customFormat="1" ht="12" hidden="1">
      <c r="A114" s="3472" t="s">
        <v>4427</v>
      </c>
      <c r="B114" s="3472" t="s">
        <v>4428</v>
      </c>
      <c r="C114" s="3473" t="s">
        <v>4429</v>
      </c>
      <c r="D114" s="3473" t="s">
        <v>4430</v>
      </c>
      <c r="E114" s="3492" t="s">
        <v>3446</v>
      </c>
      <c r="F114" s="3492" t="s">
        <v>4193</v>
      </c>
      <c r="G114" s="3472"/>
      <c r="H114" s="3492" t="s">
        <v>4431</v>
      </c>
      <c r="I114" s="3476" t="s">
        <v>3764</v>
      </c>
      <c r="J114" s="3472" t="s">
        <v>4116</v>
      </c>
      <c r="K114" s="3472" t="s">
        <v>3549</v>
      </c>
      <c r="L114" s="3472">
        <v>94.81</v>
      </c>
      <c r="M114" s="3472">
        <v>11</v>
      </c>
      <c r="N114" s="3472" t="s">
        <v>3773</v>
      </c>
      <c r="O114" s="3472">
        <v>79.11</v>
      </c>
      <c r="P114" s="3472" t="s">
        <v>3457</v>
      </c>
      <c r="Q114" s="3504">
        <v>726245</v>
      </c>
      <c r="R114" s="3472">
        <v>7660</v>
      </c>
      <c r="S114" s="3500">
        <v>72.05</v>
      </c>
      <c r="T114" s="3498">
        <v>720500</v>
      </c>
      <c r="U114" s="3472">
        <v>7600</v>
      </c>
      <c r="V114" s="3495">
        <v>0.3</v>
      </c>
      <c r="W114" s="3479">
        <v>50.43</v>
      </c>
      <c r="X114" s="3530">
        <v>504300</v>
      </c>
      <c r="Y114" s="3480">
        <v>2006</v>
      </c>
      <c r="Z114" s="3480">
        <v>9</v>
      </c>
      <c r="AA114" s="3480">
        <v>6</v>
      </c>
      <c r="AB114" s="3472">
        <v>1500</v>
      </c>
      <c r="AC114" s="3472" t="s">
        <v>4215</v>
      </c>
      <c r="AD114" s="3545" t="s">
        <v>4432</v>
      </c>
      <c r="AE114" s="3483" t="s">
        <v>3447</v>
      </c>
      <c r="AF114" s="3476" t="s">
        <v>3709</v>
      </c>
      <c r="AG114" s="3481" t="s">
        <v>3448</v>
      </c>
      <c r="AH114" s="3471"/>
      <c r="AI114" s="3483" t="s">
        <v>3538</v>
      </c>
      <c r="AJ114" s="3503">
        <v>39051</v>
      </c>
      <c r="AK114" s="3482">
        <v>9</v>
      </c>
      <c r="AL114" s="3480"/>
      <c r="AM114" s="3480"/>
      <c r="AN114" s="3483" t="s">
        <v>3625</v>
      </c>
      <c r="AO114" s="3472"/>
      <c r="AP114" s="3483" t="s">
        <v>3682</v>
      </c>
      <c r="AQ114" s="3480" t="s">
        <v>3451</v>
      </c>
      <c r="AR114" s="3480" t="s">
        <v>3453</v>
      </c>
      <c r="AS114" s="3480" t="s">
        <v>3453</v>
      </c>
      <c r="AT114" s="3480" t="s">
        <v>3453</v>
      </c>
      <c r="AU114" s="3480"/>
      <c r="AV114" s="3480"/>
      <c r="AW114" s="3480" t="s">
        <v>3452</v>
      </c>
      <c r="AX114" s="3480" t="s">
        <v>3540</v>
      </c>
      <c r="AY114" s="3484" t="s">
        <v>4433</v>
      </c>
      <c r="AZ114" s="3472" t="s">
        <v>3453</v>
      </c>
      <c r="BA114" s="3532" t="s">
        <v>3453</v>
      </c>
      <c r="BB114" s="3533" t="s">
        <v>3453</v>
      </c>
      <c r="BC114" s="3532" t="s">
        <v>3453</v>
      </c>
      <c r="BD114" s="3534" t="s">
        <v>3453</v>
      </c>
      <c r="BE114" s="3480" t="s">
        <v>3453</v>
      </c>
      <c r="BF114" s="3486" t="s">
        <v>3453</v>
      </c>
      <c r="BG114" s="3535">
        <v>38943</v>
      </c>
      <c r="BH114" s="3472" t="s">
        <v>3453</v>
      </c>
      <c r="BI114" s="3487" t="s">
        <v>3682</v>
      </c>
      <c r="BJ114" s="3493">
        <v>38965</v>
      </c>
      <c r="BK114" s="3493"/>
      <c r="BL114" s="3472" t="s">
        <v>3454</v>
      </c>
      <c r="BM114" s="3480"/>
      <c r="BN114" s="3480"/>
      <c r="BO114" s="3480"/>
      <c r="BP114" s="3480"/>
      <c r="BQ114" s="3480">
        <v>9108</v>
      </c>
      <c r="BR114" s="3480">
        <v>9180</v>
      </c>
      <c r="BS114" s="3529"/>
      <c r="BT114" s="3529"/>
      <c r="BU114" s="3529"/>
      <c r="BV114" s="3550"/>
    </row>
    <row r="115" spans="1:74" s="3490" customFormat="1" ht="12" hidden="1">
      <c r="A115" s="3472" t="s">
        <v>4434</v>
      </c>
      <c r="B115" s="3472" t="s">
        <v>4435</v>
      </c>
      <c r="C115" s="3473" t="s">
        <v>4436</v>
      </c>
      <c r="D115" s="3473" t="s">
        <v>4437</v>
      </c>
      <c r="E115" s="3492" t="s">
        <v>3446</v>
      </c>
      <c r="F115" s="3492" t="s">
        <v>4193</v>
      </c>
      <c r="G115" s="3472"/>
      <c r="H115" s="3492" t="s">
        <v>3687</v>
      </c>
      <c r="I115" s="3476" t="s">
        <v>4438</v>
      </c>
      <c r="J115" s="3472" t="s">
        <v>3758</v>
      </c>
      <c r="K115" s="3472" t="s">
        <v>3549</v>
      </c>
      <c r="L115" s="3472">
        <v>126.62</v>
      </c>
      <c r="M115" s="3472">
        <v>2</v>
      </c>
      <c r="N115" s="3472" t="s">
        <v>3690</v>
      </c>
      <c r="O115" s="3472">
        <v>106.97</v>
      </c>
      <c r="P115" s="3472" t="s">
        <v>3457</v>
      </c>
      <c r="Q115" s="3504">
        <v>835692</v>
      </c>
      <c r="R115" s="3472">
        <v>6600</v>
      </c>
      <c r="S115" s="3500">
        <v>82.73</v>
      </c>
      <c r="T115" s="3498">
        <v>827300</v>
      </c>
      <c r="U115" s="3472">
        <v>6534</v>
      </c>
      <c r="V115" s="3495">
        <v>0.3</v>
      </c>
      <c r="W115" s="3479">
        <v>57.91</v>
      </c>
      <c r="X115" s="3530">
        <v>579100</v>
      </c>
      <c r="Y115" s="3480">
        <v>2006</v>
      </c>
      <c r="Z115" s="3480">
        <v>9</v>
      </c>
      <c r="AA115" s="3480">
        <v>8</v>
      </c>
      <c r="AB115" s="3472">
        <v>1500</v>
      </c>
      <c r="AC115" s="3472" t="s">
        <v>4215</v>
      </c>
      <c r="AD115" s="3545" t="s">
        <v>4439</v>
      </c>
      <c r="AE115" s="3483" t="s">
        <v>3447</v>
      </c>
      <c r="AF115" s="3476" t="s">
        <v>3709</v>
      </c>
      <c r="AG115" s="3481" t="s">
        <v>3448</v>
      </c>
      <c r="AH115" s="3471"/>
      <c r="AI115" s="3483" t="s">
        <v>3538</v>
      </c>
      <c r="AJ115" s="3503">
        <v>39051</v>
      </c>
      <c r="AK115" s="3482">
        <v>9</v>
      </c>
      <c r="AL115" s="3480"/>
      <c r="AM115" s="3480"/>
      <c r="AN115" s="3483" t="s">
        <v>3625</v>
      </c>
      <c r="AO115" s="3472"/>
      <c r="AP115" s="3483" t="s">
        <v>3798</v>
      </c>
      <c r="AQ115" s="3480" t="s">
        <v>3451</v>
      </c>
      <c r="AR115" s="3480" t="s">
        <v>3453</v>
      </c>
      <c r="AS115" s="3480" t="s">
        <v>3453</v>
      </c>
      <c r="AT115" s="3480" t="s">
        <v>3453</v>
      </c>
      <c r="AU115" s="3480"/>
      <c r="AV115" s="3480"/>
      <c r="AW115" s="3480" t="s">
        <v>3452</v>
      </c>
      <c r="AX115" s="3480" t="s">
        <v>3540</v>
      </c>
      <c r="AY115" s="3484" t="s">
        <v>4440</v>
      </c>
      <c r="AZ115" s="3472" t="s">
        <v>3453</v>
      </c>
      <c r="BA115" s="3532" t="s">
        <v>3453</v>
      </c>
      <c r="BB115" s="3533" t="s">
        <v>3453</v>
      </c>
      <c r="BC115" s="3532" t="s">
        <v>3453</v>
      </c>
      <c r="BD115" s="3534" t="s">
        <v>3453</v>
      </c>
      <c r="BE115" s="3480" t="s">
        <v>3453</v>
      </c>
      <c r="BF115" s="3486">
        <v>2.8</v>
      </c>
      <c r="BG115" s="3535">
        <v>38940</v>
      </c>
      <c r="BH115" s="3472" t="s">
        <v>3453</v>
      </c>
      <c r="BI115" s="3487" t="s">
        <v>3798</v>
      </c>
      <c r="BJ115" s="3493">
        <v>38967</v>
      </c>
      <c r="BK115" s="3493"/>
      <c r="BL115" s="3472" t="s">
        <v>3454</v>
      </c>
      <c r="BM115" s="3480"/>
      <c r="BN115" s="3480"/>
      <c r="BO115" s="3480"/>
      <c r="BP115" s="3480"/>
      <c r="BQ115" s="3480">
        <v>7734</v>
      </c>
      <c r="BR115" s="3480">
        <v>7812</v>
      </c>
      <c r="BS115" s="3529"/>
      <c r="BT115" s="3529"/>
      <c r="BU115" s="3529"/>
    </row>
    <row r="116" spans="1:74" s="3490" customFormat="1" ht="12" hidden="1">
      <c r="A116" s="3472" t="s">
        <v>4441</v>
      </c>
      <c r="B116" s="3472" t="s">
        <v>4442</v>
      </c>
      <c r="C116" s="3473" t="s">
        <v>4443</v>
      </c>
      <c r="D116" s="3473" t="s">
        <v>4444</v>
      </c>
      <c r="E116" s="3492" t="s">
        <v>3446</v>
      </c>
      <c r="F116" s="3492" t="s">
        <v>4193</v>
      </c>
      <c r="G116" s="3472"/>
      <c r="H116" s="3492" t="s">
        <v>4364</v>
      </c>
      <c r="I116" s="3476" t="s">
        <v>4445</v>
      </c>
      <c r="J116" s="3472" t="s">
        <v>3956</v>
      </c>
      <c r="K116" s="3472" t="s">
        <v>3549</v>
      </c>
      <c r="L116" s="3472">
        <v>103.22</v>
      </c>
      <c r="M116" s="3472">
        <v>9</v>
      </c>
      <c r="N116" s="3472" t="s">
        <v>3624</v>
      </c>
      <c r="O116" s="3472">
        <v>86.13</v>
      </c>
      <c r="P116" s="3472" t="s">
        <v>3457</v>
      </c>
      <c r="Q116" s="3504">
        <v>777247</v>
      </c>
      <c r="R116" s="3472">
        <v>7530</v>
      </c>
      <c r="S116" s="3500">
        <v>77.099999999999994</v>
      </c>
      <c r="T116" s="3498">
        <v>771000</v>
      </c>
      <c r="U116" s="3472">
        <v>7470</v>
      </c>
      <c r="V116" s="3495">
        <v>0.3</v>
      </c>
      <c r="W116" s="3479">
        <v>53.97</v>
      </c>
      <c r="X116" s="3530">
        <v>539700</v>
      </c>
      <c r="Y116" s="3480">
        <v>2006</v>
      </c>
      <c r="Z116" s="3480">
        <v>9</v>
      </c>
      <c r="AA116" s="3480">
        <v>18</v>
      </c>
      <c r="AB116" s="3472">
        <v>1500</v>
      </c>
      <c r="AC116" s="3472" t="s">
        <v>4215</v>
      </c>
      <c r="AD116" s="3545" t="s">
        <v>4446</v>
      </c>
      <c r="AE116" s="3483" t="s">
        <v>3447</v>
      </c>
      <c r="AF116" s="3476" t="s">
        <v>3709</v>
      </c>
      <c r="AG116" s="3481" t="s">
        <v>3448</v>
      </c>
      <c r="AH116" s="3471"/>
      <c r="AI116" s="3483" t="s">
        <v>3538</v>
      </c>
      <c r="AJ116" s="3503">
        <v>39051</v>
      </c>
      <c r="AK116" s="3482">
        <v>9</v>
      </c>
      <c r="AL116" s="3480"/>
      <c r="AM116" s="3480"/>
      <c r="AN116" s="3483" t="s">
        <v>3691</v>
      </c>
      <c r="AO116" s="3472"/>
      <c r="AP116" s="3483" t="s">
        <v>4279</v>
      </c>
      <c r="AQ116" s="3480" t="s">
        <v>3451</v>
      </c>
      <c r="AR116" s="3480" t="s">
        <v>3453</v>
      </c>
      <c r="AS116" s="3480" t="s">
        <v>3453</v>
      </c>
      <c r="AT116" s="3480" t="s">
        <v>3453</v>
      </c>
      <c r="AU116" s="3480"/>
      <c r="AV116" s="3480"/>
      <c r="AW116" s="3480" t="s">
        <v>3452</v>
      </c>
      <c r="AX116" s="3480" t="s">
        <v>3540</v>
      </c>
      <c r="AY116" s="3484" t="s">
        <v>4447</v>
      </c>
      <c r="AZ116" s="3472" t="s">
        <v>3453</v>
      </c>
      <c r="BA116" s="3532" t="s">
        <v>3453</v>
      </c>
      <c r="BB116" s="3533" t="s">
        <v>3453</v>
      </c>
      <c r="BC116" s="3532" t="s">
        <v>3453</v>
      </c>
      <c r="BD116" s="3534" t="s">
        <v>3453</v>
      </c>
      <c r="BE116" s="3480" t="s">
        <v>3453</v>
      </c>
      <c r="BF116" s="3486" t="s">
        <v>3453</v>
      </c>
      <c r="BG116" s="3535">
        <v>38963</v>
      </c>
      <c r="BH116" s="3472" t="s">
        <v>3453</v>
      </c>
      <c r="BI116" s="3487" t="s">
        <v>4279</v>
      </c>
      <c r="BJ116" s="3493">
        <v>38975</v>
      </c>
      <c r="BK116" s="3493"/>
      <c r="BL116" s="3472" t="s">
        <v>3454</v>
      </c>
      <c r="BM116" s="3480"/>
      <c r="BN116" s="3480"/>
      <c r="BO116" s="3480"/>
      <c r="BP116" s="3480"/>
      <c r="BQ116" s="3480">
        <v>8952</v>
      </c>
      <c r="BR116" s="3480">
        <v>9024</v>
      </c>
      <c r="BS116" s="3529"/>
      <c r="BT116" s="3529"/>
      <c r="BU116" s="3529"/>
    </row>
    <row r="117" spans="1:74" s="3491" customFormat="1" ht="12" hidden="1">
      <c r="A117" s="3471" t="s">
        <v>4448</v>
      </c>
      <c r="B117" s="3476" t="s">
        <v>4449</v>
      </c>
      <c r="C117" s="3473" t="s">
        <v>4450</v>
      </c>
      <c r="D117" s="3476">
        <v>83438959</v>
      </c>
      <c r="E117" s="3472" t="s">
        <v>3583</v>
      </c>
      <c r="F117" s="3492" t="s">
        <v>4193</v>
      </c>
      <c r="G117" s="3476"/>
      <c r="H117" s="3476" t="s">
        <v>4095</v>
      </c>
      <c r="I117" s="3476" t="s">
        <v>4451</v>
      </c>
      <c r="J117" s="3497" t="s">
        <v>4452</v>
      </c>
      <c r="K117" s="3476" t="s">
        <v>3588</v>
      </c>
      <c r="L117" s="3494">
        <v>132.24</v>
      </c>
      <c r="M117" s="3494">
        <v>4</v>
      </c>
      <c r="N117" s="3492" t="s">
        <v>3690</v>
      </c>
      <c r="O117" s="3494">
        <v>111.77</v>
      </c>
      <c r="P117" s="3472" t="s">
        <v>3457</v>
      </c>
      <c r="Q117" s="3504">
        <v>929647</v>
      </c>
      <c r="R117" s="3472">
        <v>7030</v>
      </c>
      <c r="S117" s="3500">
        <v>92.17</v>
      </c>
      <c r="T117" s="3498">
        <v>921700</v>
      </c>
      <c r="U117" s="3472">
        <v>6970</v>
      </c>
      <c r="V117" s="3478">
        <v>0.3</v>
      </c>
      <c r="W117" s="3479">
        <v>64.510000000000005</v>
      </c>
      <c r="X117" s="3530">
        <v>645100</v>
      </c>
      <c r="Y117" s="3480">
        <v>2006</v>
      </c>
      <c r="Z117" s="3480">
        <v>9</v>
      </c>
      <c r="AA117" s="3480">
        <v>19</v>
      </c>
      <c r="AB117" s="3472">
        <v>1500</v>
      </c>
      <c r="AC117" s="3472" t="s">
        <v>4215</v>
      </c>
      <c r="AD117" s="3545" t="s">
        <v>4453</v>
      </c>
      <c r="AE117" s="3472" t="s">
        <v>4216</v>
      </c>
      <c r="AF117" s="3476" t="s">
        <v>3709</v>
      </c>
      <c r="AG117" s="3476" t="s">
        <v>4217</v>
      </c>
      <c r="AH117" s="3476"/>
      <c r="AI117" s="3483" t="s">
        <v>3592</v>
      </c>
      <c r="AJ117" s="3496">
        <v>39066</v>
      </c>
      <c r="AK117" s="3482" t="s">
        <v>4454</v>
      </c>
      <c r="AL117" s="3480"/>
      <c r="AM117" s="3480"/>
      <c r="AN117" s="3480" t="s">
        <v>3691</v>
      </c>
      <c r="AO117" s="3480"/>
      <c r="AP117" s="3483" t="s">
        <v>4075</v>
      </c>
      <c r="AQ117" s="3480" t="s">
        <v>3595</v>
      </c>
      <c r="AR117" s="3472"/>
      <c r="AS117" s="3472"/>
      <c r="AT117" s="3472"/>
      <c r="AU117" s="3472"/>
      <c r="AV117" s="3501"/>
      <c r="AW117" s="3543" t="s">
        <v>3598</v>
      </c>
      <c r="AX117" s="3476" t="s">
        <v>3599</v>
      </c>
      <c r="AY117" s="3476">
        <v>309595</v>
      </c>
      <c r="AZ117" s="3476"/>
      <c r="BA117" s="3476"/>
      <c r="BB117" s="3497"/>
      <c r="BC117" s="3476"/>
      <c r="BD117" s="3476"/>
      <c r="BE117" s="3476"/>
      <c r="BF117" s="3486"/>
      <c r="BG117" s="3499">
        <v>38938</v>
      </c>
      <c r="BH117" s="3544"/>
      <c r="BI117" s="3480" t="s">
        <v>3682</v>
      </c>
      <c r="BJ117" s="3489">
        <v>38978</v>
      </c>
      <c r="BK117" s="3488"/>
      <c r="BL117" s="3472" t="s">
        <v>4280</v>
      </c>
      <c r="BM117" s="3472"/>
      <c r="BN117" s="3480"/>
      <c r="BO117" s="3472"/>
      <c r="BP117" s="3480"/>
      <c r="BQ117" s="3480">
        <v>8246</v>
      </c>
      <c r="BR117" s="3480">
        <v>8318</v>
      </c>
      <c r="BS117" s="3529"/>
      <c r="BT117" s="3529"/>
      <c r="BU117" s="3529"/>
    </row>
    <row r="118" spans="1:74" s="3491" customFormat="1" ht="12" hidden="1">
      <c r="A118" s="3472" t="s">
        <v>4455</v>
      </c>
      <c r="B118" s="3472" t="s">
        <v>4456</v>
      </c>
      <c r="C118" s="3473" t="s">
        <v>4457</v>
      </c>
      <c r="D118" s="3473" t="s">
        <v>4458</v>
      </c>
      <c r="E118" s="3492" t="s">
        <v>3446</v>
      </c>
      <c r="F118" s="3492" t="s">
        <v>4193</v>
      </c>
      <c r="G118" s="3472"/>
      <c r="H118" s="3471" t="s">
        <v>4364</v>
      </c>
      <c r="I118" s="3476" t="s">
        <v>4459</v>
      </c>
      <c r="J118" s="3472" t="s">
        <v>4052</v>
      </c>
      <c r="K118" s="3472" t="s">
        <v>3549</v>
      </c>
      <c r="L118" s="3472">
        <v>91.75</v>
      </c>
      <c r="M118" s="3472">
        <v>2</v>
      </c>
      <c r="N118" s="3472" t="s">
        <v>3773</v>
      </c>
      <c r="O118" s="3472">
        <v>76.56</v>
      </c>
      <c r="P118" s="3472" t="s">
        <v>3457</v>
      </c>
      <c r="Q118" s="3504">
        <v>654178</v>
      </c>
      <c r="R118" s="3472">
        <v>7130</v>
      </c>
      <c r="S118" s="3500">
        <v>64.86</v>
      </c>
      <c r="T118" s="3498">
        <v>648600</v>
      </c>
      <c r="U118" s="3472">
        <v>7070</v>
      </c>
      <c r="V118" s="3495">
        <v>0.3</v>
      </c>
      <c r="W118" s="3479">
        <v>45.4</v>
      </c>
      <c r="X118" s="3530">
        <v>454000</v>
      </c>
      <c r="Y118" s="3480">
        <v>2006</v>
      </c>
      <c r="Z118" s="3480">
        <v>9</v>
      </c>
      <c r="AA118" s="3480">
        <v>19</v>
      </c>
      <c r="AB118" s="3472">
        <v>1500</v>
      </c>
      <c r="AC118" s="3472" t="s">
        <v>4215</v>
      </c>
      <c r="AD118" s="3497" t="s">
        <v>4460</v>
      </c>
      <c r="AE118" s="3483" t="s">
        <v>3447</v>
      </c>
      <c r="AF118" s="3476" t="s">
        <v>4197</v>
      </c>
      <c r="AG118" s="3481" t="s">
        <v>3448</v>
      </c>
      <c r="AH118" s="3472"/>
      <c r="AI118" s="3483" t="s">
        <v>3538</v>
      </c>
      <c r="AJ118" s="3503">
        <v>39051</v>
      </c>
      <c r="AK118" s="3482">
        <v>9</v>
      </c>
      <c r="AL118" s="3480"/>
      <c r="AM118" s="3472"/>
      <c r="AN118" s="3483" t="s">
        <v>3691</v>
      </c>
      <c r="AO118" s="3472"/>
      <c r="AP118" s="3483" t="s">
        <v>3701</v>
      </c>
      <c r="AQ118" s="3472" t="s">
        <v>3451</v>
      </c>
      <c r="AR118" s="3480" t="s">
        <v>3453</v>
      </c>
      <c r="AS118" s="3480" t="s">
        <v>3453</v>
      </c>
      <c r="AT118" s="3480" t="s">
        <v>3453</v>
      </c>
      <c r="AU118" s="3480"/>
      <c r="AV118" s="3480"/>
      <c r="AW118" s="3480" t="s">
        <v>3452</v>
      </c>
      <c r="AX118" s="3480" t="s">
        <v>3540</v>
      </c>
      <c r="AY118" s="3484" t="s">
        <v>4461</v>
      </c>
      <c r="AZ118" s="3472" t="s">
        <v>3453</v>
      </c>
      <c r="BA118" s="3532" t="s">
        <v>3453</v>
      </c>
      <c r="BB118" s="3533" t="s">
        <v>3453</v>
      </c>
      <c r="BC118" s="3532" t="s">
        <v>3453</v>
      </c>
      <c r="BD118" s="3534" t="s">
        <v>3453</v>
      </c>
      <c r="BE118" s="3480" t="s">
        <v>3453</v>
      </c>
      <c r="BF118" s="3486">
        <v>2.8</v>
      </c>
      <c r="BG118" s="3535">
        <v>38962</v>
      </c>
      <c r="BH118" s="3472" t="s">
        <v>3453</v>
      </c>
      <c r="BI118" s="3487" t="s">
        <v>3701</v>
      </c>
      <c r="BJ118" s="3493">
        <v>38978</v>
      </c>
      <c r="BK118" s="3493"/>
      <c r="BL118" s="3472" t="s">
        <v>3454</v>
      </c>
      <c r="BM118" s="3480"/>
      <c r="BN118" s="3480"/>
      <c r="BO118" s="3480"/>
      <c r="BP118" s="3480"/>
      <c r="BQ118" s="3480">
        <v>8472</v>
      </c>
      <c r="BR118" s="3480">
        <v>8545</v>
      </c>
      <c r="BS118" s="3529"/>
      <c r="BT118" s="3529"/>
      <c r="BU118" s="3529"/>
    </row>
    <row r="119" spans="1:74" s="3490" customFormat="1" ht="12">
      <c r="A119" s="3472" t="s">
        <v>4462</v>
      </c>
      <c r="B119" s="3472" t="s">
        <v>4463</v>
      </c>
      <c r="C119" s="3473" t="s">
        <v>4464</v>
      </c>
      <c r="D119" s="3473" t="s">
        <v>4465</v>
      </c>
      <c r="E119" s="3492" t="s">
        <v>3583</v>
      </c>
      <c r="F119" s="3492" t="s">
        <v>3584</v>
      </c>
      <c r="G119" s="3472"/>
      <c r="H119" s="3471" t="s">
        <v>4095</v>
      </c>
      <c r="I119" s="3476" t="s">
        <v>3715</v>
      </c>
      <c r="J119" s="3472" t="s">
        <v>3751</v>
      </c>
      <c r="K119" s="3472" t="s">
        <v>3588</v>
      </c>
      <c r="L119" s="3472">
        <v>127.35</v>
      </c>
      <c r="M119" s="3472">
        <v>3</v>
      </c>
      <c r="N119" s="3472" t="s">
        <v>3690</v>
      </c>
      <c r="O119" s="3472">
        <v>107.64</v>
      </c>
      <c r="P119" s="3472" t="s">
        <v>3457</v>
      </c>
      <c r="Q119" s="3504">
        <v>846878</v>
      </c>
      <c r="R119" s="3472">
        <v>6650</v>
      </c>
      <c r="S119" s="3500">
        <v>84.05</v>
      </c>
      <c r="T119" s="3498">
        <v>840500</v>
      </c>
      <c r="U119" s="3472">
        <v>6600</v>
      </c>
      <c r="V119" s="3495">
        <v>0.3</v>
      </c>
      <c r="W119" s="3479">
        <v>58.83</v>
      </c>
      <c r="X119" s="3530">
        <v>588300</v>
      </c>
      <c r="Y119" s="3480">
        <v>2006</v>
      </c>
      <c r="Z119" s="3480">
        <v>9</v>
      </c>
      <c r="AA119" s="3480">
        <v>21</v>
      </c>
      <c r="AB119" s="3472">
        <v>1500</v>
      </c>
      <c r="AC119" s="3472" t="s">
        <v>4215</v>
      </c>
      <c r="AD119" s="3545" t="s">
        <v>4466</v>
      </c>
      <c r="AE119" s="3483" t="s">
        <v>4216</v>
      </c>
      <c r="AF119" s="3472" t="s">
        <v>3709</v>
      </c>
      <c r="AG119" s="3481" t="s">
        <v>4217</v>
      </c>
      <c r="AH119" s="3471"/>
      <c r="AI119" s="3483" t="s">
        <v>3592</v>
      </c>
      <c r="AJ119" s="3503">
        <v>39066</v>
      </c>
      <c r="AK119" s="3482">
        <v>9</v>
      </c>
      <c r="AL119" s="3480" t="s">
        <v>3597</v>
      </c>
      <c r="AM119" s="3480"/>
      <c r="AN119" s="3483" t="s">
        <v>3691</v>
      </c>
      <c r="AO119" s="3472"/>
      <c r="AP119" s="3483" t="s">
        <v>4075</v>
      </c>
      <c r="AQ119" s="3480" t="s">
        <v>3595</v>
      </c>
      <c r="AR119" s="3480"/>
      <c r="AS119" s="3480"/>
      <c r="AT119" s="3480"/>
      <c r="AU119" s="3480"/>
      <c r="AV119" s="3480"/>
      <c r="AW119" s="3480" t="s">
        <v>3598</v>
      </c>
      <c r="AX119" s="3480" t="s">
        <v>3599</v>
      </c>
      <c r="AY119" s="3484" t="s">
        <v>4467</v>
      </c>
      <c r="AZ119" s="3471"/>
      <c r="BA119" s="3532"/>
      <c r="BB119" s="3533"/>
      <c r="BC119" s="3532"/>
      <c r="BD119" s="3534"/>
      <c r="BE119" s="3480"/>
      <c r="BF119" s="3486"/>
      <c r="BG119" s="3535">
        <v>38900</v>
      </c>
      <c r="BH119" s="3472"/>
      <c r="BI119" s="3487" t="s">
        <v>3682</v>
      </c>
      <c r="BJ119" s="3493">
        <v>38980</v>
      </c>
      <c r="BK119" s="3493"/>
      <c r="BL119" s="3472" t="s">
        <v>4280</v>
      </c>
      <c r="BM119" s="3480"/>
      <c r="BN119" s="3480"/>
      <c r="BO119" s="3480"/>
      <c r="BP119" s="3480"/>
      <c r="BQ119" s="3480">
        <v>7808</v>
      </c>
      <c r="BR119" s="3480">
        <v>7868</v>
      </c>
      <c r="BS119" s="3529"/>
      <c r="BT119" s="3529"/>
      <c r="BU119" s="3529"/>
    </row>
    <row r="120" spans="1:74" s="3491" customFormat="1" ht="12" hidden="1">
      <c r="A120" s="3472" t="s">
        <v>4468</v>
      </c>
      <c r="B120" s="3472" t="s">
        <v>4469</v>
      </c>
      <c r="C120" s="3473" t="s">
        <v>4470</v>
      </c>
      <c r="D120" s="3473" t="s">
        <v>4471</v>
      </c>
      <c r="E120" s="3492" t="s">
        <v>3446</v>
      </c>
      <c r="F120" s="3492" t="s">
        <v>4472</v>
      </c>
      <c r="G120" s="3472"/>
      <c r="H120" s="3471"/>
      <c r="I120" s="3476" t="s">
        <v>4473</v>
      </c>
      <c r="J120" s="3472" t="s">
        <v>4474</v>
      </c>
      <c r="K120" s="3472" t="s">
        <v>3549</v>
      </c>
      <c r="L120" s="3472">
        <v>89.41</v>
      </c>
      <c r="M120" s="3472">
        <v>4</v>
      </c>
      <c r="N120" s="3472" t="s">
        <v>3656</v>
      </c>
      <c r="O120" s="3472">
        <v>71.67</v>
      </c>
      <c r="P120" s="3472" t="s">
        <v>3457</v>
      </c>
      <c r="Q120" s="3504">
        <v>622294</v>
      </c>
      <c r="R120" s="3472">
        <v>6960</v>
      </c>
      <c r="S120" s="3500">
        <v>61.78</v>
      </c>
      <c r="T120" s="3498">
        <v>617800</v>
      </c>
      <c r="U120" s="3472">
        <v>6910</v>
      </c>
      <c r="V120" s="3495">
        <v>0.2</v>
      </c>
      <c r="W120" s="3479">
        <v>49.42</v>
      </c>
      <c r="X120" s="3530">
        <v>494200</v>
      </c>
      <c r="Y120" s="3480">
        <v>2006</v>
      </c>
      <c r="Z120" s="3480">
        <v>9</v>
      </c>
      <c r="AA120" s="3480">
        <v>26</v>
      </c>
      <c r="AB120" s="3472">
        <v>1500</v>
      </c>
      <c r="AC120" s="3472" t="s">
        <v>4215</v>
      </c>
      <c r="AD120" s="3497" t="s">
        <v>4475</v>
      </c>
      <c r="AE120" s="3483" t="s">
        <v>3447</v>
      </c>
      <c r="AF120" s="3476" t="s">
        <v>3709</v>
      </c>
      <c r="AG120" s="3481" t="s">
        <v>3448</v>
      </c>
      <c r="AH120" s="3472"/>
      <c r="AI120" s="3483" t="s">
        <v>3538</v>
      </c>
      <c r="AJ120" s="3503">
        <v>39082</v>
      </c>
      <c r="AK120" s="3482">
        <v>9</v>
      </c>
      <c r="AL120" s="3480"/>
      <c r="AM120" s="3472"/>
      <c r="AN120" s="3483" t="s">
        <v>3976</v>
      </c>
      <c r="AO120" s="3472"/>
      <c r="AP120" s="3483" t="s">
        <v>3682</v>
      </c>
      <c r="AQ120" s="3472" t="s">
        <v>3451</v>
      </c>
      <c r="AR120" s="3480" t="s">
        <v>3453</v>
      </c>
      <c r="AS120" s="3480" t="s">
        <v>3453</v>
      </c>
      <c r="AT120" s="3480" t="s">
        <v>3453</v>
      </c>
      <c r="AU120" s="3480"/>
      <c r="AV120" s="3480"/>
      <c r="AW120" s="3480" t="s">
        <v>3452</v>
      </c>
      <c r="AX120" s="3480" t="s">
        <v>3540</v>
      </c>
      <c r="AY120" s="3484" t="s">
        <v>4476</v>
      </c>
      <c r="AZ120" s="3472" t="s">
        <v>3453</v>
      </c>
      <c r="BA120" s="3532" t="s">
        <v>3453</v>
      </c>
      <c r="BB120" s="3533" t="s">
        <v>3453</v>
      </c>
      <c r="BC120" s="3532" t="s">
        <v>3453</v>
      </c>
      <c r="BD120" s="3534" t="s">
        <v>3453</v>
      </c>
      <c r="BE120" s="3480" t="s">
        <v>3453</v>
      </c>
      <c r="BF120" s="3486"/>
      <c r="BG120" s="3535">
        <v>38949</v>
      </c>
      <c r="BH120" s="3472" t="s">
        <v>3453</v>
      </c>
      <c r="BI120" s="3487" t="s">
        <v>3682</v>
      </c>
      <c r="BJ120" s="3493">
        <v>38985</v>
      </c>
      <c r="BK120" s="3493"/>
      <c r="BL120" s="3472" t="s">
        <v>3454</v>
      </c>
      <c r="BM120" s="3480"/>
      <c r="BN120" s="3480"/>
      <c r="BO120" s="3480"/>
      <c r="BP120" s="3480"/>
      <c r="BQ120" s="3480">
        <v>8620</v>
      </c>
      <c r="BR120" s="3480">
        <v>8683</v>
      </c>
      <c r="BS120" s="3529"/>
      <c r="BT120" s="3529"/>
      <c r="BU120" s="3529"/>
    </row>
    <row r="121" spans="1:74" s="3491" customFormat="1" ht="12" hidden="1">
      <c r="A121" s="3472" t="s">
        <v>4477</v>
      </c>
      <c r="B121" s="3472" t="s">
        <v>4478</v>
      </c>
      <c r="C121" s="3473" t="s">
        <v>4479</v>
      </c>
      <c r="D121" s="3473" t="s">
        <v>4480</v>
      </c>
      <c r="E121" s="3492" t="s">
        <v>3446</v>
      </c>
      <c r="F121" s="3492" t="s">
        <v>4193</v>
      </c>
      <c r="G121" s="3472"/>
      <c r="H121" s="3471" t="s">
        <v>4364</v>
      </c>
      <c r="I121" s="3476" t="s">
        <v>4481</v>
      </c>
      <c r="J121" s="3472" t="s">
        <v>4148</v>
      </c>
      <c r="K121" s="3472" t="s">
        <v>3549</v>
      </c>
      <c r="L121" s="3472">
        <v>91.75</v>
      </c>
      <c r="M121" s="3472">
        <v>10</v>
      </c>
      <c r="N121" s="3472" t="s">
        <v>3773</v>
      </c>
      <c r="O121" s="3472">
        <v>76.56</v>
      </c>
      <c r="P121" s="3472" t="s">
        <v>3457</v>
      </c>
      <c r="Q121" s="3504">
        <v>703723</v>
      </c>
      <c r="R121" s="3472">
        <v>7670</v>
      </c>
      <c r="S121" s="3500">
        <v>69.819999999999993</v>
      </c>
      <c r="T121" s="3498">
        <v>698199.99999999988</v>
      </c>
      <c r="U121" s="3472">
        <v>7610</v>
      </c>
      <c r="V121" s="3495">
        <v>0.3</v>
      </c>
      <c r="W121" s="3479">
        <v>48.87</v>
      </c>
      <c r="X121" s="3530">
        <v>488700</v>
      </c>
      <c r="Y121" s="3480">
        <v>2006</v>
      </c>
      <c r="Z121" s="3480">
        <v>10</v>
      </c>
      <c r="AA121" s="3480">
        <v>20</v>
      </c>
      <c r="AB121" s="3472">
        <v>1500</v>
      </c>
      <c r="AC121" s="3472" t="s">
        <v>4215</v>
      </c>
      <c r="AD121" s="3545" t="s">
        <v>4482</v>
      </c>
      <c r="AE121" s="3483" t="s">
        <v>3447</v>
      </c>
      <c r="AF121" s="3476" t="s">
        <v>4197</v>
      </c>
      <c r="AG121" s="3481" t="s">
        <v>3448</v>
      </c>
      <c r="AH121" s="3472"/>
      <c r="AI121" s="3483" t="s">
        <v>3538</v>
      </c>
      <c r="AJ121" s="3503">
        <v>39051</v>
      </c>
      <c r="AK121" s="3482" t="s">
        <v>4198</v>
      </c>
      <c r="AL121" s="3480"/>
      <c r="AM121" s="3472"/>
      <c r="AN121" s="3483" t="s">
        <v>3658</v>
      </c>
      <c r="AO121" s="3472"/>
      <c r="AP121" s="3483" t="s">
        <v>3682</v>
      </c>
      <c r="AQ121" s="3472" t="s">
        <v>3451</v>
      </c>
      <c r="AR121" s="3480" t="s">
        <v>3453</v>
      </c>
      <c r="AS121" s="3480" t="s">
        <v>3453</v>
      </c>
      <c r="AT121" s="3480" t="s">
        <v>3453</v>
      </c>
      <c r="AU121" s="3480"/>
      <c r="AV121" s="3480"/>
      <c r="AW121" s="3480" t="s">
        <v>3452</v>
      </c>
      <c r="AX121" s="3480" t="s">
        <v>3540</v>
      </c>
      <c r="AY121" s="3484" t="s">
        <v>4483</v>
      </c>
      <c r="AZ121" s="3472" t="s">
        <v>3453</v>
      </c>
      <c r="BA121" s="3532" t="s">
        <v>3453</v>
      </c>
      <c r="BB121" s="3533" t="s">
        <v>3453</v>
      </c>
      <c r="BC121" s="3532" t="s">
        <v>3453</v>
      </c>
      <c r="BD121" s="3534" t="s">
        <v>3453</v>
      </c>
      <c r="BE121" s="3480" t="s">
        <v>3453</v>
      </c>
      <c r="BF121" s="3486">
        <v>2.8</v>
      </c>
      <c r="BG121" s="3535">
        <v>39002</v>
      </c>
      <c r="BH121" s="3472" t="s">
        <v>3453</v>
      </c>
      <c r="BI121" s="3487" t="s">
        <v>3682</v>
      </c>
      <c r="BJ121" s="3493">
        <v>39009</v>
      </c>
      <c r="BK121" s="3493"/>
      <c r="BL121" s="3472" t="s">
        <v>3454</v>
      </c>
      <c r="BM121" s="3480"/>
      <c r="BN121" s="3480"/>
      <c r="BO121" s="3480"/>
      <c r="BP121" s="3480"/>
      <c r="BQ121" s="3480">
        <v>9120</v>
      </c>
      <c r="BR121" s="3480">
        <v>9192</v>
      </c>
      <c r="BS121" s="3529"/>
      <c r="BT121" s="3529"/>
      <c r="BU121" s="3529"/>
    </row>
    <row r="122" spans="1:74" s="3491" customFormat="1" ht="12" hidden="1">
      <c r="A122" s="3472" t="s">
        <v>4484</v>
      </c>
      <c r="B122" s="3472" t="s">
        <v>4485</v>
      </c>
      <c r="C122" s="3473" t="s">
        <v>4486</v>
      </c>
      <c r="D122" s="3473" t="s">
        <v>4487</v>
      </c>
      <c r="E122" s="3492" t="s">
        <v>3446</v>
      </c>
      <c r="F122" s="3492" t="s">
        <v>4193</v>
      </c>
      <c r="G122" s="3472"/>
      <c r="H122" s="3471" t="s">
        <v>4364</v>
      </c>
      <c r="I122" s="3476" t="s">
        <v>4488</v>
      </c>
      <c r="J122" s="3472" t="s">
        <v>3765</v>
      </c>
      <c r="K122" s="3472" t="s">
        <v>3549</v>
      </c>
      <c r="L122" s="3472">
        <v>106.76</v>
      </c>
      <c r="M122" s="3472">
        <v>11</v>
      </c>
      <c r="N122" s="3472" t="s">
        <v>3929</v>
      </c>
      <c r="O122" s="3472">
        <v>89.08</v>
      </c>
      <c r="P122" s="3472" t="s">
        <v>3457</v>
      </c>
      <c r="Q122" s="3504">
        <v>839134</v>
      </c>
      <c r="R122" s="3472">
        <v>7860</v>
      </c>
      <c r="S122" s="3500">
        <v>83.27</v>
      </c>
      <c r="T122" s="3498">
        <v>832700</v>
      </c>
      <c r="U122" s="3472">
        <v>7800</v>
      </c>
      <c r="V122" s="3495">
        <v>0.3</v>
      </c>
      <c r="W122" s="3479">
        <v>58.28</v>
      </c>
      <c r="X122" s="3530">
        <v>582800</v>
      </c>
      <c r="Y122" s="3480">
        <v>2006</v>
      </c>
      <c r="Z122" s="3480">
        <v>11</v>
      </c>
      <c r="AA122" s="3480">
        <v>3</v>
      </c>
      <c r="AB122" s="3472">
        <v>1500</v>
      </c>
      <c r="AC122" s="3472" t="s">
        <v>4215</v>
      </c>
      <c r="AD122" s="3545" t="s">
        <v>4489</v>
      </c>
      <c r="AE122" s="3483" t="s">
        <v>3447</v>
      </c>
      <c r="AF122" s="3476" t="s">
        <v>4197</v>
      </c>
      <c r="AG122" s="3481" t="s">
        <v>3448</v>
      </c>
      <c r="AH122" s="3472"/>
      <c r="AI122" s="3483" t="s">
        <v>3538</v>
      </c>
      <c r="AJ122" s="3503">
        <v>39051</v>
      </c>
      <c r="AK122" s="3482" t="s">
        <v>4218</v>
      </c>
      <c r="AL122" s="3480"/>
      <c r="AM122" s="3472"/>
      <c r="AN122" s="3483" t="s">
        <v>3699</v>
      </c>
      <c r="AO122" s="3472"/>
      <c r="AP122" s="3483" t="s">
        <v>3682</v>
      </c>
      <c r="AQ122" s="3472" t="s">
        <v>3451</v>
      </c>
      <c r="AR122" s="3480" t="s">
        <v>3453</v>
      </c>
      <c r="AS122" s="3480" t="s">
        <v>3453</v>
      </c>
      <c r="AT122" s="3480" t="s">
        <v>3453</v>
      </c>
      <c r="AU122" s="3480"/>
      <c r="AV122" s="3480"/>
      <c r="AW122" s="3480" t="s">
        <v>3452</v>
      </c>
      <c r="AX122" s="3480" t="s">
        <v>3540</v>
      </c>
      <c r="AY122" s="3484" t="s">
        <v>4490</v>
      </c>
      <c r="AZ122" s="3472" t="s">
        <v>3453</v>
      </c>
      <c r="BA122" s="3532" t="s">
        <v>3453</v>
      </c>
      <c r="BB122" s="3533" t="s">
        <v>3453</v>
      </c>
      <c r="BC122" s="3532" t="s">
        <v>3453</v>
      </c>
      <c r="BD122" s="3534" t="s">
        <v>3453</v>
      </c>
      <c r="BE122" s="3480" t="s">
        <v>3453</v>
      </c>
      <c r="BF122" s="3486">
        <v>2.8</v>
      </c>
      <c r="BG122" s="3535">
        <v>39006</v>
      </c>
      <c r="BH122" s="3472" t="s">
        <v>3453</v>
      </c>
      <c r="BI122" s="3487" t="s">
        <v>3682</v>
      </c>
      <c r="BJ122" s="3493">
        <v>39023</v>
      </c>
      <c r="BK122" s="3493"/>
      <c r="BL122" s="3472" t="s">
        <v>3454</v>
      </c>
      <c r="BM122" s="3480"/>
      <c r="BN122" s="3480"/>
      <c r="BO122" s="3480"/>
      <c r="BP122" s="3480"/>
      <c r="BQ122" s="3480">
        <v>9348</v>
      </c>
      <c r="BR122" s="3480">
        <v>9420</v>
      </c>
      <c r="BS122" s="3529"/>
      <c r="BT122" s="3529"/>
      <c r="BU122" s="3529"/>
    </row>
    <row r="123" spans="1:74" s="3490" customFormat="1" ht="12" hidden="1">
      <c r="A123" s="3472" t="s">
        <v>4491</v>
      </c>
      <c r="B123" s="3472" t="s">
        <v>4492</v>
      </c>
      <c r="C123" s="3473" t="s">
        <v>4493</v>
      </c>
      <c r="D123" s="3473" t="s">
        <v>4494</v>
      </c>
      <c r="E123" s="3492" t="s">
        <v>3583</v>
      </c>
      <c r="F123" s="3492" t="s">
        <v>4415</v>
      </c>
      <c r="G123" s="3472"/>
      <c r="H123" s="3471" t="s">
        <v>3621</v>
      </c>
      <c r="I123" s="3476"/>
      <c r="J123" s="3472" t="s">
        <v>4186</v>
      </c>
      <c r="K123" s="3472" t="s">
        <v>4495</v>
      </c>
      <c r="L123" s="3472">
        <v>71.930000000000007</v>
      </c>
      <c r="M123" s="3472">
        <v>16</v>
      </c>
      <c r="N123" s="3472" t="s">
        <v>3868</v>
      </c>
      <c r="O123" s="3472"/>
      <c r="P123" s="3472" t="s">
        <v>4299</v>
      </c>
      <c r="Q123" s="3504">
        <v>480000</v>
      </c>
      <c r="R123" s="3472">
        <v>6673</v>
      </c>
      <c r="S123" s="3500">
        <v>43.41</v>
      </c>
      <c r="T123" s="3498">
        <v>434100</v>
      </c>
      <c r="U123" s="3472">
        <v>6036</v>
      </c>
      <c r="V123" s="3495">
        <v>0.2</v>
      </c>
      <c r="W123" s="3479">
        <v>34.72</v>
      </c>
      <c r="X123" s="3530">
        <v>347200</v>
      </c>
      <c r="Y123" s="3480">
        <v>2006</v>
      </c>
      <c r="Z123" s="3480">
        <v>12</v>
      </c>
      <c r="AA123" s="3480">
        <v>1</v>
      </c>
      <c r="AB123" s="3472">
        <v>1300</v>
      </c>
      <c r="AC123" s="3472" t="s">
        <v>4215</v>
      </c>
      <c r="AD123" s="3551">
        <v>91302006110764</v>
      </c>
      <c r="AE123" s="3483" t="s">
        <v>4018</v>
      </c>
      <c r="AF123" s="3476" t="s">
        <v>3461</v>
      </c>
      <c r="AG123" s="3481" t="s">
        <v>4217</v>
      </c>
      <c r="AH123" s="3471"/>
      <c r="AI123" s="3483" t="s">
        <v>3592</v>
      </c>
      <c r="AJ123" s="3503"/>
      <c r="AK123" s="3482" t="s">
        <v>4496</v>
      </c>
      <c r="AL123" s="3480">
        <v>55</v>
      </c>
      <c r="AM123" s="3480"/>
      <c r="AN123" s="3483" t="s">
        <v>3699</v>
      </c>
      <c r="AO123" s="3472"/>
      <c r="AP123" s="3483" t="s">
        <v>4374</v>
      </c>
      <c r="AQ123" s="3472" t="s">
        <v>4021</v>
      </c>
      <c r="AR123" s="3480"/>
      <c r="AS123" s="3480"/>
      <c r="AT123" s="3480"/>
      <c r="AU123" s="3480"/>
      <c r="AV123" s="3480"/>
      <c r="AW123" s="3480" t="s">
        <v>4254</v>
      </c>
      <c r="AX123" s="3480"/>
      <c r="AY123" s="3484"/>
      <c r="AZ123" s="3471" t="s">
        <v>4495</v>
      </c>
      <c r="BA123" s="3532"/>
      <c r="BB123" s="3533"/>
      <c r="BC123" s="3532"/>
      <c r="BD123" s="3534"/>
      <c r="BE123" s="3480">
        <v>13522627052</v>
      </c>
      <c r="BF123" s="3486"/>
      <c r="BG123" s="3535">
        <v>39035</v>
      </c>
      <c r="BH123" s="3472" t="s">
        <v>4035</v>
      </c>
      <c r="BI123" s="3472" t="s">
        <v>4374</v>
      </c>
      <c r="BJ123" s="3493">
        <v>39036</v>
      </c>
      <c r="BK123" s="3493"/>
      <c r="BL123" s="3472" t="s">
        <v>3459</v>
      </c>
      <c r="BM123" s="3480" t="s">
        <v>4024</v>
      </c>
      <c r="BN123" s="3480" t="s">
        <v>4223</v>
      </c>
      <c r="BO123" s="3480" t="s">
        <v>4224</v>
      </c>
      <c r="BP123" s="3480"/>
      <c r="BQ123" s="3480" t="e">
        <v>#DIV/0!</v>
      </c>
      <c r="BR123" s="3480" t="e">
        <v>#DIV/0!</v>
      </c>
      <c r="BS123" s="3529"/>
      <c r="BT123" s="3529"/>
      <c r="BU123" s="3529"/>
    </row>
    <row r="124" spans="1:74" s="3491" customFormat="1" ht="12" hidden="1">
      <c r="A124" s="3472" t="s">
        <v>4497</v>
      </c>
      <c r="B124" s="3472" t="s">
        <v>4498</v>
      </c>
      <c r="C124" s="3473" t="s">
        <v>4499</v>
      </c>
      <c r="D124" s="3473" t="s">
        <v>4500</v>
      </c>
      <c r="E124" s="3492" t="s">
        <v>3446</v>
      </c>
      <c r="F124" s="3492" t="s">
        <v>4193</v>
      </c>
      <c r="G124" s="3472"/>
      <c r="H124" s="3471" t="s">
        <v>4364</v>
      </c>
      <c r="I124" s="3476" t="s">
        <v>4501</v>
      </c>
      <c r="J124" s="3472" t="s">
        <v>3875</v>
      </c>
      <c r="K124" s="3472" t="s">
        <v>3549</v>
      </c>
      <c r="L124" s="3472">
        <v>106.31</v>
      </c>
      <c r="M124" s="3472">
        <v>12</v>
      </c>
      <c r="N124" s="3472" t="s">
        <v>4502</v>
      </c>
      <c r="O124" s="3472">
        <v>88.71</v>
      </c>
      <c r="P124" s="3472" t="s">
        <v>3457</v>
      </c>
      <c r="Q124" s="3504">
        <v>886625</v>
      </c>
      <c r="R124" s="3472">
        <v>8340</v>
      </c>
      <c r="S124" s="3500">
        <v>88.02</v>
      </c>
      <c r="T124" s="3498">
        <v>880200</v>
      </c>
      <c r="U124" s="3472">
        <v>8280</v>
      </c>
      <c r="V124" s="3495">
        <v>0.3</v>
      </c>
      <c r="W124" s="3479">
        <v>61.61</v>
      </c>
      <c r="X124" s="3530">
        <v>616100</v>
      </c>
      <c r="Y124" s="3480">
        <v>2006</v>
      </c>
      <c r="Z124" s="3480">
        <v>12</v>
      </c>
      <c r="AA124" s="3480">
        <v>30</v>
      </c>
      <c r="AB124" s="3472">
        <v>1500</v>
      </c>
      <c r="AC124" s="3472" t="s">
        <v>4215</v>
      </c>
      <c r="AD124" s="3545" t="s">
        <v>4503</v>
      </c>
      <c r="AE124" s="3483" t="s">
        <v>3447</v>
      </c>
      <c r="AF124" s="3476" t="s">
        <v>4504</v>
      </c>
      <c r="AG124" s="3481" t="s">
        <v>3448</v>
      </c>
      <c r="AH124" s="3472"/>
      <c r="AI124" s="3483" t="s">
        <v>3538</v>
      </c>
      <c r="AJ124" s="3503">
        <v>39098</v>
      </c>
      <c r="AK124" s="3482" t="s">
        <v>4496</v>
      </c>
      <c r="AL124" s="3480"/>
      <c r="AM124" s="3472"/>
      <c r="AN124" s="3483" t="s">
        <v>3976</v>
      </c>
      <c r="AO124" s="3472"/>
      <c r="AP124" s="3483" t="s">
        <v>3682</v>
      </c>
      <c r="AQ124" s="3472" t="s">
        <v>3451</v>
      </c>
      <c r="AR124" s="3480" t="s">
        <v>3453</v>
      </c>
      <c r="AS124" s="3480" t="s">
        <v>3453</v>
      </c>
      <c r="AT124" s="3480" t="s">
        <v>3453</v>
      </c>
      <c r="AU124" s="3480"/>
      <c r="AV124" s="3480"/>
      <c r="AW124" s="3480" t="s">
        <v>3452</v>
      </c>
      <c r="AX124" s="3480" t="s">
        <v>3540</v>
      </c>
      <c r="AY124" s="3484" t="s">
        <v>4505</v>
      </c>
      <c r="AZ124" s="3472" t="s">
        <v>3453</v>
      </c>
      <c r="BA124" s="3532" t="s">
        <v>3453</v>
      </c>
      <c r="BB124" s="3533" t="s">
        <v>3453</v>
      </c>
      <c r="BC124" s="3532" t="s">
        <v>3453</v>
      </c>
      <c r="BD124" s="3534" t="s">
        <v>3453</v>
      </c>
      <c r="BE124" s="3480" t="s">
        <v>3453</v>
      </c>
      <c r="BF124" s="3486">
        <v>2.8</v>
      </c>
      <c r="BG124" s="3535">
        <v>39067</v>
      </c>
      <c r="BH124" s="3472" t="s">
        <v>3453</v>
      </c>
      <c r="BI124" s="3487" t="s">
        <v>3682</v>
      </c>
      <c r="BJ124" s="3493">
        <v>39080</v>
      </c>
      <c r="BK124" s="3493"/>
      <c r="BL124" s="3472" t="s">
        <v>3454</v>
      </c>
      <c r="BM124" s="3480"/>
      <c r="BN124" s="3480"/>
      <c r="BO124" s="3480"/>
      <c r="BP124" s="3480"/>
      <c r="BQ124" s="3480">
        <v>9922</v>
      </c>
      <c r="BR124" s="3480">
        <v>9995</v>
      </c>
      <c r="BS124" s="3529"/>
      <c r="BT124" s="3529"/>
      <c r="BU124" s="3529"/>
    </row>
  </sheetData>
  <mergeCells count="1">
    <mergeCell ref="AL1:AM1"/>
  </mergeCells>
  <phoneticPr fontId="134"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88.22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882" t="s">
        <v>1770</v>
      </c>
      <c r="D4" s="3883"/>
      <c r="E4" s="3884" t="s">
        <v>1771</v>
      </c>
      <c r="F4" s="3885"/>
      <c r="G4" s="3882" t="s">
        <v>1772</v>
      </c>
      <c r="H4" s="3883"/>
      <c r="I4" s="3882" t="s">
        <v>1773</v>
      </c>
      <c r="J4" s="3883"/>
      <c r="K4" s="559" t="s">
        <v>1774</v>
      </c>
      <c r="L4" s="2715"/>
      <c r="M4" s="2716"/>
      <c r="N4" s="2716"/>
      <c r="O4" s="2716"/>
      <c r="P4" s="3886" t="s">
        <v>1775</v>
      </c>
      <c r="Q4" s="3887"/>
      <c r="R4" s="3869" t="s">
        <v>1771</v>
      </c>
      <c r="S4" s="3870"/>
      <c r="T4" s="3869" t="s">
        <v>1772</v>
      </c>
      <c r="U4" s="3870"/>
      <c r="V4" s="3894" t="s">
        <v>1773</v>
      </c>
      <c r="W4" s="3894"/>
      <c r="X4" s="1355"/>
      <c r="Y4" s="3869" t="s">
        <v>1775</v>
      </c>
      <c r="Z4" s="3870"/>
      <c r="AA4" s="3864" t="s">
        <v>1771</v>
      </c>
      <c r="AB4" s="3894" t="s">
        <v>1772</v>
      </c>
      <c r="AC4" s="3864" t="s">
        <v>1773</v>
      </c>
    </row>
    <row r="5" spans="1:29">
      <c r="A5" s="358"/>
      <c r="B5" s="359"/>
      <c r="C5" s="3913" t="s">
        <v>1673</v>
      </c>
      <c r="D5" s="3876"/>
      <c r="E5" s="3911" t="s">
        <v>1674</v>
      </c>
      <c r="F5" s="3912"/>
      <c r="G5" s="3913" t="s">
        <v>1675</v>
      </c>
      <c r="H5" s="3876"/>
      <c r="I5" s="3913" t="s">
        <v>1676</v>
      </c>
      <c r="J5" s="3876"/>
      <c r="K5" s="559"/>
      <c r="L5" s="2715"/>
      <c r="M5" s="2716"/>
      <c r="N5" s="2716"/>
      <c r="O5" s="2716"/>
      <c r="P5" s="3888"/>
      <c r="Q5" s="3889"/>
      <c r="R5" s="3871"/>
      <c r="S5" s="3872"/>
      <c r="T5" s="3871"/>
      <c r="U5" s="3872"/>
      <c r="V5" s="3894"/>
      <c r="W5" s="3894"/>
      <c r="X5" s="1355"/>
      <c r="Y5" s="3871"/>
      <c r="Z5" s="3872"/>
      <c r="AA5" s="3865"/>
      <c r="AB5" s="3894"/>
      <c r="AC5" s="3865"/>
    </row>
    <row r="6" spans="1:29" ht="15" thickBot="1">
      <c r="A6" s="360"/>
      <c r="B6" s="361"/>
      <c r="C6" s="3914" t="s">
        <v>1677</v>
      </c>
      <c r="D6" s="3878"/>
      <c r="E6" s="3915" t="s">
        <v>1677</v>
      </c>
      <c r="F6" s="3880"/>
      <c r="G6" s="3914" t="s">
        <v>1677</v>
      </c>
      <c r="H6" s="3878"/>
      <c r="I6" s="3914" t="s">
        <v>1677</v>
      </c>
      <c r="J6" s="3878"/>
      <c r="K6" s="559" t="s">
        <v>1678</v>
      </c>
      <c r="L6" s="2715"/>
      <c r="M6" s="2716"/>
      <c r="N6" s="2716"/>
      <c r="O6" s="2716"/>
      <c r="P6" s="3890"/>
      <c r="Q6" s="3891"/>
      <c r="R6" s="3871"/>
      <c r="S6" s="3872"/>
      <c r="T6" s="3892"/>
      <c r="U6" s="3893"/>
      <c r="V6" s="3894"/>
      <c r="W6" s="3894"/>
      <c r="X6" s="1355"/>
      <c r="Y6" s="3892"/>
      <c r="Z6" s="3893"/>
      <c r="AA6" s="3866"/>
      <c r="AB6" s="3894"/>
      <c r="AC6" s="3866"/>
    </row>
    <row r="7" spans="1:29" s="108" customFormat="1" ht="15" thickBot="1">
      <c r="A7" s="362" t="s">
        <v>1679</v>
      </c>
      <c r="B7" s="363"/>
      <c r="C7" s="364">
        <f>'数据-取费表'!B2</f>
        <v>38916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67" t="s">
        <v>1680</v>
      </c>
      <c r="Q7" s="3895"/>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67" t="s">
        <v>1683</v>
      </c>
      <c r="Q8" s="3868"/>
      <c r="R8" s="701" t="s">
        <v>14</v>
      </c>
      <c r="S8" s="702">
        <f t="shared" si="0"/>
        <v>100</v>
      </c>
      <c r="T8" s="701" t="s">
        <v>14</v>
      </c>
      <c r="U8" s="702">
        <f t="shared" si="1"/>
        <v>100</v>
      </c>
      <c r="V8" s="701" t="s">
        <v>14</v>
      </c>
      <c r="W8" s="702">
        <f t="shared" si="2"/>
        <v>100</v>
      </c>
      <c r="X8" s="703"/>
      <c r="Y8" s="3867" t="s">
        <v>1683</v>
      </c>
      <c r="Z8" s="386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81"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81"/>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81"/>
      <c r="Q11" s="1343" t="str">
        <f t="shared" si="6"/>
        <v>容积率</v>
      </c>
      <c r="R11" s="701" t="s">
        <v>14</v>
      </c>
      <c r="S11" s="702" t="e">
        <f t="shared" si="0"/>
        <v>#N/A</v>
      </c>
      <c r="T11" s="701" t="s">
        <v>14</v>
      </c>
      <c r="U11" s="702" t="e">
        <f t="shared" si="1"/>
        <v>#N/A</v>
      </c>
      <c r="V11" s="701" t="s">
        <v>14</v>
      </c>
      <c r="W11" s="702" t="e">
        <f t="shared" si="2"/>
        <v>#N/A</v>
      </c>
      <c r="X11" s="703"/>
      <c r="Y11" s="381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81"/>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81"/>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81"/>
      <c r="Q14" s="1343">
        <f t="shared" si="6"/>
        <v>111</v>
      </c>
      <c r="R14" s="701" t="s">
        <v>14</v>
      </c>
      <c r="S14" s="702">
        <f t="shared" si="0"/>
        <v>100</v>
      </c>
      <c r="T14" s="701" t="s">
        <v>14</v>
      </c>
      <c r="U14" s="702">
        <f t="shared" si="1"/>
        <v>100</v>
      </c>
      <c r="V14" s="701" t="s">
        <v>14</v>
      </c>
      <c r="W14" s="702">
        <f t="shared" si="2"/>
        <v>100</v>
      </c>
      <c r="X14" s="703"/>
      <c r="Y14" s="3811"/>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908" t="s">
        <v>1691</v>
      </c>
      <c r="Q15" s="1352" t="str">
        <f t="shared" si="6"/>
        <v>商业繁华度</v>
      </c>
      <c r="R15" s="705" t="s">
        <v>14</v>
      </c>
      <c r="S15" s="706">
        <f t="shared" si="0"/>
        <v>100</v>
      </c>
      <c r="T15" s="705" t="s">
        <v>14</v>
      </c>
      <c r="U15" s="706">
        <f t="shared" si="1"/>
        <v>100</v>
      </c>
      <c r="V15" s="705" t="s">
        <v>14</v>
      </c>
      <c r="W15" s="706">
        <f t="shared" si="2"/>
        <v>100</v>
      </c>
      <c r="X15" s="1355"/>
      <c r="Y15" s="39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909"/>
      <c r="Q16" s="1352"/>
      <c r="R16" s="705"/>
      <c r="S16" s="706"/>
      <c r="T16" s="705"/>
      <c r="U16" s="706"/>
      <c r="V16" s="705"/>
      <c r="W16" s="706"/>
      <c r="X16" s="1355"/>
      <c r="Y16" s="390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909"/>
      <c r="Q17" s="1352" t="str">
        <f>B17</f>
        <v>交通便捷度</v>
      </c>
      <c r="R17" s="705" t="s">
        <v>14</v>
      </c>
      <c r="S17" s="706">
        <f>F17</f>
        <v>100</v>
      </c>
      <c r="T17" s="705" t="s">
        <v>14</v>
      </c>
      <c r="U17" s="706">
        <f>H17</f>
        <v>100</v>
      </c>
      <c r="V17" s="705" t="s">
        <v>14</v>
      </c>
      <c r="W17" s="706">
        <f>J17</f>
        <v>100</v>
      </c>
      <c r="X17" s="1355"/>
      <c r="Y17" s="39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909"/>
      <c r="Q18" s="1352"/>
      <c r="R18" s="705"/>
      <c r="S18" s="706"/>
      <c r="T18" s="705"/>
      <c r="U18" s="706"/>
      <c r="V18" s="705"/>
      <c r="W18" s="706"/>
      <c r="X18" s="1355"/>
      <c r="Y18" s="390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909"/>
      <c r="Q19" s="1352" t="str">
        <f>B19</f>
        <v>公共配套设施</v>
      </c>
      <c r="R19" s="705" t="s">
        <v>14</v>
      </c>
      <c r="S19" s="706">
        <f>F19</f>
        <v>100</v>
      </c>
      <c r="T19" s="705" t="s">
        <v>14</v>
      </c>
      <c r="U19" s="706">
        <f>H19</f>
        <v>100</v>
      </c>
      <c r="V19" s="705" t="s">
        <v>14</v>
      </c>
      <c r="W19" s="706">
        <f>J19</f>
        <v>100</v>
      </c>
      <c r="X19" s="1355"/>
      <c r="Y19" s="39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909"/>
      <c r="Q20" s="1352"/>
      <c r="R20" s="705"/>
      <c r="S20" s="706"/>
      <c r="T20" s="705"/>
      <c r="U20" s="706"/>
      <c r="V20" s="705"/>
      <c r="W20" s="706"/>
      <c r="X20" s="1355"/>
      <c r="Y20" s="390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909"/>
      <c r="Q21" s="1352" t="str">
        <f>B21</f>
        <v>基础设施水平</v>
      </c>
      <c r="R21" s="705" t="s">
        <v>14</v>
      </c>
      <c r="S21" s="706">
        <f>F21</f>
        <v>100</v>
      </c>
      <c r="T21" s="705" t="s">
        <v>14</v>
      </c>
      <c r="U21" s="706">
        <f>H21</f>
        <v>100</v>
      </c>
      <c r="V21" s="705" t="s">
        <v>14</v>
      </c>
      <c r="W21" s="706">
        <f>J21</f>
        <v>100</v>
      </c>
      <c r="X21" s="1355"/>
      <c r="Y21" s="39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909"/>
      <c r="Q22" s="1352"/>
      <c r="R22" s="705"/>
      <c r="S22" s="706"/>
      <c r="T22" s="705"/>
      <c r="U22" s="706"/>
      <c r="V22" s="705"/>
      <c r="W22" s="706"/>
      <c r="X22" s="1355"/>
      <c r="Y22" s="390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909"/>
      <c r="Q23" s="1352" t="str">
        <f>B23</f>
        <v>自然及人文环境</v>
      </c>
      <c r="R23" s="705" t="s">
        <v>14</v>
      </c>
      <c r="S23" s="706">
        <f>F23</f>
        <v>100</v>
      </c>
      <c r="T23" s="705" t="s">
        <v>14</v>
      </c>
      <c r="U23" s="706">
        <f>H23</f>
        <v>100</v>
      </c>
      <c r="V23" s="705" t="s">
        <v>14</v>
      </c>
      <c r="W23" s="706">
        <f>J23</f>
        <v>100</v>
      </c>
      <c r="X23" s="1355"/>
      <c r="Y23" s="39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909"/>
      <c r="Q24" s="1352"/>
      <c r="R24" s="705"/>
      <c r="S24" s="706"/>
      <c r="T24" s="705"/>
      <c r="U24" s="706"/>
      <c r="V24" s="705"/>
      <c r="W24" s="706"/>
      <c r="X24" s="1355"/>
      <c r="Y24" s="39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909"/>
      <c r="Q25" s="1352" t="str">
        <f t="shared" ref="Q25:Q46" si="11">B25</f>
        <v>临街状况</v>
      </c>
      <c r="R25" s="705" t="s">
        <v>14</v>
      </c>
      <c r="S25" s="706">
        <f>F25</f>
        <v>100</v>
      </c>
      <c r="T25" s="705" t="s">
        <v>14</v>
      </c>
      <c r="U25" s="706">
        <f>H25</f>
        <v>100</v>
      </c>
      <c r="V25" s="705" t="s">
        <v>14</v>
      </c>
      <c r="W25" s="706">
        <f>J25</f>
        <v>100</v>
      </c>
      <c r="X25" s="1355"/>
      <c r="Y25" s="390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909"/>
      <c r="Q26" s="1352" t="str">
        <f t="shared" si="11"/>
        <v>平面位置/可视性</v>
      </c>
      <c r="R26" s="705" t="s">
        <v>14</v>
      </c>
      <c r="S26" s="706">
        <f>F26</f>
        <v>100</v>
      </c>
      <c r="T26" s="705" t="s">
        <v>14</v>
      </c>
      <c r="U26" s="706">
        <f>H26</f>
        <v>100</v>
      </c>
      <c r="V26" s="705" t="s">
        <v>14</v>
      </c>
      <c r="W26" s="706">
        <f>J26</f>
        <v>100</v>
      </c>
      <c r="X26" s="1355"/>
      <c r="Y26" s="390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909"/>
      <c r="Q27" s="1343" t="str">
        <f t="shared" si="11"/>
        <v>人流量</v>
      </c>
      <c r="R27" s="701" t="s">
        <v>14</v>
      </c>
      <c r="S27" s="702">
        <f>F27</f>
        <v>100</v>
      </c>
      <c r="T27" s="701" t="s">
        <v>14</v>
      </c>
      <c r="U27" s="702">
        <f>H27</f>
        <v>100</v>
      </c>
      <c r="V27" s="701" t="s">
        <v>14</v>
      </c>
      <c r="W27" s="702">
        <f>J27</f>
        <v>100</v>
      </c>
      <c r="X27" s="703"/>
      <c r="Y27" s="390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9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9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909"/>
      <c r="Q29" s="1352">
        <f t="shared" si="11"/>
        <v>111</v>
      </c>
      <c r="R29" s="705" t="s">
        <v>14</v>
      </c>
      <c r="S29" s="706">
        <f t="shared" si="12"/>
        <v>100</v>
      </c>
      <c r="T29" s="705" t="s">
        <v>14</v>
      </c>
      <c r="U29" s="706">
        <f t="shared" si="13"/>
        <v>100</v>
      </c>
      <c r="V29" s="705" t="s">
        <v>14</v>
      </c>
      <c r="W29" s="706">
        <f t="shared" si="14"/>
        <v>100</v>
      </c>
      <c r="X29" s="1355"/>
      <c r="Y29" s="39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909"/>
      <c r="Q30" s="1352">
        <f t="shared" si="11"/>
        <v>111</v>
      </c>
      <c r="R30" s="705" t="s">
        <v>14</v>
      </c>
      <c r="S30" s="706">
        <f t="shared" si="12"/>
        <v>100</v>
      </c>
      <c r="T30" s="705" t="s">
        <v>14</v>
      </c>
      <c r="U30" s="706">
        <f t="shared" si="13"/>
        <v>100</v>
      </c>
      <c r="V30" s="705" t="s">
        <v>14</v>
      </c>
      <c r="W30" s="706">
        <f t="shared" si="14"/>
        <v>100</v>
      </c>
      <c r="X30" s="1355"/>
      <c r="Y30" s="390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909"/>
      <c r="Q31" s="1352">
        <f t="shared" si="11"/>
        <v>111</v>
      </c>
      <c r="R31" s="705" t="s">
        <v>14</v>
      </c>
      <c r="S31" s="706">
        <f t="shared" si="12"/>
        <v>100</v>
      </c>
      <c r="T31" s="705" t="s">
        <v>14</v>
      </c>
      <c r="U31" s="706">
        <f t="shared" si="13"/>
        <v>100</v>
      </c>
      <c r="V31" s="705" t="s">
        <v>14</v>
      </c>
      <c r="W31" s="706">
        <f t="shared" si="14"/>
        <v>100</v>
      </c>
      <c r="X31" s="1355"/>
      <c r="Y31" s="39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903" t="s">
        <v>1696</v>
      </c>
      <c r="Q32" s="1352" t="str">
        <f t="shared" si="11"/>
        <v>商业类型</v>
      </c>
      <c r="R32" s="705" t="s">
        <v>14</v>
      </c>
      <c r="S32" s="706">
        <f t="shared" si="12"/>
        <v>100</v>
      </c>
      <c r="T32" s="705" t="s">
        <v>14</v>
      </c>
      <c r="U32" s="706">
        <f t="shared" si="13"/>
        <v>100</v>
      </c>
      <c r="V32" s="705" t="s">
        <v>14</v>
      </c>
      <c r="W32" s="706">
        <f t="shared" si="14"/>
        <v>100</v>
      </c>
      <c r="X32" s="1355"/>
      <c r="Y32" s="390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904"/>
      <c r="Q33" s="707" t="str">
        <f t="shared" si="11"/>
        <v>项目建筑规模</v>
      </c>
      <c r="R33" s="708" t="s">
        <v>14</v>
      </c>
      <c r="S33" s="709" t="e">
        <f t="shared" si="12"/>
        <v>#N/A</v>
      </c>
      <c r="T33" s="708" t="s">
        <v>14</v>
      </c>
      <c r="U33" s="709" t="e">
        <f t="shared" si="13"/>
        <v>#N/A</v>
      </c>
      <c r="V33" s="708" t="s">
        <v>14</v>
      </c>
      <c r="W33" s="709" t="e">
        <f t="shared" si="14"/>
        <v>#N/A</v>
      </c>
      <c r="X33" s="710"/>
      <c r="Y33" s="390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904"/>
      <c r="Q34" s="1352" t="str">
        <f t="shared" si="11"/>
        <v>建筑结构</v>
      </c>
      <c r="R34" s="705" t="s">
        <v>14</v>
      </c>
      <c r="S34" s="706">
        <f t="shared" si="12"/>
        <v>100</v>
      </c>
      <c r="T34" s="705" t="s">
        <v>14</v>
      </c>
      <c r="U34" s="706">
        <f t="shared" si="13"/>
        <v>100</v>
      </c>
      <c r="V34" s="705" t="s">
        <v>14</v>
      </c>
      <c r="W34" s="706">
        <f t="shared" si="14"/>
        <v>100</v>
      </c>
      <c r="X34" s="1355"/>
      <c r="Y34" s="39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904"/>
      <c r="Q35" s="1352" t="str">
        <f t="shared" si="11"/>
        <v>公共部分装修</v>
      </c>
      <c r="R35" s="705" t="s">
        <v>14</v>
      </c>
      <c r="S35" s="706">
        <f t="shared" si="12"/>
        <v>100</v>
      </c>
      <c r="T35" s="705" t="s">
        <v>14</v>
      </c>
      <c r="U35" s="706">
        <f t="shared" si="13"/>
        <v>100</v>
      </c>
      <c r="V35" s="705" t="s">
        <v>14</v>
      </c>
      <c r="W35" s="706">
        <f t="shared" si="14"/>
        <v>100</v>
      </c>
      <c r="X35" s="1355"/>
      <c r="Y35" s="390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904"/>
      <c r="Q36" s="1352" t="str">
        <f t="shared" si="11"/>
        <v>成新度</v>
      </c>
      <c r="R36" s="705" t="s">
        <v>14</v>
      </c>
      <c r="S36" s="706" t="e">
        <f t="shared" si="12"/>
        <v>#N/A</v>
      </c>
      <c r="T36" s="705" t="s">
        <v>14</v>
      </c>
      <c r="U36" s="706" t="e">
        <f t="shared" si="13"/>
        <v>#N/A</v>
      </c>
      <c r="V36" s="705" t="s">
        <v>14</v>
      </c>
      <c r="W36" s="706" t="e">
        <f t="shared" si="14"/>
        <v>#N/A</v>
      </c>
      <c r="X36" s="1355"/>
      <c r="Y36" s="390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904"/>
      <c r="Q37" s="1343" t="str">
        <f t="shared" si="11"/>
        <v>市政基础设施</v>
      </c>
      <c r="R37" s="701" t="s">
        <v>14</v>
      </c>
      <c r="S37" s="702">
        <f t="shared" si="12"/>
        <v>100</v>
      </c>
      <c r="T37" s="701" t="s">
        <v>14</v>
      </c>
      <c r="U37" s="702">
        <f t="shared" si="13"/>
        <v>100</v>
      </c>
      <c r="V37" s="701" t="s">
        <v>14</v>
      </c>
      <c r="W37" s="702">
        <f t="shared" si="14"/>
        <v>100</v>
      </c>
      <c r="X37" s="703"/>
      <c r="Y37" s="39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904" t="s">
        <v>1696</v>
      </c>
      <c r="Q38" s="1352" t="str">
        <f t="shared" si="11"/>
        <v>业态</v>
      </c>
      <c r="R38" s="705" t="s">
        <v>14</v>
      </c>
      <c r="S38" s="706">
        <f t="shared" si="12"/>
        <v>100</v>
      </c>
      <c r="T38" s="705" t="s">
        <v>14</v>
      </c>
      <c r="U38" s="706">
        <f t="shared" si="13"/>
        <v>100</v>
      </c>
      <c r="V38" s="705" t="s">
        <v>14</v>
      </c>
      <c r="W38" s="706">
        <f t="shared" si="14"/>
        <v>100</v>
      </c>
      <c r="X38" s="1355"/>
      <c r="Y38" s="39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904"/>
      <c r="Q39" s="1352" t="str">
        <f t="shared" si="11"/>
        <v>层高</v>
      </c>
      <c r="R39" s="705" t="s">
        <v>14</v>
      </c>
      <c r="S39" s="706">
        <f t="shared" si="12"/>
        <v>100</v>
      </c>
      <c r="T39" s="705" t="s">
        <v>14</v>
      </c>
      <c r="U39" s="706">
        <f t="shared" si="13"/>
        <v>100</v>
      </c>
      <c r="V39" s="705" t="s">
        <v>14</v>
      </c>
      <c r="W39" s="706">
        <f t="shared" si="14"/>
        <v>100</v>
      </c>
      <c r="X39" s="1355"/>
      <c r="Y39" s="39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904"/>
      <c r="Q40" s="1352" t="str">
        <f t="shared" si="11"/>
        <v>单套建筑面积</v>
      </c>
      <c r="R40" s="705" t="s">
        <v>14</v>
      </c>
      <c r="S40" s="706">
        <f t="shared" si="12"/>
        <v>100</v>
      </c>
      <c r="T40" s="705" t="s">
        <v>14</v>
      </c>
      <c r="U40" s="706">
        <f t="shared" si="13"/>
        <v>100</v>
      </c>
      <c r="V40" s="705" t="s">
        <v>14</v>
      </c>
      <c r="W40" s="706">
        <f t="shared" si="14"/>
        <v>100</v>
      </c>
      <c r="X40" s="1355"/>
      <c r="Y40" s="39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904"/>
      <c r="Q41" s="707" t="str">
        <f t="shared" si="11"/>
        <v>进深比</v>
      </c>
      <c r="R41" s="708" t="s">
        <v>14</v>
      </c>
      <c r="S41" s="709">
        <f t="shared" si="12"/>
        <v>100</v>
      </c>
      <c r="T41" s="708" t="s">
        <v>14</v>
      </c>
      <c r="U41" s="709">
        <f t="shared" si="13"/>
        <v>100</v>
      </c>
      <c r="V41" s="708" t="s">
        <v>14</v>
      </c>
      <c r="W41" s="709">
        <f t="shared" si="14"/>
        <v>100</v>
      </c>
      <c r="X41" s="710"/>
      <c r="Y41" s="39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904"/>
      <c r="Q42" s="1352" t="str">
        <f t="shared" si="11"/>
        <v>内部装修</v>
      </c>
      <c r="R42" s="705" t="s">
        <v>14</v>
      </c>
      <c r="S42" s="706">
        <f t="shared" si="12"/>
        <v>100</v>
      </c>
      <c r="T42" s="705" t="s">
        <v>14</v>
      </c>
      <c r="U42" s="706">
        <f t="shared" si="13"/>
        <v>100</v>
      </c>
      <c r="V42" s="705" t="s">
        <v>14</v>
      </c>
      <c r="W42" s="706">
        <f t="shared" si="14"/>
        <v>100</v>
      </c>
      <c r="X42" s="1355"/>
      <c r="Y42" s="390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904"/>
      <c r="Q43" s="1352" t="str">
        <f t="shared" si="11"/>
        <v>内部装修维护情况</v>
      </c>
      <c r="R43" s="705" t="s">
        <v>14</v>
      </c>
      <c r="S43" s="706">
        <f t="shared" si="12"/>
        <v>100</v>
      </c>
      <c r="T43" s="705" t="s">
        <v>14</v>
      </c>
      <c r="U43" s="706">
        <f t="shared" si="13"/>
        <v>100</v>
      </c>
      <c r="V43" s="705" t="s">
        <v>14</v>
      </c>
      <c r="W43" s="706">
        <f t="shared" si="14"/>
        <v>100</v>
      </c>
      <c r="X43" s="1355"/>
      <c r="Y43" s="39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904"/>
      <c r="Q44" s="1343">
        <f t="shared" si="11"/>
        <v>111</v>
      </c>
      <c r="R44" s="701" t="s">
        <v>14</v>
      </c>
      <c r="S44" s="702">
        <f t="shared" si="12"/>
        <v>100</v>
      </c>
      <c r="T44" s="701" t="s">
        <v>14</v>
      </c>
      <c r="U44" s="702">
        <f t="shared" si="13"/>
        <v>100</v>
      </c>
      <c r="V44" s="701" t="s">
        <v>14</v>
      </c>
      <c r="W44" s="702">
        <f t="shared" si="14"/>
        <v>100</v>
      </c>
      <c r="X44" s="703"/>
      <c r="Y44" s="39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904"/>
      <c r="Q45" s="1352">
        <f t="shared" si="11"/>
        <v>111</v>
      </c>
      <c r="R45" s="705" t="s">
        <v>14</v>
      </c>
      <c r="S45" s="706">
        <f t="shared" si="12"/>
        <v>100</v>
      </c>
      <c r="T45" s="705" t="s">
        <v>14</v>
      </c>
      <c r="U45" s="706">
        <f t="shared" si="13"/>
        <v>100</v>
      </c>
      <c r="V45" s="705" t="s">
        <v>14</v>
      </c>
      <c r="W45" s="706">
        <f t="shared" si="14"/>
        <v>100</v>
      </c>
      <c r="X45" s="1355"/>
      <c r="Y45" s="390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905"/>
      <c r="Q46" s="1352">
        <f t="shared" si="11"/>
        <v>111</v>
      </c>
      <c r="R46" s="705" t="s">
        <v>14</v>
      </c>
      <c r="S46" s="706">
        <f t="shared" si="12"/>
        <v>100</v>
      </c>
      <c r="T46" s="705" t="s">
        <v>14</v>
      </c>
      <c r="U46" s="706">
        <f t="shared" si="13"/>
        <v>100</v>
      </c>
      <c r="V46" s="705" t="s">
        <v>14</v>
      </c>
      <c r="W46" s="706">
        <f t="shared" si="14"/>
        <v>100</v>
      </c>
      <c r="X46" s="1355"/>
      <c r="Y46" s="390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899" t="str">
        <f>A47</f>
        <v>成交单价（元/平方米）</v>
      </c>
      <c r="Q47" s="3899"/>
      <c r="R47" s="3894">
        <f>E47</f>
        <v>0</v>
      </c>
      <c r="S47" s="3894"/>
      <c r="T47" s="3894">
        <f>G47</f>
        <v>0</v>
      </c>
      <c r="U47" s="3894"/>
      <c r="V47" s="3894">
        <f>I47</f>
        <v>0</v>
      </c>
      <c r="W47" s="389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899" t="str">
        <f>A48</f>
        <v>比较价值（元/平方米）</v>
      </c>
      <c r="Q48" s="3899"/>
      <c r="R48" s="3900" t="e">
        <f>IF(F1="售价",ROUND(PRODUCT(R47,AA7:AA46),0),ROUND(PRODUCT(R47,AA7:AA46),1))</f>
        <v>#DIV/0!</v>
      </c>
      <c r="S48" s="3900"/>
      <c r="T48" s="3900" t="e">
        <f>IF(F1="售价",ROUND(PRODUCT(T47,AB7:AB46),0),ROUND(PRODUCT(T47,AB7:AB46),1))</f>
        <v>#DIV/0!</v>
      </c>
      <c r="U48" s="3900"/>
      <c r="V48" s="3900" t="e">
        <f>IF(F1="售价",ROUND(PRODUCT(V47,AC7:AC46),0),ROUND(PRODUCT(V47,AC7:AC46),1))</f>
        <v>#DIV/0!</v>
      </c>
      <c r="W48" s="390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896" t="str">
        <f>A49</f>
        <v>估价对象XX用房的比较价值（楼面单价，元/平方米）</v>
      </c>
      <c r="Q49" s="3897"/>
      <c r="R49" s="3898" t="e">
        <f>IF(F1="售价",ROUND(IF(D48="简单平均",AVERAGE(R48:V48),R48*F48+T48*H48+V48*J48),0),ROUND(IF(D48="简单平均",AVERAGE(R48:V48),R48*F48+T48*H48+V48*J48),1))</f>
        <v>#DIV/0!</v>
      </c>
      <c r="S49" s="3898"/>
      <c r="T49" s="3898"/>
      <c r="U49" s="3898"/>
      <c r="V49" s="3898"/>
      <c r="W49" s="38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2006-7</v>
      </c>
      <c r="D58" s="1185">
        <f>EDATE(C58,-1)</f>
        <v>38869</v>
      </c>
      <c r="E58" s="1185">
        <f t="shared" ref="E58:N58" si="16">EDATE(D58,-1)</f>
        <v>38838</v>
      </c>
      <c r="F58" s="1185">
        <f t="shared" si="16"/>
        <v>38808</v>
      </c>
      <c r="G58" s="1185">
        <f t="shared" si="16"/>
        <v>38777</v>
      </c>
      <c r="H58" s="1185">
        <f t="shared" si="16"/>
        <v>38749</v>
      </c>
      <c r="I58" s="1185">
        <f t="shared" si="16"/>
        <v>38718</v>
      </c>
      <c r="J58" s="1185">
        <f t="shared" si="16"/>
        <v>38687</v>
      </c>
      <c r="K58" s="1185">
        <f t="shared" si="16"/>
        <v>38657</v>
      </c>
      <c r="L58" s="1185">
        <f t="shared" si="16"/>
        <v>38626</v>
      </c>
      <c r="M58" s="1185">
        <f t="shared" si="16"/>
        <v>38596</v>
      </c>
      <c r="N58" s="1185">
        <f t="shared" si="16"/>
        <v>38565</v>
      </c>
      <c r="O58" s="1185">
        <f>EDATE(N58,-1)</f>
        <v>38534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估价对象为北京市房地产，为所有。根据《国有土地使用证》[]，估价对象（分摊）出让国有建设用地使用权面积为0平方米，建筑面积为88.22平方米。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估价对象为北京市房地产,属开发建设的，该项目尚在开发建设中。根据《国有土地使用证》[]，估价对象（分摊）出让国有建设用地使用权面积为0平方米，规划建筑面积为88.22平方米。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2006年7月18日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7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88.22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882" t="s">
        <v>1770</v>
      </c>
      <c r="D4" s="3883"/>
      <c r="E4" s="3884" t="s">
        <v>1771</v>
      </c>
      <c r="F4" s="3885"/>
      <c r="G4" s="3882" t="s">
        <v>1772</v>
      </c>
      <c r="H4" s="3883"/>
      <c r="I4" s="3882" t="s">
        <v>1773</v>
      </c>
      <c r="J4" s="3883"/>
      <c r="K4" s="559" t="s">
        <v>1774</v>
      </c>
      <c r="L4" s="2715"/>
      <c r="M4" s="2716"/>
      <c r="N4" s="2716"/>
      <c r="O4" s="2716"/>
      <c r="P4" s="3922" t="s">
        <v>1775</v>
      </c>
      <c r="Q4" s="3923"/>
      <c r="R4" s="3917" t="s">
        <v>1771</v>
      </c>
      <c r="S4" s="3918"/>
      <c r="T4" s="3917" t="s">
        <v>1772</v>
      </c>
      <c r="U4" s="3918"/>
      <c r="V4" s="3926" t="s">
        <v>1773</v>
      </c>
      <c r="W4" s="3926"/>
      <c r="X4" s="1958"/>
      <c r="Y4" s="3917" t="s">
        <v>1775</v>
      </c>
      <c r="Z4" s="3918"/>
      <c r="AA4" s="3916" t="s">
        <v>1771</v>
      </c>
      <c r="AB4" s="3916" t="s">
        <v>1772</v>
      </c>
      <c r="AC4" s="3919" t="s">
        <v>1773</v>
      </c>
    </row>
    <row r="5" spans="1:29">
      <c r="A5" s="358"/>
      <c r="B5" s="359"/>
      <c r="C5" s="3913" t="s">
        <v>1673</v>
      </c>
      <c r="D5" s="3876"/>
      <c r="E5" s="3911" t="s">
        <v>1674</v>
      </c>
      <c r="F5" s="3912"/>
      <c r="G5" s="3913" t="s">
        <v>1675</v>
      </c>
      <c r="H5" s="3876"/>
      <c r="I5" s="3913" t="s">
        <v>1676</v>
      </c>
      <c r="J5" s="3876"/>
      <c r="K5" s="559"/>
      <c r="L5" s="2715"/>
      <c r="M5" s="2716"/>
      <c r="N5" s="2716"/>
      <c r="O5" s="2716"/>
      <c r="P5" s="3924"/>
      <c r="Q5" s="3889"/>
      <c r="R5" s="3871"/>
      <c r="S5" s="3872"/>
      <c r="T5" s="3871"/>
      <c r="U5" s="3872"/>
      <c r="V5" s="3894"/>
      <c r="W5" s="3894"/>
      <c r="X5" s="1355"/>
      <c r="Y5" s="3871"/>
      <c r="Z5" s="3872"/>
      <c r="AA5" s="3865"/>
      <c r="AB5" s="3865"/>
      <c r="AC5" s="3920"/>
    </row>
    <row r="6" spans="1:29" ht="15" thickBot="1">
      <c r="A6" s="360"/>
      <c r="B6" s="361"/>
      <c r="C6" s="3914" t="s">
        <v>1677</v>
      </c>
      <c r="D6" s="3878"/>
      <c r="E6" s="3915" t="s">
        <v>1677</v>
      </c>
      <c r="F6" s="3880"/>
      <c r="G6" s="3914" t="s">
        <v>1677</v>
      </c>
      <c r="H6" s="3878"/>
      <c r="I6" s="3914" t="s">
        <v>1677</v>
      </c>
      <c r="J6" s="3878"/>
      <c r="K6" s="559" t="s">
        <v>1678</v>
      </c>
      <c r="L6" s="2715"/>
      <c r="M6" s="2716"/>
      <c r="N6" s="2716"/>
      <c r="O6" s="2716"/>
      <c r="P6" s="3925"/>
      <c r="Q6" s="3891"/>
      <c r="R6" s="3871"/>
      <c r="S6" s="3872"/>
      <c r="T6" s="3892"/>
      <c r="U6" s="3893"/>
      <c r="V6" s="3894"/>
      <c r="W6" s="3894"/>
      <c r="X6" s="1355"/>
      <c r="Y6" s="3892"/>
      <c r="Z6" s="3893"/>
      <c r="AA6" s="3866"/>
      <c r="AB6" s="3866"/>
      <c r="AC6" s="3921"/>
    </row>
    <row r="7" spans="1:29" s="108" customFormat="1" ht="15" thickBot="1">
      <c r="A7" s="362" t="s">
        <v>1679</v>
      </c>
      <c r="B7" s="363"/>
      <c r="C7" s="364">
        <f>'数据-取费表'!B2</f>
        <v>38916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927" t="s">
        <v>1680</v>
      </c>
      <c r="Q7" s="3895"/>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927" t="s">
        <v>1683</v>
      </c>
      <c r="Q8" s="3868"/>
      <c r="R8" s="701" t="s">
        <v>14</v>
      </c>
      <c r="S8" s="702">
        <f t="shared" si="0"/>
        <v>100</v>
      </c>
      <c r="T8" s="701" t="s">
        <v>14</v>
      </c>
      <c r="U8" s="702">
        <f t="shared" si="1"/>
        <v>100</v>
      </c>
      <c r="V8" s="701" t="s">
        <v>14</v>
      </c>
      <c r="W8" s="702">
        <f t="shared" si="2"/>
        <v>100</v>
      </c>
      <c r="X8" s="703"/>
      <c r="Y8" s="3867" t="s">
        <v>1683</v>
      </c>
      <c r="Z8" s="386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81"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81"/>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81"/>
      <c r="Q11" s="1343" t="str">
        <f t="shared" si="6"/>
        <v>容积率</v>
      </c>
      <c r="R11" s="701" t="s">
        <v>14</v>
      </c>
      <c r="S11" s="702">
        <f t="shared" si="0"/>
        <v>100</v>
      </c>
      <c r="T11" s="701" t="s">
        <v>14</v>
      </c>
      <c r="U11" s="702">
        <f t="shared" si="1"/>
        <v>100</v>
      </c>
      <c r="V11" s="701" t="s">
        <v>14</v>
      </c>
      <c r="W11" s="702">
        <f t="shared" si="2"/>
        <v>100</v>
      </c>
      <c r="X11" s="703"/>
      <c r="Y11" s="38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81"/>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81"/>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81"/>
      <c r="Q14" s="1343">
        <f t="shared" si="6"/>
        <v>111</v>
      </c>
      <c r="R14" s="701" t="s">
        <v>14</v>
      </c>
      <c r="S14" s="702">
        <f t="shared" si="0"/>
        <v>100</v>
      </c>
      <c r="T14" s="701" t="s">
        <v>14</v>
      </c>
      <c r="U14" s="702">
        <f t="shared" si="1"/>
        <v>100</v>
      </c>
      <c r="V14" s="701" t="s">
        <v>14</v>
      </c>
      <c r="W14" s="702">
        <f t="shared" si="2"/>
        <v>100</v>
      </c>
      <c r="X14" s="703"/>
      <c r="Y14" s="3811"/>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908" t="s">
        <v>1691</v>
      </c>
      <c r="Q15" s="1352" t="str">
        <f t="shared" si="6"/>
        <v>办公集聚程度</v>
      </c>
      <c r="R15" s="705" t="s">
        <v>14</v>
      </c>
      <c r="S15" s="706">
        <f t="shared" si="0"/>
        <v>100</v>
      </c>
      <c r="T15" s="705" t="s">
        <v>14</v>
      </c>
      <c r="U15" s="706">
        <f t="shared" si="1"/>
        <v>100</v>
      </c>
      <c r="V15" s="705" t="s">
        <v>14</v>
      </c>
      <c r="W15" s="706">
        <f t="shared" si="2"/>
        <v>100</v>
      </c>
      <c r="X15" s="1355"/>
      <c r="Y15" s="390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909"/>
      <c r="Q16" s="1352"/>
      <c r="R16" s="705"/>
      <c r="S16" s="706"/>
      <c r="T16" s="705"/>
      <c r="U16" s="706"/>
      <c r="V16" s="705"/>
      <c r="W16" s="706"/>
      <c r="X16" s="1355"/>
      <c r="Y16" s="390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909"/>
      <c r="Q17" s="1352" t="str">
        <f>B17</f>
        <v>交通便捷度</v>
      </c>
      <c r="R17" s="705" t="s">
        <v>14</v>
      </c>
      <c r="S17" s="706">
        <f>F17</f>
        <v>100</v>
      </c>
      <c r="T17" s="705" t="s">
        <v>14</v>
      </c>
      <c r="U17" s="706">
        <f>H17</f>
        <v>100</v>
      </c>
      <c r="V17" s="705" t="s">
        <v>14</v>
      </c>
      <c r="W17" s="706">
        <f>J17</f>
        <v>100</v>
      </c>
      <c r="X17" s="1355"/>
      <c r="Y17" s="390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909"/>
      <c r="Q18" s="1352"/>
      <c r="R18" s="705"/>
      <c r="S18" s="706"/>
      <c r="T18" s="705"/>
      <c r="U18" s="706"/>
      <c r="V18" s="705"/>
      <c r="W18" s="706"/>
      <c r="X18" s="1355"/>
      <c r="Y18" s="390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909"/>
      <c r="Q19" s="1352" t="str">
        <f>B19</f>
        <v>公共配套设施</v>
      </c>
      <c r="R19" s="705" t="s">
        <v>14</v>
      </c>
      <c r="S19" s="706">
        <f>F19</f>
        <v>100</v>
      </c>
      <c r="T19" s="705" t="s">
        <v>14</v>
      </c>
      <c r="U19" s="706">
        <f>H19</f>
        <v>100</v>
      </c>
      <c r="V19" s="705" t="s">
        <v>14</v>
      </c>
      <c r="W19" s="706">
        <f>J19</f>
        <v>100</v>
      </c>
      <c r="X19" s="1355"/>
      <c r="Y19" s="390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909"/>
      <c r="Q20" s="1352"/>
      <c r="R20" s="705"/>
      <c r="S20" s="706"/>
      <c r="T20" s="705"/>
      <c r="U20" s="706"/>
      <c r="V20" s="705"/>
      <c r="W20" s="706"/>
      <c r="X20" s="1355"/>
      <c r="Y20" s="390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909"/>
      <c r="Q21" s="1352" t="str">
        <f>B21</f>
        <v>基础设施水平</v>
      </c>
      <c r="R21" s="705" t="s">
        <v>14</v>
      </c>
      <c r="S21" s="706">
        <f>F21</f>
        <v>100</v>
      </c>
      <c r="T21" s="705" t="s">
        <v>14</v>
      </c>
      <c r="U21" s="706">
        <f>H21</f>
        <v>100</v>
      </c>
      <c r="V21" s="705" t="s">
        <v>14</v>
      </c>
      <c r="W21" s="706">
        <f>J21</f>
        <v>100</v>
      </c>
      <c r="X21" s="1355"/>
      <c r="Y21" s="390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909"/>
      <c r="Q22" s="1352"/>
      <c r="R22" s="705"/>
      <c r="S22" s="706"/>
      <c r="T22" s="705"/>
      <c r="U22" s="706"/>
      <c r="V22" s="705"/>
      <c r="W22" s="706"/>
      <c r="X22" s="1355"/>
      <c r="Y22" s="390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909"/>
      <c r="Q23" s="1352" t="str">
        <f>B23</f>
        <v>环境质量</v>
      </c>
      <c r="R23" s="705" t="s">
        <v>14</v>
      </c>
      <c r="S23" s="706">
        <f>F23</f>
        <v>100</v>
      </c>
      <c r="T23" s="705" t="s">
        <v>14</v>
      </c>
      <c r="U23" s="706">
        <f>H23</f>
        <v>100</v>
      </c>
      <c r="V23" s="705" t="s">
        <v>14</v>
      </c>
      <c r="W23" s="706">
        <f>J23</f>
        <v>100</v>
      </c>
      <c r="X23" s="1355"/>
      <c r="Y23" s="390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909"/>
      <c r="Q24" s="1352"/>
      <c r="R24" s="705"/>
      <c r="S24" s="706"/>
      <c r="T24" s="705"/>
      <c r="U24" s="706"/>
      <c r="V24" s="705"/>
      <c r="W24" s="706"/>
      <c r="X24" s="1355"/>
      <c r="Y24" s="390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909"/>
      <c r="Q25" s="1352" t="str">
        <f>B25</f>
        <v>毗邻道路的类型与等级</v>
      </c>
      <c r="R25" s="705" t="s">
        <v>14</v>
      </c>
      <c r="S25" s="706">
        <f>F25</f>
        <v>100</v>
      </c>
      <c r="T25" s="705" t="s">
        <v>14</v>
      </c>
      <c r="U25" s="706">
        <f>H25</f>
        <v>100</v>
      </c>
      <c r="V25" s="705" t="s">
        <v>14</v>
      </c>
      <c r="W25" s="706">
        <f>J25</f>
        <v>100</v>
      </c>
      <c r="X25" s="1355"/>
      <c r="Y25" s="39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909"/>
      <c r="Q26" s="1352"/>
      <c r="R26" s="705"/>
      <c r="S26" s="706"/>
      <c r="T26" s="705"/>
      <c r="U26" s="706"/>
      <c r="V26" s="705"/>
      <c r="W26" s="706"/>
      <c r="X26" s="1355"/>
      <c r="Y26" s="390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909"/>
      <c r="Q27" s="1352" t="str">
        <f t="shared" ref="Q27:Q47" si="11">B27</f>
        <v>楼层</v>
      </c>
      <c r="R27" s="705" t="s">
        <v>14</v>
      </c>
      <c r="S27" s="706">
        <f>F27</f>
        <v>100</v>
      </c>
      <c r="T27" s="705" t="s">
        <v>14</v>
      </c>
      <c r="U27" s="706">
        <f>H27</f>
        <v>100</v>
      </c>
      <c r="V27" s="705" t="s">
        <v>14</v>
      </c>
      <c r="W27" s="706">
        <f>J27</f>
        <v>100</v>
      </c>
      <c r="X27" s="1355"/>
      <c r="Y27" s="390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909"/>
      <c r="Q28" s="1343" t="str">
        <f t="shared" si="11"/>
        <v>朝向</v>
      </c>
      <c r="R28" s="701" t="s">
        <v>14</v>
      </c>
      <c r="S28" s="702">
        <f>F28</f>
        <v>100</v>
      </c>
      <c r="T28" s="701" t="s">
        <v>14</v>
      </c>
      <c r="U28" s="702">
        <f>H28</f>
        <v>100</v>
      </c>
      <c r="V28" s="701" t="s">
        <v>14</v>
      </c>
      <c r="W28" s="702">
        <f>J28</f>
        <v>100</v>
      </c>
      <c r="X28" s="703"/>
      <c r="Y28" s="39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909"/>
      <c r="Q29" s="1352">
        <f t="shared" si="11"/>
        <v>111</v>
      </c>
      <c r="R29" s="705" t="s">
        <v>14</v>
      </c>
      <c r="S29" s="706">
        <f t="shared" ref="S29:S47" si="12">F29</f>
        <v>100</v>
      </c>
      <c r="T29" s="705" t="s">
        <v>14</v>
      </c>
      <c r="U29" s="706">
        <f t="shared" ref="U29:U47" si="13">H29</f>
        <v>100</v>
      </c>
      <c r="V29" s="705" t="s">
        <v>14</v>
      </c>
      <c r="W29" s="706">
        <f t="shared" ref="W29:W47" si="14">J29</f>
        <v>100</v>
      </c>
      <c r="X29" s="1355"/>
      <c r="Y29" s="39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909"/>
      <c r="Q30" s="1352">
        <f t="shared" si="11"/>
        <v>111</v>
      </c>
      <c r="R30" s="705" t="s">
        <v>14</v>
      </c>
      <c r="S30" s="706">
        <f t="shared" si="12"/>
        <v>100</v>
      </c>
      <c r="T30" s="705" t="s">
        <v>14</v>
      </c>
      <c r="U30" s="706">
        <f t="shared" si="13"/>
        <v>100</v>
      </c>
      <c r="V30" s="705" t="s">
        <v>14</v>
      </c>
      <c r="W30" s="706">
        <f t="shared" si="14"/>
        <v>100</v>
      </c>
      <c r="X30" s="1355"/>
      <c r="Y30" s="39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909"/>
      <c r="Q31" s="1352">
        <f t="shared" si="11"/>
        <v>111</v>
      </c>
      <c r="R31" s="705" t="s">
        <v>14</v>
      </c>
      <c r="S31" s="706">
        <f t="shared" si="12"/>
        <v>100</v>
      </c>
      <c r="T31" s="705" t="s">
        <v>14</v>
      </c>
      <c r="U31" s="706">
        <f t="shared" si="13"/>
        <v>100</v>
      </c>
      <c r="V31" s="705" t="s">
        <v>14</v>
      </c>
      <c r="W31" s="706">
        <f t="shared" si="14"/>
        <v>100</v>
      </c>
      <c r="X31" s="1355"/>
      <c r="Y31" s="390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909"/>
      <c r="Q32" s="1352">
        <f t="shared" si="11"/>
        <v>111</v>
      </c>
      <c r="R32" s="705" t="s">
        <v>14</v>
      </c>
      <c r="S32" s="706">
        <f t="shared" si="12"/>
        <v>100</v>
      </c>
      <c r="T32" s="705" t="s">
        <v>14</v>
      </c>
      <c r="U32" s="706">
        <f t="shared" si="13"/>
        <v>100</v>
      </c>
      <c r="V32" s="705" t="s">
        <v>14</v>
      </c>
      <c r="W32" s="706">
        <f t="shared" si="14"/>
        <v>100</v>
      </c>
      <c r="X32" s="1355"/>
      <c r="Y32" s="390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903" t="s">
        <v>1696</v>
      </c>
      <c r="Q33" s="1352" t="str">
        <f t="shared" si="11"/>
        <v>建筑类型</v>
      </c>
      <c r="R33" s="705" t="s">
        <v>14</v>
      </c>
      <c r="S33" s="706">
        <f t="shared" si="12"/>
        <v>100</v>
      </c>
      <c r="T33" s="705" t="s">
        <v>14</v>
      </c>
      <c r="U33" s="706">
        <f t="shared" si="13"/>
        <v>100</v>
      </c>
      <c r="V33" s="705" t="s">
        <v>14</v>
      </c>
      <c r="W33" s="706">
        <f t="shared" si="14"/>
        <v>100</v>
      </c>
      <c r="X33" s="1355"/>
      <c r="Y33" s="390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904"/>
      <c r="Q34" s="707" t="str">
        <f t="shared" si="11"/>
        <v>项目建筑规模</v>
      </c>
      <c r="R34" s="708" t="s">
        <v>14</v>
      </c>
      <c r="S34" s="709" t="e">
        <f t="shared" si="12"/>
        <v>#N/A</v>
      </c>
      <c r="T34" s="708" t="s">
        <v>14</v>
      </c>
      <c r="U34" s="709" t="e">
        <f t="shared" si="13"/>
        <v>#N/A</v>
      </c>
      <c r="V34" s="708" t="s">
        <v>14</v>
      </c>
      <c r="W34" s="709" t="e">
        <f t="shared" si="14"/>
        <v>#N/A</v>
      </c>
      <c r="X34" s="710"/>
      <c r="Y34" s="390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904"/>
      <c r="Q35" s="1352" t="str">
        <f t="shared" si="11"/>
        <v>建筑结构</v>
      </c>
      <c r="R35" s="705" t="s">
        <v>14</v>
      </c>
      <c r="S35" s="706">
        <f t="shared" si="12"/>
        <v>100</v>
      </c>
      <c r="T35" s="705" t="s">
        <v>14</v>
      </c>
      <c r="U35" s="706">
        <f t="shared" si="13"/>
        <v>100</v>
      </c>
      <c r="V35" s="705" t="s">
        <v>14</v>
      </c>
      <c r="W35" s="706">
        <f t="shared" si="14"/>
        <v>100</v>
      </c>
      <c r="X35" s="1355"/>
      <c r="Y35" s="390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904"/>
      <c r="Q36" s="1352" t="str">
        <f t="shared" si="11"/>
        <v>公共部分装修</v>
      </c>
      <c r="R36" s="705" t="s">
        <v>14</v>
      </c>
      <c r="S36" s="706">
        <f t="shared" si="12"/>
        <v>100</v>
      </c>
      <c r="T36" s="705" t="s">
        <v>14</v>
      </c>
      <c r="U36" s="706">
        <f t="shared" si="13"/>
        <v>100</v>
      </c>
      <c r="V36" s="705" t="s">
        <v>14</v>
      </c>
      <c r="W36" s="706">
        <f t="shared" si="14"/>
        <v>100</v>
      </c>
      <c r="X36" s="1355"/>
      <c r="Y36" s="390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904"/>
      <c r="Q37" s="1352" t="str">
        <f t="shared" si="11"/>
        <v>成新度</v>
      </c>
      <c r="R37" s="705" t="s">
        <v>14</v>
      </c>
      <c r="S37" s="706" t="e">
        <f t="shared" si="12"/>
        <v>#N/A</v>
      </c>
      <c r="T37" s="705" t="s">
        <v>14</v>
      </c>
      <c r="U37" s="706" t="e">
        <f t="shared" si="13"/>
        <v>#N/A</v>
      </c>
      <c r="V37" s="705" t="s">
        <v>14</v>
      </c>
      <c r="W37" s="706" t="e">
        <f t="shared" si="14"/>
        <v>#N/A</v>
      </c>
      <c r="X37" s="1355"/>
      <c r="Y37" s="390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904"/>
      <c r="Q38" s="1343" t="str">
        <f t="shared" si="11"/>
        <v>写字楼等级</v>
      </c>
      <c r="R38" s="701" t="s">
        <v>14</v>
      </c>
      <c r="S38" s="702">
        <f t="shared" si="12"/>
        <v>100</v>
      </c>
      <c r="T38" s="701" t="s">
        <v>14</v>
      </c>
      <c r="U38" s="702">
        <f t="shared" si="13"/>
        <v>100</v>
      </c>
      <c r="V38" s="701" t="s">
        <v>14</v>
      </c>
      <c r="W38" s="702">
        <f t="shared" si="14"/>
        <v>100</v>
      </c>
      <c r="X38" s="703"/>
      <c r="Y38" s="390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904" t="s">
        <v>1696</v>
      </c>
      <c r="Q39" s="1352" t="str">
        <f t="shared" si="11"/>
        <v>物业管理</v>
      </c>
      <c r="R39" s="705" t="s">
        <v>14</v>
      </c>
      <c r="S39" s="706">
        <f t="shared" si="12"/>
        <v>100</v>
      </c>
      <c r="T39" s="705" t="s">
        <v>14</v>
      </c>
      <c r="U39" s="706">
        <f t="shared" si="13"/>
        <v>100</v>
      </c>
      <c r="V39" s="705" t="s">
        <v>14</v>
      </c>
      <c r="W39" s="706">
        <f t="shared" si="14"/>
        <v>100</v>
      </c>
      <c r="X39" s="1355"/>
      <c r="Y39" s="390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904"/>
      <c r="Q40" s="1352" t="str">
        <f t="shared" si="11"/>
        <v>市政基础设施</v>
      </c>
      <c r="R40" s="705" t="s">
        <v>14</v>
      </c>
      <c r="S40" s="706">
        <f t="shared" si="12"/>
        <v>100</v>
      </c>
      <c r="T40" s="705" t="s">
        <v>14</v>
      </c>
      <c r="U40" s="706">
        <f t="shared" si="13"/>
        <v>100</v>
      </c>
      <c r="V40" s="705" t="s">
        <v>14</v>
      </c>
      <c r="W40" s="706">
        <f t="shared" si="14"/>
        <v>100</v>
      </c>
      <c r="X40" s="1355"/>
      <c r="Y40" s="390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904"/>
      <c r="Q41" s="1352" t="str">
        <f t="shared" si="11"/>
        <v>层高</v>
      </c>
      <c r="R41" s="705" t="s">
        <v>14</v>
      </c>
      <c r="S41" s="706">
        <f t="shared" si="12"/>
        <v>100</v>
      </c>
      <c r="T41" s="705" t="s">
        <v>14</v>
      </c>
      <c r="U41" s="706">
        <f t="shared" si="13"/>
        <v>100</v>
      </c>
      <c r="V41" s="705" t="s">
        <v>14</v>
      </c>
      <c r="W41" s="706">
        <f t="shared" si="14"/>
        <v>100</v>
      </c>
      <c r="X41" s="1355"/>
      <c r="Y41" s="39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904"/>
      <c r="Q42" s="707" t="str">
        <f t="shared" si="11"/>
        <v>单套建筑面积</v>
      </c>
      <c r="R42" s="708" t="s">
        <v>14</v>
      </c>
      <c r="S42" s="709">
        <f t="shared" si="12"/>
        <v>100</v>
      </c>
      <c r="T42" s="708" t="s">
        <v>14</v>
      </c>
      <c r="U42" s="709">
        <f t="shared" si="13"/>
        <v>100</v>
      </c>
      <c r="V42" s="708" t="s">
        <v>14</v>
      </c>
      <c r="W42" s="709">
        <f t="shared" si="14"/>
        <v>100</v>
      </c>
      <c r="X42" s="710"/>
      <c r="Y42" s="390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904"/>
      <c r="Q43" s="1352" t="str">
        <f t="shared" si="11"/>
        <v>内部装修</v>
      </c>
      <c r="R43" s="705" t="s">
        <v>14</v>
      </c>
      <c r="S43" s="706">
        <f t="shared" si="12"/>
        <v>100</v>
      </c>
      <c r="T43" s="705" t="s">
        <v>14</v>
      </c>
      <c r="U43" s="706">
        <f t="shared" si="13"/>
        <v>100</v>
      </c>
      <c r="V43" s="705" t="s">
        <v>14</v>
      </c>
      <c r="W43" s="706">
        <f t="shared" si="14"/>
        <v>100</v>
      </c>
      <c r="X43" s="1355"/>
      <c r="Y43" s="390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904"/>
      <c r="Q44" s="1352" t="str">
        <f t="shared" si="11"/>
        <v>内部装修维护情况</v>
      </c>
      <c r="R44" s="705" t="s">
        <v>14</v>
      </c>
      <c r="S44" s="706">
        <f t="shared" si="12"/>
        <v>100</v>
      </c>
      <c r="T44" s="705" t="s">
        <v>14</v>
      </c>
      <c r="U44" s="706">
        <f t="shared" si="13"/>
        <v>100</v>
      </c>
      <c r="V44" s="705" t="s">
        <v>14</v>
      </c>
      <c r="W44" s="706">
        <f t="shared" si="14"/>
        <v>100</v>
      </c>
      <c r="X44" s="1355"/>
      <c r="Y44" s="39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904"/>
      <c r="Q45" s="1343">
        <f t="shared" si="11"/>
        <v>111</v>
      </c>
      <c r="R45" s="701" t="s">
        <v>14</v>
      </c>
      <c r="S45" s="702">
        <f t="shared" si="12"/>
        <v>100</v>
      </c>
      <c r="T45" s="701" t="s">
        <v>14</v>
      </c>
      <c r="U45" s="702">
        <f t="shared" si="13"/>
        <v>100</v>
      </c>
      <c r="V45" s="701" t="s">
        <v>14</v>
      </c>
      <c r="W45" s="702">
        <f t="shared" si="14"/>
        <v>100</v>
      </c>
      <c r="X45" s="703"/>
      <c r="Y45" s="39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904"/>
      <c r="Q46" s="1352">
        <f t="shared" si="11"/>
        <v>111</v>
      </c>
      <c r="R46" s="705" t="s">
        <v>14</v>
      </c>
      <c r="S46" s="706">
        <f t="shared" si="12"/>
        <v>100</v>
      </c>
      <c r="T46" s="705" t="s">
        <v>14</v>
      </c>
      <c r="U46" s="706">
        <f t="shared" si="13"/>
        <v>100</v>
      </c>
      <c r="V46" s="705" t="s">
        <v>14</v>
      </c>
      <c r="W46" s="706">
        <f t="shared" si="14"/>
        <v>100</v>
      </c>
      <c r="X46" s="1355"/>
      <c r="Y46" s="390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905"/>
      <c r="Q47" s="1352">
        <f t="shared" si="11"/>
        <v>111</v>
      </c>
      <c r="R47" s="705" t="s">
        <v>14</v>
      </c>
      <c r="S47" s="706">
        <f t="shared" si="12"/>
        <v>100</v>
      </c>
      <c r="T47" s="705" t="s">
        <v>14</v>
      </c>
      <c r="U47" s="706">
        <f t="shared" si="13"/>
        <v>100</v>
      </c>
      <c r="V47" s="705" t="s">
        <v>14</v>
      </c>
      <c r="W47" s="706">
        <f t="shared" si="14"/>
        <v>100</v>
      </c>
      <c r="X47" s="1355"/>
      <c r="Y47" s="390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881" t="str">
        <f>A48</f>
        <v>成交单价（元/平方米）</v>
      </c>
      <c r="Q48" s="3899"/>
      <c r="R48" s="3900">
        <f>E48</f>
        <v>0</v>
      </c>
      <c r="S48" s="3900"/>
      <c r="T48" s="3900">
        <f>G48</f>
        <v>0</v>
      </c>
      <c r="U48" s="3900"/>
      <c r="V48" s="3900">
        <f>I48</f>
        <v>0</v>
      </c>
      <c r="W48" s="390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881" t="str">
        <f>A49</f>
        <v>比较价值（元/平方米）</v>
      </c>
      <c r="Q49" s="3899"/>
      <c r="R49" s="3900" t="e">
        <f>IF(F1="售价",ROUND(PRODUCT(R48,AA7:AA47),0),ROUND(PRODUCT(R48,AA7:AA47),1))</f>
        <v>#DIV/0!</v>
      </c>
      <c r="S49" s="3900"/>
      <c r="T49" s="3900" t="e">
        <f>IF(F1="售价",ROUND(PRODUCT(T48,AB7:AB47),0),ROUND(PRODUCT(T48,AB7:AB47),1))</f>
        <v>#DIV/0!</v>
      </c>
      <c r="U49" s="3900"/>
      <c r="V49" s="3900" t="e">
        <f>IF(F1="售价",ROUND(PRODUCT(V48,AC7:AC47),0),ROUND(PRODUCT(V48,AC7:AC47),1))</f>
        <v>#DIV/0!</v>
      </c>
      <c r="W49" s="390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928" t="str">
        <f>A50</f>
        <v>估价对象XX用房的比较价值（楼面单价，元/平方米）</v>
      </c>
      <c r="Q50" s="3929"/>
      <c r="R50" s="3930" t="e">
        <f>IF(F1="售价",ROUND(IF(D49="简单平均",AVERAGE(R49:V49),R49*F49+T49*H49+V49*J49),0),ROUND(IF(D49="简单平均",AVERAGE(R49:V49),R49*F49+T49*H49+V49*J49),1))</f>
        <v>#DIV/0!</v>
      </c>
      <c r="S50" s="3930"/>
      <c r="T50" s="3930"/>
      <c r="U50" s="3930"/>
      <c r="V50" s="3930"/>
      <c r="W50" s="393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2006-7</v>
      </c>
      <c r="D59" s="1185">
        <f>EDATE(C59,-1)</f>
        <v>38869</v>
      </c>
      <c r="E59" s="1185">
        <f>EDATE(D59,-1)</f>
        <v>38838</v>
      </c>
      <c r="F59" s="1185">
        <f t="shared" ref="F59:O59" si="16">EDATE(E59,-1)</f>
        <v>38808</v>
      </c>
      <c r="G59" s="1185">
        <f t="shared" si="16"/>
        <v>38777</v>
      </c>
      <c r="H59" s="1185">
        <f t="shared" si="16"/>
        <v>38749</v>
      </c>
      <c r="I59" s="1185">
        <f t="shared" si="16"/>
        <v>38718</v>
      </c>
      <c r="J59" s="1185">
        <f t="shared" si="16"/>
        <v>38687</v>
      </c>
      <c r="K59" s="1185">
        <f t="shared" si="16"/>
        <v>38657</v>
      </c>
      <c r="L59" s="1185">
        <f t="shared" si="16"/>
        <v>38626</v>
      </c>
      <c r="M59" s="1185">
        <f t="shared" si="16"/>
        <v>38596</v>
      </c>
      <c r="N59" s="1185">
        <f t="shared" si="16"/>
        <v>38565</v>
      </c>
      <c r="O59" s="1185">
        <f t="shared" si="16"/>
        <v>38534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88.22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882" t="s">
        <v>1770</v>
      </c>
      <c r="D4" s="3883"/>
      <c r="E4" s="3884" t="s">
        <v>1771</v>
      </c>
      <c r="F4" s="3885"/>
      <c r="G4" s="3882" t="s">
        <v>1772</v>
      </c>
      <c r="H4" s="3883"/>
      <c r="I4" s="3882" t="s">
        <v>1773</v>
      </c>
      <c r="J4" s="3883"/>
      <c r="K4" s="559" t="s">
        <v>1774</v>
      </c>
      <c r="L4" s="913"/>
      <c r="M4" s="914"/>
      <c r="N4" s="914"/>
      <c r="O4" s="914"/>
      <c r="P4" s="3886" t="s">
        <v>1775</v>
      </c>
      <c r="Q4" s="3887"/>
      <c r="R4" s="3869" t="s">
        <v>1771</v>
      </c>
      <c r="S4" s="3870"/>
      <c r="T4" s="3869" t="s">
        <v>1772</v>
      </c>
      <c r="U4" s="3870"/>
      <c r="V4" s="3894" t="s">
        <v>1773</v>
      </c>
      <c r="W4" s="3894"/>
      <c r="X4" s="1355"/>
      <c r="Y4" s="3869" t="s">
        <v>1775</v>
      </c>
      <c r="Z4" s="3870"/>
      <c r="AA4" s="3864" t="s">
        <v>1771</v>
      </c>
      <c r="AB4" s="3865" t="s">
        <v>1772</v>
      </c>
      <c r="AC4" s="3864" t="s">
        <v>1773</v>
      </c>
    </row>
    <row r="5" spans="1:29">
      <c r="A5" s="358"/>
      <c r="B5" s="359"/>
      <c r="C5" s="3913" t="s">
        <v>1673</v>
      </c>
      <c r="D5" s="3876"/>
      <c r="E5" s="3911" t="s">
        <v>1674</v>
      </c>
      <c r="F5" s="3912"/>
      <c r="G5" s="3913" t="s">
        <v>1675</v>
      </c>
      <c r="H5" s="3876"/>
      <c r="I5" s="3913" t="s">
        <v>1676</v>
      </c>
      <c r="J5" s="3876"/>
      <c r="K5" s="559"/>
      <c r="L5" s="913"/>
      <c r="M5" s="914"/>
      <c r="N5" s="914"/>
      <c r="O5" s="914"/>
      <c r="P5" s="3888"/>
      <c r="Q5" s="3889"/>
      <c r="R5" s="3871"/>
      <c r="S5" s="3872"/>
      <c r="T5" s="3871"/>
      <c r="U5" s="3872"/>
      <c r="V5" s="3894"/>
      <c r="W5" s="3894"/>
      <c r="X5" s="1355"/>
      <c r="Y5" s="3871"/>
      <c r="Z5" s="3872"/>
      <c r="AA5" s="3865"/>
      <c r="AB5" s="3865"/>
      <c r="AC5" s="3865"/>
    </row>
    <row r="6" spans="1:29" ht="15" thickBot="1">
      <c r="A6" s="360"/>
      <c r="B6" s="361"/>
      <c r="C6" s="3914" t="s">
        <v>1677</v>
      </c>
      <c r="D6" s="3878"/>
      <c r="E6" s="3915" t="s">
        <v>1677</v>
      </c>
      <c r="F6" s="3880"/>
      <c r="G6" s="3914" t="s">
        <v>1677</v>
      </c>
      <c r="H6" s="3878"/>
      <c r="I6" s="3914" t="s">
        <v>1677</v>
      </c>
      <c r="J6" s="3878"/>
      <c r="K6" s="559" t="s">
        <v>1678</v>
      </c>
      <c r="L6" s="913"/>
      <c r="M6" s="914"/>
      <c r="N6" s="914"/>
      <c r="O6" s="914"/>
      <c r="P6" s="3890"/>
      <c r="Q6" s="3891"/>
      <c r="R6" s="3871"/>
      <c r="S6" s="3872"/>
      <c r="T6" s="3892"/>
      <c r="U6" s="3893"/>
      <c r="V6" s="3894"/>
      <c r="W6" s="3894"/>
      <c r="X6" s="1355"/>
      <c r="Y6" s="3892"/>
      <c r="Z6" s="3893"/>
      <c r="AA6" s="3866"/>
      <c r="AB6" s="3866"/>
      <c r="AC6" s="3866"/>
    </row>
    <row r="7" spans="1:29" s="108" customFormat="1" ht="15" thickBot="1">
      <c r="A7" s="362" t="s">
        <v>1679</v>
      </c>
      <c r="B7" s="363"/>
      <c r="C7" s="364">
        <f>'数据-取费表'!B2</f>
        <v>38916</v>
      </c>
      <c r="D7" s="365">
        <v>100</v>
      </c>
      <c r="E7" s="366"/>
      <c r="F7" s="367">
        <f>SUMIF(52:52,YEAR(E7)&amp;"-"&amp;MONTH(E7),53:53)</f>
        <v>0</v>
      </c>
      <c r="G7" s="366"/>
      <c r="H7" s="365">
        <f>SUMIF(52:52,YEAR(G7)&amp;"-"&amp;MONTH(G7),53:53)</f>
        <v>0</v>
      </c>
      <c r="I7" s="366"/>
      <c r="J7" s="365">
        <f>SUMIF(52:52,YEAR(I7)&amp;"-"&amp;MONTH(I7),53:53)</f>
        <v>0</v>
      </c>
      <c r="K7" s="560"/>
      <c r="L7" s="915"/>
      <c r="M7" s="916"/>
      <c r="N7" s="916"/>
      <c r="O7" s="916"/>
      <c r="P7" s="3867" t="s">
        <v>1680</v>
      </c>
      <c r="Q7" s="3895"/>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67" t="s">
        <v>1683</v>
      </c>
      <c r="Q8" s="3868"/>
      <c r="R8" s="701" t="s">
        <v>14</v>
      </c>
      <c r="S8" s="702">
        <f t="shared" si="0"/>
        <v>100</v>
      </c>
      <c r="T8" s="701" t="s">
        <v>14</v>
      </c>
      <c r="U8" s="702">
        <f t="shared" si="1"/>
        <v>100</v>
      </c>
      <c r="V8" s="701" t="s">
        <v>14</v>
      </c>
      <c r="W8" s="702">
        <f t="shared" si="2"/>
        <v>100</v>
      </c>
      <c r="X8" s="703"/>
      <c r="Y8" s="3867" t="s">
        <v>1683</v>
      </c>
      <c r="Z8" s="386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99"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99"/>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99"/>
      <c r="Q11" s="1343" t="str">
        <f t="shared" si="6"/>
        <v>容积率</v>
      </c>
      <c r="R11" s="701" t="s">
        <v>14</v>
      </c>
      <c r="S11" s="702">
        <f t="shared" si="0"/>
        <v>100</v>
      </c>
      <c r="T11" s="701" t="s">
        <v>14</v>
      </c>
      <c r="U11" s="702">
        <f t="shared" si="1"/>
        <v>100</v>
      </c>
      <c r="V11" s="701" t="s">
        <v>14</v>
      </c>
      <c r="W11" s="702">
        <f t="shared" si="2"/>
        <v>100</v>
      </c>
      <c r="X11" s="703"/>
      <c r="Y11" s="38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99"/>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99"/>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99"/>
      <c r="Q14" s="1343">
        <f t="shared" si="6"/>
        <v>111</v>
      </c>
      <c r="R14" s="701" t="s">
        <v>14</v>
      </c>
      <c r="S14" s="702">
        <f t="shared" si="0"/>
        <v>100</v>
      </c>
      <c r="T14" s="701" t="s">
        <v>14</v>
      </c>
      <c r="U14" s="702">
        <f t="shared" si="1"/>
        <v>100</v>
      </c>
      <c r="V14" s="701" t="s">
        <v>14</v>
      </c>
      <c r="W14" s="702">
        <f t="shared" si="2"/>
        <v>100</v>
      </c>
      <c r="X14" s="703"/>
      <c r="Y14" s="3811"/>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901" t="s">
        <v>1691</v>
      </c>
      <c r="Q15" s="1352" t="str">
        <f t="shared" si="6"/>
        <v>产业集聚程度</v>
      </c>
      <c r="R15" s="705" t="s">
        <v>14</v>
      </c>
      <c r="S15" s="706">
        <f t="shared" si="0"/>
        <v>100</v>
      </c>
      <c r="T15" s="705" t="s">
        <v>14</v>
      </c>
      <c r="U15" s="706">
        <f t="shared" si="1"/>
        <v>100</v>
      </c>
      <c r="V15" s="705" t="s">
        <v>14</v>
      </c>
      <c r="W15" s="706">
        <f t="shared" si="2"/>
        <v>100</v>
      </c>
      <c r="X15" s="1355"/>
      <c r="Y15" s="39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902"/>
      <c r="Q16" s="1352"/>
      <c r="R16" s="705"/>
      <c r="S16" s="706"/>
      <c r="T16" s="705"/>
      <c r="U16" s="706"/>
      <c r="V16" s="705"/>
      <c r="W16" s="706"/>
      <c r="X16" s="1355"/>
      <c r="Y16" s="390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902"/>
      <c r="Q17" s="1352" t="str">
        <f>B17</f>
        <v>交通便捷度</v>
      </c>
      <c r="R17" s="705" t="s">
        <v>14</v>
      </c>
      <c r="S17" s="706">
        <f>F17</f>
        <v>100</v>
      </c>
      <c r="T17" s="705" t="s">
        <v>14</v>
      </c>
      <c r="U17" s="706">
        <f>H17</f>
        <v>100</v>
      </c>
      <c r="V17" s="705" t="s">
        <v>14</v>
      </c>
      <c r="W17" s="706">
        <f>J17</f>
        <v>100</v>
      </c>
      <c r="X17" s="1355"/>
      <c r="Y17" s="39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902"/>
      <c r="Q18" s="1352"/>
      <c r="R18" s="705"/>
      <c r="S18" s="706"/>
      <c r="T18" s="705"/>
      <c r="U18" s="706"/>
      <c r="V18" s="705"/>
      <c r="W18" s="706"/>
      <c r="X18" s="1355"/>
      <c r="Y18" s="390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902"/>
      <c r="Q19" s="1352" t="str">
        <f>B19</f>
        <v>公共配套设施</v>
      </c>
      <c r="R19" s="705" t="s">
        <v>14</v>
      </c>
      <c r="S19" s="706">
        <f>F19</f>
        <v>100</v>
      </c>
      <c r="T19" s="705" t="s">
        <v>14</v>
      </c>
      <c r="U19" s="706">
        <f>H19</f>
        <v>100</v>
      </c>
      <c r="V19" s="705" t="s">
        <v>14</v>
      </c>
      <c r="W19" s="706">
        <f>J19</f>
        <v>100</v>
      </c>
      <c r="X19" s="1355"/>
      <c r="Y19" s="39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902"/>
      <c r="Q20" s="1352"/>
      <c r="R20" s="705"/>
      <c r="S20" s="706"/>
      <c r="T20" s="705"/>
      <c r="U20" s="706"/>
      <c r="V20" s="705"/>
      <c r="W20" s="706"/>
      <c r="X20" s="1355"/>
      <c r="Y20" s="390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902"/>
      <c r="Q21" s="1352" t="str">
        <f>B21</f>
        <v>基础设施水平</v>
      </c>
      <c r="R21" s="705" t="s">
        <v>14</v>
      </c>
      <c r="S21" s="706">
        <f>F21</f>
        <v>100</v>
      </c>
      <c r="T21" s="705" t="s">
        <v>14</v>
      </c>
      <c r="U21" s="706">
        <f>H21</f>
        <v>100</v>
      </c>
      <c r="V21" s="705" t="s">
        <v>14</v>
      </c>
      <c r="W21" s="706">
        <f>J21</f>
        <v>100</v>
      </c>
      <c r="X21" s="1355"/>
      <c r="Y21" s="39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902"/>
      <c r="Q22" s="1352"/>
      <c r="R22" s="705"/>
      <c r="S22" s="706"/>
      <c r="T22" s="705"/>
      <c r="U22" s="706"/>
      <c r="V22" s="705"/>
      <c r="W22" s="706"/>
      <c r="X22" s="1355"/>
      <c r="Y22" s="390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902"/>
      <c r="Q23" s="1352" t="str">
        <f>B23</f>
        <v>环境质量</v>
      </c>
      <c r="R23" s="705" t="s">
        <v>14</v>
      </c>
      <c r="S23" s="706">
        <f>F23</f>
        <v>100</v>
      </c>
      <c r="T23" s="705" t="s">
        <v>14</v>
      </c>
      <c r="U23" s="706">
        <f>H23</f>
        <v>100</v>
      </c>
      <c r="V23" s="705" t="s">
        <v>14</v>
      </c>
      <c r="W23" s="706">
        <f>J23</f>
        <v>100</v>
      </c>
      <c r="X23" s="1355"/>
      <c r="Y23" s="39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902"/>
      <c r="Q24" s="1352"/>
      <c r="R24" s="705"/>
      <c r="S24" s="706"/>
      <c r="T24" s="705"/>
      <c r="U24" s="706"/>
      <c r="V24" s="705"/>
      <c r="W24" s="706"/>
      <c r="X24" s="1355"/>
      <c r="Y24" s="39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902"/>
      <c r="Q25" s="1352">
        <f>B25</f>
        <v>111</v>
      </c>
      <c r="R25" s="705" t="s">
        <v>14</v>
      </c>
      <c r="S25" s="706">
        <f>F25</f>
        <v>100</v>
      </c>
      <c r="T25" s="705" t="s">
        <v>14</v>
      </c>
      <c r="U25" s="706">
        <f>H25</f>
        <v>100</v>
      </c>
      <c r="V25" s="705" t="s">
        <v>14</v>
      </c>
      <c r="W25" s="706">
        <f>J25</f>
        <v>100</v>
      </c>
      <c r="X25" s="1355"/>
      <c r="Y25" s="39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902"/>
      <c r="Q26" s="1352">
        <f t="shared" ref="Q26:Q40" si="11">B26</f>
        <v>111</v>
      </c>
      <c r="R26" s="705" t="s">
        <v>14</v>
      </c>
      <c r="S26" s="706">
        <f>F26</f>
        <v>100</v>
      </c>
      <c r="T26" s="705" t="s">
        <v>14</v>
      </c>
      <c r="U26" s="706">
        <f>H26</f>
        <v>100</v>
      </c>
      <c r="V26" s="705" t="s">
        <v>14</v>
      </c>
      <c r="W26" s="706">
        <f>J26</f>
        <v>100</v>
      </c>
      <c r="X26" s="1355"/>
      <c r="Y26" s="39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902"/>
      <c r="Q27" s="1343">
        <f t="shared" si="11"/>
        <v>111</v>
      </c>
      <c r="R27" s="701" t="s">
        <v>14</v>
      </c>
      <c r="S27" s="702">
        <f>F27</f>
        <v>100</v>
      </c>
      <c r="T27" s="701" t="s">
        <v>14</v>
      </c>
      <c r="U27" s="702">
        <f>H27</f>
        <v>100</v>
      </c>
      <c r="V27" s="701" t="s">
        <v>14</v>
      </c>
      <c r="W27" s="702">
        <f>J27</f>
        <v>100</v>
      </c>
      <c r="X27" s="703"/>
      <c r="Y27" s="390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902"/>
      <c r="Q28" s="1352">
        <f t="shared" si="11"/>
        <v>111</v>
      </c>
      <c r="R28" s="705" t="s">
        <v>14</v>
      </c>
      <c r="S28" s="706">
        <f t="shared" ref="S28:S40" si="12">F28</f>
        <v>100</v>
      </c>
      <c r="T28" s="705" t="s">
        <v>14</v>
      </c>
      <c r="U28" s="706">
        <f t="shared" ref="U28:U40" si="13">H28</f>
        <v>100</v>
      </c>
      <c r="V28" s="705" t="s">
        <v>14</v>
      </c>
      <c r="W28" s="706">
        <f t="shared" ref="W28:W40" si="14">J28</f>
        <v>100</v>
      </c>
      <c r="X28" s="1355"/>
      <c r="Y28" s="390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31" t="s">
        <v>1696</v>
      </c>
      <c r="Q29" s="1352" t="str">
        <f t="shared" si="11"/>
        <v>建筑类型</v>
      </c>
      <c r="R29" s="705" t="s">
        <v>14</v>
      </c>
      <c r="S29" s="706">
        <f t="shared" si="12"/>
        <v>100</v>
      </c>
      <c r="T29" s="705" t="s">
        <v>14</v>
      </c>
      <c r="U29" s="706">
        <f t="shared" si="13"/>
        <v>100</v>
      </c>
      <c r="V29" s="705" t="s">
        <v>14</v>
      </c>
      <c r="W29" s="706">
        <f t="shared" si="14"/>
        <v>100</v>
      </c>
      <c r="X29" s="1355"/>
      <c r="Y29" s="39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906"/>
      <c r="Q30" s="707" t="str">
        <f t="shared" si="11"/>
        <v>项目建筑规模</v>
      </c>
      <c r="R30" s="708" t="s">
        <v>14</v>
      </c>
      <c r="S30" s="709" t="e">
        <f t="shared" si="12"/>
        <v>#N/A</v>
      </c>
      <c r="T30" s="708" t="s">
        <v>14</v>
      </c>
      <c r="U30" s="709" t="e">
        <f t="shared" si="13"/>
        <v>#N/A</v>
      </c>
      <c r="V30" s="708" t="s">
        <v>14</v>
      </c>
      <c r="W30" s="709" t="e">
        <f t="shared" si="14"/>
        <v>#N/A</v>
      </c>
      <c r="X30" s="710"/>
      <c r="Y30" s="39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906"/>
      <c r="Q31" s="1352" t="str">
        <f t="shared" si="11"/>
        <v>建筑结构</v>
      </c>
      <c r="R31" s="705" t="s">
        <v>14</v>
      </c>
      <c r="S31" s="706">
        <f t="shared" si="12"/>
        <v>100</v>
      </c>
      <c r="T31" s="705" t="s">
        <v>14</v>
      </c>
      <c r="U31" s="706">
        <f t="shared" si="13"/>
        <v>100</v>
      </c>
      <c r="V31" s="705" t="s">
        <v>14</v>
      </c>
      <c r="W31" s="706">
        <f t="shared" si="14"/>
        <v>100</v>
      </c>
      <c r="X31" s="1355"/>
      <c r="Y31" s="39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906"/>
      <c r="Q32" s="1352" t="str">
        <f t="shared" si="11"/>
        <v>公共部分装修</v>
      </c>
      <c r="R32" s="705" t="s">
        <v>14</v>
      </c>
      <c r="S32" s="706">
        <f t="shared" si="12"/>
        <v>100</v>
      </c>
      <c r="T32" s="705" t="s">
        <v>14</v>
      </c>
      <c r="U32" s="706">
        <f t="shared" si="13"/>
        <v>100</v>
      </c>
      <c r="V32" s="705" t="s">
        <v>14</v>
      </c>
      <c r="W32" s="706">
        <f t="shared" si="14"/>
        <v>100</v>
      </c>
      <c r="X32" s="1355"/>
      <c r="Y32" s="39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906"/>
      <c r="Q33" s="1352" t="str">
        <f t="shared" si="11"/>
        <v>成新度</v>
      </c>
      <c r="R33" s="705" t="s">
        <v>14</v>
      </c>
      <c r="S33" s="706" t="e">
        <f t="shared" si="12"/>
        <v>#N/A</v>
      </c>
      <c r="T33" s="705" t="s">
        <v>14</v>
      </c>
      <c r="U33" s="706" t="e">
        <f t="shared" si="13"/>
        <v>#N/A</v>
      </c>
      <c r="V33" s="705" t="s">
        <v>14</v>
      </c>
      <c r="W33" s="706" t="e">
        <f t="shared" si="14"/>
        <v>#N/A</v>
      </c>
      <c r="X33" s="1355"/>
      <c r="Y33" s="39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906"/>
      <c r="Q34" s="1343" t="str">
        <f t="shared" si="11"/>
        <v>物业管理</v>
      </c>
      <c r="R34" s="701" t="s">
        <v>14</v>
      </c>
      <c r="S34" s="702">
        <f t="shared" si="12"/>
        <v>100</v>
      </c>
      <c r="T34" s="701" t="s">
        <v>14</v>
      </c>
      <c r="U34" s="702">
        <f t="shared" si="13"/>
        <v>100</v>
      </c>
      <c r="V34" s="701" t="s">
        <v>14</v>
      </c>
      <c r="W34" s="702">
        <f t="shared" si="14"/>
        <v>100</v>
      </c>
      <c r="X34" s="703"/>
      <c r="Y34" s="39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906" t="s">
        <v>1696</v>
      </c>
      <c r="Q35" s="1352" t="str">
        <f t="shared" si="11"/>
        <v>市政基础设施</v>
      </c>
      <c r="R35" s="705" t="s">
        <v>14</v>
      </c>
      <c r="S35" s="706">
        <f t="shared" si="12"/>
        <v>100</v>
      </c>
      <c r="T35" s="705" t="s">
        <v>14</v>
      </c>
      <c r="U35" s="706">
        <f t="shared" si="13"/>
        <v>100</v>
      </c>
      <c r="V35" s="705" t="s">
        <v>14</v>
      </c>
      <c r="W35" s="706">
        <f t="shared" si="14"/>
        <v>100</v>
      </c>
      <c r="X35" s="1355"/>
      <c r="Y35" s="39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906"/>
      <c r="Q36" s="1352" t="str">
        <f t="shared" si="11"/>
        <v>内部装修</v>
      </c>
      <c r="R36" s="705" t="s">
        <v>14</v>
      </c>
      <c r="S36" s="706">
        <f t="shared" si="12"/>
        <v>100</v>
      </c>
      <c r="T36" s="705" t="s">
        <v>14</v>
      </c>
      <c r="U36" s="706">
        <f t="shared" si="13"/>
        <v>100</v>
      </c>
      <c r="V36" s="705" t="s">
        <v>14</v>
      </c>
      <c r="W36" s="706">
        <f t="shared" si="14"/>
        <v>100</v>
      </c>
      <c r="X36" s="1355"/>
      <c r="Y36" s="39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906"/>
      <c r="Q37" s="1352" t="str">
        <f t="shared" si="11"/>
        <v>内部装修状况</v>
      </c>
      <c r="R37" s="705" t="s">
        <v>14</v>
      </c>
      <c r="S37" s="706">
        <f t="shared" si="12"/>
        <v>100</v>
      </c>
      <c r="T37" s="705" t="s">
        <v>14</v>
      </c>
      <c r="U37" s="706">
        <f t="shared" si="13"/>
        <v>100</v>
      </c>
      <c r="V37" s="705" t="s">
        <v>14</v>
      </c>
      <c r="W37" s="706">
        <f t="shared" si="14"/>
        <v>100</v>
      </c>
      <c r="X37" s="1355"/>
      <c r="Y37" s="39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906"/>
      <c r="Q38" s="707">
        <f t="shared" si="11"/>
        <v>111</v>
      </c>
      <c r="R38" s="708" t="s">
        <v>14</v>
      </c>
      <c r="S38" s="709">
        <f t="shared" si="12"/>
        <v>100</v>
      </c>
      <c r="T38" s="708" t="s">
        <v>14</v>
      </c>
      <c r="U38" s="709">
        <f t="shared" si="13"/>
        <v>100</v>
      </c>
      <c r="V38" s="708" t="s">
        <v>14</v>
      </c>
      <c r="W38" s="709">
        <f t="shared" si="14"/>
        <v>100</v>
      </c>
      <c r="X38" s="710"/>
      <c r="Y38" s="39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906"/>
      <c r="Q39" s="1352">
        <f t="shared" si="11"/>
        <v>111</v>
      </c>
      <c r="R39" s="705" t="s">
        <v>14</v>
      </c>
      <c r="S39" s="706">
        <f t="shared" si="12"/>
        <v>100</v>
      </c>
      <c r="T39" s="705" t="s">
        <v>14</v>
      </c>
      <c r="U39" s="706">
        <f t="shared" si="13"/>
        <v>100</v>
      </c>
      <c r="V39" s="705" t="s">
        <v>14</v>
      </c>
      <c r="W39" s="706">
        <f t="shared" si="14"/>
        <v>100</v>
      </c>
      <c r="X39" s="1355"/>
      <c r="Y39" s="390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907"/>
      <c r="Q40" s="1352">
        <f t="shared" si="11"/>
        <v>111</v>
      </c>
      <c r="R40" s="705" t="s">
        <v>14</v>
      </c>
      <c r="S40" s="706">
        <f t="shared" si="12"/>
        <v>100</v>
      </c>
      <c r="T40" s="705" t="s">
        <v>14</v>
      </c>
      <c r="U40" s="706">
        <f t="shared" si="13"/>
        <v>100</v>
      </c>
      <c r="V40" s="705" t="s">
        <v>14</v>
      </c>
      <c r="W40" s="706">
        <f t="shared" si="14"/>
        <v>100</v>
      </c>
      <c r="X40" s="1355"/>
      <c r="Y40" s="390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899" t="str">
        <f>A41</f>
        <v>成交单价（元/平方米）</v>
      </c>
      <c r="Q41" s="3899"/>
      <c r="R41" s="3900">
        <f>E41</f>
        <v>0</v>
      </c>
      <c r="S41" s="3900"/>
      <c r="T41" s="3900">
        <f>G41</f>
        <v>0</v>
      </c>
      <c r="U41" s="3900"/>
      <c r="V41" s="3900">
        <f>I41</f>
        <v>0</v>
      </c>
      <c r="W41" s="3900"/>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99" t="str">
        <f>A42</f>
        <v>比较价值（元/平方米）</v>
      </c>
      <c r="Q42" s="3899"/>
      <c r="R42" s="3900" t="e">
        <f>IF(F1="售价",ROUND(PRODUCT(R41,AA7:AA40),0),ROUND(PRODUCT(R41,AA7:AA40),1))</f>
        <v>#DIV/0!</v>
      </c>
      <c r="S42" s="3900"/>
      <c r="T42" s="3900" t="e">
        <f>IF(F1="售价",ROUND(PRODUCT(T41,AB7:AB40),0),ROUND(PRODUCT(T41,AB7:AB40),1))</f>
        <v>#DIV/0!</v>
      </c>
      <c r="U42" s="3900"/>
      <c r="V42" s="3900" t="e">
        <f>IF(F1="售价",ROUND(PRODUCT(V41,AC7:AC40),0),ROUND(PRODUCT(V41,AC7:AC40),1))</f>
        <v>#DIV/0!</v>
      </c>
      <c r="W42" s="390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96" t="str">
        <f>A43</f>
        <v>估价对象XX用房的比较价值（楼面单价，元/平方米）</v>
      </c>
      <c r="Q43" s="3897"/>
      <c r="R43" s="3898" t="e">
        <f>IF(F1="售价",ROUND(IF(D42="简单平均",AVERAGE(R42:V42),R42*F42+T42*H42+V42*J42),0),ROUND(IF(D42="简单平均",AVERAGE(R42:V42),R42*F42+T42*H42+V42*J42),1))</f>
        <v>#DIV/0!</v>
      </c>
      <c r="S43" s="3898"/>
      <c r="T43" s="3898"/>
      <c r="U43" s="3898"/>
      <c r="V43" s="3898"/>
      <c r="W43" s="389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2006-7</v>
      </c>
      <c r="D52" s="1185">
        <f>EDATE(C52,-1)</f>
        <v>38869</v>
      </c>
      <c r="E52" s="1185">
        <f t="shared" ref="E52:O52" si="16">EDATE(D52,-1)</f>
        <v>38838</v>
      </c>
      <c r="F52" s="1185">
        <f t="shared" si="16"/>
        <v>38808</v>
      </c>
      <c r="G52" s="1185">
        <f t="shared" si="16"/>
        <v>38777</v>
      </c>
      <c r="H52" s="1185">
        <f t="shared" si="16"/>
        <v>38749</v>
      </c>
      <c r="I52" s="1185">
        <f t="shared" si="16"/>
        <v>38718</v>
      </c>
      <c r="J52" s="1185">
        <f t="shared" si="16"/>
        <v>38687</v>
      </c>
      <c r="K52" s="1185">
        <f t="shared" si="16"/>
        <v>38657</v>
      </c>
      <c r="L52" s="1185">
        <f t="shared" si="16"/>
        <v>38626</v>
      </c>
      <c r="M52" s="1185">
        <f t="shared" si="16"/>
        <v>38596</v>
      </c>
      <c r="N52" s="1185">
        <f t="shared" si="16"/>
        <v>38565</v>
      </c>
      <c r="O52" s="1185">
        <f t="shared" si="16"/>
        <v>38534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882" t="s">
        <v>1770</v>
      </c>
      <c r="D4" s="3883"/>
      <c r="E4" s="3884" t="s">
        <v>1771</v>
      </c>
      <c r="F4" s="3885"/>
      <c r="G4" s="3882" t="s">
        <v>1772</v>
      </c>
      <c r="H4" s="3883"/>
      <c r="I4" s="3882" t="s">
        <v>1773</v>
      </c>
      <c r="J4" s="3883"/>
      <c r="K4" s="559" t="s">
        <v>1774</v>
      </c>
      <c r="L4" s="2715"/>
      <c r="M4" s="2716"/>
      <c r="N4" s="2716"/>
      <c r="O4" s="2716"/>
      <c r="P4" s="3886" t="s">
        <v>1775</v>
      </c>
      <c r="Q4" s="3887"/>
      <c r="R4" s="3869" t="s">
        <v>1771</v>
      </c>
      <c r="S4" s="3870"/>
      <c r="T4" s="3869" t="s">
        <v>1772</v>
      </c>
      <c r="U4" s="3870"/>
      <c r="V4" s="3894" t="s">
        <v>1773</v>
      </c>
      <c r="W4" s="3894"/>
      <c r="X4" s="1355"/>
      <c r="Y4" s="3869" t="s">
        <v>1775</v>
      </c>
      <c r="Z4" s="3870"/>
      <c r="AA4" s="3864" t="s">
        <v>1771</v>
      </c>
      <c r="AB4" s="3865" t="s">
        <v>1772</v>
      </c>
      <c r="AC4" s="3864" t="s">
        <v>1773</v>
      </c>
    </row>
    <row r="5" spans="1:29">
      <c r="A5" s="358"/>
      <c r="B5" s="359"/>
      <c r="C5" s="3913" t="s">
        <v>1673</v>
      </c>
      <c r="D5" s="3876"/>
      <c r="E5" s="3911" t="s">
        <v>1674</v>
      </c>
      <c r="F5" s="3912"/>
      <c r="G5" s="3913" t="s">
        <v>1675</v>
      </c>
      <c r="H5" s="3876"/>
      <c r="I5" s="3913" t="s">
        <v>1676</v>
      </c>
      <c r="J5" s="3876"/>
      <c r="K5" s="559"/>
      <c r="L5" s="2715"/>
      <c r="M5" s="2716"/>
      <c r="N5" s="2716"/>
      <c r="O5" s="2716"/>
      <c r="P5" s="3888"/>
      <c r="Q5" s="3889"/>
      <c r="R5" s="3871"/>
      <c r="S5" s="3872"/>
      <c r="T5" s="3871"/>
      <c r="U5" s="3872"/>
      <c r="V5" s="3894"/>
      <c r="W5" s="3894"/>
      <c r="X5" s="1355"/>
      <c r="Y5" s="3871"/>
      <c r="Z5" s="3872"/>
      <c r="AA5" s="3865"/>
      <c r="AB5" s="3865"/>
      <c r="AC5" s="3865"/>
    </row>
    <row r="6" spans="1:29" ht="15" thickBot="1">
      <c r="A6" s="360"/>
      <c r="B6" s="361"/>
      <c r="C6" s="3914" t="s">
        <v>1677</v>
      </c>
      <c r="D6" s="3878"/>
      <c r="E6" s="3915" t="s">
        <v>1677</v>
      </c>
      <c r="F6" s="3880"/>
      <c r="G6" s="3914" t="s">
        <v>1677</v>
      </c>
      <c r="H6" s="3878"/>
      <c r="I6" s="3914" t="s">
        <v>1677</v>
      </c>
      <c r="J6" s="3878"/>
      <c r="K6" s="559" t="s">
        <v>1678</v>
      </c>
      <c r="L6" s="2715"/>
      <c r="M6" s="2716"/>
      <c r="N6" s="2716"/>
      <c r="O6" s="2716"/>
      <c r="P6" s="3890"/>
      <c r="Q6" s="3891"/>
      <c r="R6" s="3871"/>
      <c r="S6" s="3872"/>
      <c r="T6" s="3892"/>
      <c r="U6" s="3893"/>
      <c r="V6" s="3894"/>
      <c r="W6" s="3894"/>
      <c r="X6" s="1355"/>
      <c r="Y6" s="3892"/>
      <c r="Z6" s="3893"/>
      <c r="AA6" s="3866"/>
      <c r="AB6" s="3866"/>
      <c r="AC6" s="3866"/>
    </row>
    <row r="7" spans="1:29" s="108" customFormat="1" ht="15" thickBot="1">
      <c r="A7" s="362" t="s">
        <v>1679</v>
      </c>
      <c r="B7" s="363"/>
      <c r="C7" s="364">
        <f>'数据-取费表'!B2</f>
        <v>38916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67" t="s">
        <v>1680</v>
      </c>
      <c r="Q7" s="3895"/>
      <c r="R7" s="701" t="s">
        <v>14</v>
      </c>
      <c r="S7" s="702">
        <f t="shared" ref="S7:S14" si="0">F7</f>
        <v>0</v>
      </c>
      <c r="T7" s="701" t="s">
        <v>14</v>
      </c>
      <c r="U7" s="702">
        <f t="shared" ref="U7:U14" si="1">H7</f>
        <v>0</v>
      </c>
      <c r="V7" s="701" t="s">
        <v>14</v>
      </c>
      <c r="W7" s="702">
        <f t="shared" ref="W7:W14" si="2">J7</f>
        <v>0</v>
      </c>
      <c r="X7" s="703"/>
      <c r="Y7" s="3867" t="s">
        <v>1680</v>
      </c>
      <c r="Z7" s="386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67" t="s">
        <v>1683</v>
      </c>
      <c r="Q8" s="3868"/>
      <c r="R8" s="701" t="s">
        <v>14</v>
      </c>
      <c r="S8" s="702">
        <f t="shared" si="0"/>
        <v>100</v>
      </c>
      <c r="T8" s="701" t="s">
        <v>14</v>
      </c>
      <c r="U8" s="702">
        <f t="shared" si="1"/>
        <v>100</v>
      </c>
      <c r="V8" s="701" t="s">
        <v>14</v>
      </c>
      <c r="W8" s="702">
        <f t="shared" si="2"/>
        <v>100</v>
      </c>
      <c r="X8" s="703"/>
      <c r="Y8" s="3867" t="s">
        <v>1683</v>
      </c>
      <c r="Z8" s="386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99" t="s">
        <v>1686</v>
      </c>
      <c r="Q9" s="1343" t="str">
        <f t="shared" ref="Q9:Q14" si="6">B9</f>
        <v>用途</v>
      </c>
      <c r="R9" s="701" t="s">
        <v>14</v>
      </c>
      <c r="S9" s="702">
        <f t="shared" si="0"/>
        <v>100</v>
      </c>
      <c r="T9" s="701" t="s">
        <v>14</v>
      </c>
      <c r="U9" s="702">
        <f t="shared" si="1"/>
        <v>100</v>
      </c>
      <c r="V9" s="701" t="s">
        <v>14</v>
      </c>
      <c r="W9" s="702">
        <f t="shared" si="2"/>
        <v>100</v>
      </c>
      <c r="X9" s="703"/>
      <c r="Y9" s="3811"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99"/>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99"/>
      <c r="Q11" s="1343">
        <f t="shared" si="6"/>
        <v>111</v>
      </c>
      <c r="R11" s="701" t="s">
        <v>14</v>
      </c>
      <c r="S11" s="702">
        <f t="shared" si="0"/>
        <v>100</v>
      </c>
      <c r="T11" s="701" t="s">
        <v>14</v>
      </c>
      <c r="U11" s="702">
        <f t="shared" si="1"/>
        <v>100</v>
      </c>
      <c r="V11" s="701" t="s">
        <v>14</v>
      </c>
      <c r="W11" s="702">
        <f t="shared" si="2"/>
        <v>100</v>
      </c>
      <c r="X11" s="703"/>
      <c r="Y11" s="38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99"/>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99"/>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901" t="s">
        <v>1691</v>
      </c>
      <c r="Q14" s="1352" t="str">
        <f t="shared" si="6"/>
        <v>交通便捷度</v>
      </c>
      <c r="R14" s="705" t="s">
        <v>14</v>
      </c>
      <c r="S14" s="706">
        <f t="shared" si="0"/>
        <v>100</v>
      </c>
      <c r="T14" s="705" t="s">
        <v>14</v>
      </c>
      <c r="U14" s="706">
        <f t="shared" si="1"/>
        <v>100</v>
      </c>
      <c r="V14" s="705" t="s">
        <v>14</v>
      </c>
      <c r="W14" s="706">
        <f t="shared" si="2"/>
        <v>100</v>
      </c>
      <c r="X14" s="1355"/>
      <c r="Y14" s="39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902"/>
      <c r="Q15" s="1352"/>
      <c r="R15" s="705"/>
      <c r="S15" s="706"/>
      <c r="T15" s="705"/>
      <c r="U15" s="706"/>
      <c r="V15" s="705"/>
      <c r="W15" s="706"/>
      <c r="X15" s="1355"/>
      <c r="Y15" s="390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902"/>
      <c r="Q16" s="1352" t="str">
        <f>B16</f>
        <v>公共配套设施</v>
      </c>
      <c r="R16" s="705" t="s">
        <v>14</v>
      </c>
      <c r="S16" s="706">
        <f>F16</f>
        <v>100</v>
      </c>
      <c r="T16" s="705" t="s">
        <v>14</v>
      </c>
      <c r="U16" s="706">
        <f>H16</f>
        <v>100</v>
      </c>
      <c r="V16" s="705" t="s">
        <v>14</v>
      </c>
      <c r="W16" s="706">
        <f>J16</f>
        <v>100</v>
      </c>
      <c r="X16" s="1355"/>
      <c r="Y16" s="39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902"/>
      <c r="Q17" s="1352"/>
      <c r="R17" s="705"/>
      <c r="S17" s="706"/>
      <c r="T17" s="705"/>
      <c r="U17" s="706"/>
      <c r="V17" s="705"/>
      <c r="W17" s="706"/>
      <c r="X17" s="1355"/>
      <c r="Y17" s="3902"/>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902"/>
      <c r="Q18" s="1352" t="str">
        <f>B18</f>
        <v>基础设施水平</v>
      </c>
      <c r="R18" s="705" t="s">
        <v>14</v>
      </c>
      <c r="S18" s="706">
        <f>F18</f>
        <v>100</v>
      </c>
      <c r="T18" s="705" t="s">
        <v>14</v>
      </c>
      <c r="U18" s="706">
        <f>H18</f>
        <v>100</v>
      </c>
      <c r="V18" s="705" t="s">
        <v>14</v>
      </c>
      <c r="W18" s="706">
        <f>J18</f>
        <v>100</v>
      </c>
      <c r="X18" s="1355"/>
      <c r="Y18" s="39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902"/>
      <c r="Q19" s="1352"/>
      <c r="R19" s="705"/>
      <c r="S19" s="706"/>
      <c r="T19" s="705"/>
      <c r="U19" s="706"/>
      <c r="V19" s="705"/>
      <c r="W19" s="706"/>
      <c r="X19" s="1355"/>
      <c r="Y19" s="390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902"/>
      <c r="Q20" s="1352" t="str">
        <f>B20</f>
        <v>自然及人文环境</v>
      </c>
      <c r="R20" s="705" t="s">
        <v>14</v>
      </c>
      <c r="S20" s="706">
        <f>F20</f>
        <v>100</v>
      </c>
      <c r="T20" s="705" t="s">
        <v>14</v>
      </c>
      <c r="U20" s="706">
        <f>H20</f>
        <v>100</v>
      </c>
      <c r="V20" s="705" t="s">
        <v>14</v>
      </c>
      <c r="W20" s="706">
        <f>J20</f>
        <v>100</v>
      </c>
      <c r="X20" s="1355"/>
      <c r="Y20" s="39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902"/>
      <c r="Q21" s="1352"/>
      <c r="R21" s="705"/>
      <c r="S21" s="706"/>
      <c r="T21" s="705"/>
      <c r="U21" s="706"/>
      <c r="V21" s="705"/>
      <c r="W21" s="706"/>
      <c r="X21" s="1355"/>
      <c r="Y21" s="39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902"/>
      <c r="Q22" s="1352" t="str">
        <f>B22</f>
        <v>楼层</v>
      </c>
      <c r="R22" s="705" t="s">
        <v>14</v>
      </c>
      <c r="S22" s="706">
        <f>F22</f>
        <v>100</v>
      </c>
      <c r="T22" s="705" t="s">
        <v>14</v>
      </c>
      <c r="U22" s="706">
        <f>H22</f>
        <v>100</v>
      </c>
      <c r="V22" s="705" t="s">
        <v>14</v>
      </c>
      <c r="W22" s="706">
        <f>J22</f>
        <v>100</v>
      </c>
      <c r="X22" s="1355"/>
      <c r="Y22" s="39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902"/>
      <c r="Q23" s="1352">
        <f>B23</f>
        <v>111</v>
      </c>
      <c r="R23" s="705" t="s">
        <v>14</v>
      </c>
      <c r="S23" s="706">
        <f>F23</f>
        <v>100</v>
      </c>
      <c r="T23" s="705" t="s">
        <v>14</v>
      </c>
      <c r="U23" s="706">
        <f>H23</f>
        <v>100</v>
      </c>
      <c r="V23" s="705" t="s">
        <v>14</v>
      </c>
      <c r="W23" s="706">
        <f>J23</f>
        <v>100</v>
      </c>
      <c r="X23" s="1355"/>
      <c r="Y23" s="39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902"/>
      <c r="Q24" s="1352">
        <f t="shared" ref="Q24:Q36" si="11">B24</f>
        <v>111</v>
      </c>
      <c r="R24" s="705" t="s">
        <v>14</v>
      </c>
      <c r="S24" s="706">
        <f>F24</f>
        <v>100</v>
      </c>
      <c r="T24" s="705" t="s">
        <v>14</v>
      </c>
      <c r="U24" s="706">
        <f>H24</f>
        <v>100</v>
      </c>
      <c r="V24" s="705" t="s">
        <v>14</v>
      </c>
      <c r="W24" s="706">
        <f>J24</f>
        <v>100</v>
      </c>
      <c r="X24" s="1355"/>
      <c r="Y24" s="390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902"/>
      <c r="Q25" s="1343">
        <f t="shared" si="11"/>
        <v>111</v>
      </c>
      <c r="R25" s="701" t="s">
        <v>14</v>
      </c>
      <c r="S25" s="702">
        <f>F25</f>
        <v>100</v>
      </c>
      <c r="T25" s="701" t="s">
        <v>14</v>
      </c>
      <c r="U25" s="702">
        <f>H25</f>
        <v>100</v>
      </c>
      <c r="V25" s="701" t="s">
        <v>14</v>
      </c>
      <c r="W25" s="702">
        <f>J25</f>
        <v>100</v>
      </c>
      <c r="X25" s="703"/>
      <c r="Y25" s="390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9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9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906"/>
      <c r="Q27" s="707" t="str">
        <f t="shared" si="11"/>
        <v>项目停车位配比</v>
      </c>
      <c r="R27" s="708" t="s">
        <v>14</v>
      </c>
      <c r="S27" s="709">
        <f t="shared" si="12"/>
        <v>100</v>
      </c>
      <c r="T27" s="708" t="s">
        <v>14</v>
      </c>
      <c r="U27" s="709">
        <f t="shared" si="13"/>
        <v>100</v>
      </c>
      <c r="V27" s="708" t="s">
        <v>14</v>
      </c>
      <c r="W27" s="709">
        <f t="shared" si="14"/>
        <v>100</v>
      </c>
      <c r="X27" s="710"/>
      <c r="Y27" s="39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906"/>
      <c r="Q28" s="1352" t="str">
        <f t="shared" si="11"/>
        <v>公共部分装修</v>
      </c>
      <c r="R28" s="705" t="s">
        <v>14</v>
      </c>
      <c r="S28" s="706">
        <f t="shared" si="12"/>
        <v>100</v>
      </c>
      <c r="T28" s="705" t="s">
        <v>14</v>
      </c>
      <c r="U28" s="706">
        <f t="shared" si="13"/>
        <v>100</v>
      </c>
      <c r="V28" s="705" t="s">
        <v>14</v>
      </c>
      <c r="W28" s="706">
        <f t="shared" si="14"/>
        <v>100</v>
      </c>
      <c r="X28" s="1355"/>
      <c r="Y28" s="39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906"/>
      <c r="Q29" s="1352" t="str">
        <f t="shared" si="11"/>
        <v>成新率</v>
      </c>
      <c r="R29" s="705" t="s">
        <v>14</v>
      </c>
      <c r="S29" s="706" t="e">
        <f t="shared" si="12"/>
        <v>#N/A</v>
      </c>
      <c r="T29" s="705" t="s">
        <v>14</v>
      </c>
      <c r="U29" s="706" t="e">
        <f t="shared" si="13"/>
        <v>#N/A</v>
      </c>
      <c r="V29" s="705" t="s">
        <v>14</v>
      </c>
      <c r="W29" s="706" t="e">
        <f t="shared" si="14"/>
        <v>#N/A</v>
      </c>
      <c r="X29" s="1355"/>
      <c r="Y29" s="39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906"/>
      <c r="Q30" s="1352" t="str">
        <f t="shared" si="11"/>
        <v>物业等级</v>
      </c>
      <c r="R30" s="705" t="s">
        <v>14</v>
      </c>
      <c r="S30" s="706">
        <f t="shared" si="12"/>
        <v>100</v>
      </c>
      <c r="T30" s="705" t="s">
        <v>14</v>
      </c>
      <c r="U30" s="706">
        <f t="shared" si="13"/>
        <v>100</v>
      </c>
      <c r="V30" s="705" t="s">
        <v>14</v>
      </c>
      <c r="W30" s="706">
        <f t="shared" si="14"/>
        <v>100</v>
      </c>
      <c r="X30" s="1355"/>
      <c r="Y30" s="39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906"/>
      <c r="Q31" s="1343" t="str">
        <f t="shared" si="11"/>
        <v>停车位面积</v>
      </c>
      <c r="R31" s="701" t="s">
        <v>14</v>
      </c>
      <c r="S31" s="702" t="e">
        <f t="shared" si="12"/>
        <v>#N/A</v>
      </c>
      <c r="T31" s="701" t="s">
        <v>14</v>
      </c>
      <c r="U31" s="702" t="e">
        <f t="shared" si="13"/>
        <v>#N/A</v>
      </c>
      <c r="V31" s="701" t="s">
        <v>14</v>
      </c>
      <c r="W31" s="702" t="e">
        <f t="shared" si="14"/>
        <v>#N/A</v>
      </c>
      <c r="X31" s="703"/>
      <c r="Y31" s="39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906" t="s">
        <v>1696</v>
      </c>
      <c r="Q32" s="1352" t="str">
        <f t="shared" si="11"/>
        <v>车位类型</v>
      </c>
      <c r="R32" s="705" t="s">
        <v>14</v>
      </c>
      <c r="S32" s="706">
        <f t="shared" si="12"/>
        <v>100</v>
      </c>
      <c r="T32" s="705" t="s">
        <v>14</v>
      </c>
      <c r="U32" s="706">
        <f t="shared" si="13"/>
        <v>100</v>
      </c>
      <c r="V32" s="705" t="s">
        <v>14</v>
      </c>
      <c r="W32" s="706">
        <f t="shared" si="14"/>
        <v>100</v>
      </c>
      <c r="X32" s="1355"/>
      <c r="Y32" s="39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906"/>
      <c r="Q33" s="1352" t="str">
        <f t="shared" si="11"/>
        <v>是否直接入户</v>
      </c>
      <c r="R33" s="705" t="s">
        <v>14</v>
      </c>
      <c r="S33" s="706">
        <f t="shared" si="12"/>
        <v>100</v>
      </c>
      <c r="T33" s="705" t="s">
        <v>14</v>
      </c>
      <c r="U33" s="706">
        <f t="shared" si="13"/>
        <v>100</v>
      </c>
      <c r="V33" s="705" t="s">
        <v>14</v>
      </c>
      <c r="W33" s="706">
        <f t="shared" si="14"/>
        <v>100</v>
      </c>
      <c r="X33" s="1355"/>
      <c r="Y33" s="39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906"/>
      <c r="Q34" s="1352">
        <f t="shared" si="11"/>
        <v>111</v>
      </c>
      <c r="R34" s="705" t="s">
        <v>14</v>
      </c>
      <c r="S34" s="706">
        <f t="shared" si="12"/>
        <v>100</v>
      </c>
      <c r="T34" s="705" t="s">
        <v>14</v>
      </c>
      <c r="U34" s="706">
        <f t="shared" si="13"/>
        <v>100</v>
      </c>
      <c r="V34" s="705" t="s">
        <v>14</v>
      </c>
      <c r="W34" s="706">
        <f t="shared" si="14"/>
        <v>100</v>
      </c>
      <c r="X34" s="1355"/>
      <c r="Y34" s="39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906"/>
      <c r="Q35" s="707">
        <f t="shared" si="11"/>
        <v>111</v>
      </c>
      <c r="R35" s="708" t="s">
        <v>14</v>
      </c>
      <c r="S35" s="709">
        <f t="shared" si="12"/>
        <v>100</v>
      </c>
      <c r="T35" s="708" t="s">
        <v>14</v>
      </c>
      <c r="U35" s="709">
        <f t="shared" si="13"/>
        <v>100</v>
      </c>
      <c r="V35" s="708" t="s">
        <v>14</v>
      </c>
      <c r="W35" s="709">
        <f t="shared" si="14"/>
        <v>100</v>
      </c>
      <c r="X35" s="710"/>
      <c r="Y35" s="390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906"/>
      <c r="Q36" s="1352">
        <f t="shared" si="11"/>
        <v>111</v>
      </c>
      <c r="R36" s="705" t="s">
        <v>14</v>
      </c>
      <c r="S36" s="706">
        <f t="shared" si="12"/>
        <v>100</v>
      </c>
      <c r="T36" s="705" t="s">
        <v>14</v>
      </c>
      <c r="U36" s="706">
        <f t="shared" si="13"/>
        <v>100</v>
      </c>
      <c r="V36" s="705" t="s">
        <v>14</v>
      </c>
      <c r="W36" s="706">
        <f t="shared" si="14"/>
        <v>100</v>
      </c>
      <c r="X36" s="1355"/>
      <c r="Y36" s="3906"/>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899" t="str">
        <f>A37</f>
        <v>成交单价</v>
      </c>
      <c r="Q37" s="3899"/>
      <c r="R37" s="3900">
        <f>E37</f>
        <v>0</v>
      </c>
      <c r="S37" s="3900"/>
      <c r="T37" s="3900">
        <f>G37</f>
        <v>0</v>
      </c>
      <c r="U37" s="3900"/>
      <c r="V37" s="3900">
        <f>I37</f>
        <v>0</v>
      </c>
      <c r="W37" s="390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899" t="str">
        <f>A38</f>
        <v>比较价值（元/平方米）</v>
      </c>
      <c r="Q38" s="3899"/>
      <c r="R38" s="3900" t="e">
        <f>IF(F1="售价",ROUND(PRODUCT(R37,AA7:AA36),0),ROUND(PRODUCT(R37,AA7:AA36),1))</f>
        <v>#DIV/0!</v>
      </c>
      <c r="S38" s="3900"/>
      <c r="T38" s="3900" t="e">
        <f>IF(F1="售价",ROUND(PRODUCT(T37,AB7:AB36),0),ROUND(PRODUCT(T37,AB7:AB36),1))</f>
        <v>#DIV/0!</v>
      </c>
      <c r="U38" s="3900"/>
      <c r="V38" s="3900" t="e">
        <f>IF(F1="售价",ROUND(PRODUCT(V37,AC7:AC36),0),ROUND(PRODUCT(V37,AC7:AC36),1))</f>
        <v>#DIV/0!</v>
      </c>
      <c r="W38" s="390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896" t="str">
        <f>A39</f>
        <v>估价对象XX用房的比较价值（楼面单价，元/平方米）</v>
      </c>
      <c r="Q39" s="3897"/>
      <c r="R39" s="3932" t="e">
        <f>IF(F1="售价",ROUND(IF(D38="简单平均",AVERAGE(R38:W38),R38*F38+T38*H38+V38*J38),0),ROUND(IF(D38="简单平均",AVERAGE(R38:V38),R38*F38+T38*H38+V38*J38),1))</f>
        <v>#DIV/0!</v>
      </c>
      <c r="S39" s="3932"/>
      <c r="T39" s="3932"/>
      <c r="U39" s="3932"/>
      <c r="V39" s="3932"/>
      <c r="W39" s="39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2006-7</v>
      </c>
      <c r="D48" s="1185">
        <f>EDATE(C48,-1)</f>
        <v>38869</v>
      </c>
      <c r="E48" s="1185">
        <f t="shared" ref="E48:O48" si="16">EDATE(D48,-1)</f>
        <v>38838</v>
      </c>
      <c r="F48" s="1185">
        <f t="shared" si="16"/>
        <v>38808</v>
      </c>
      <c r="G48" s="1185">
        <f t="shared" si="16"/>
        <v>38777</v>
      </c>
      <c r="H48" s="1185">
        <f t="shared" si="16"/>
        <v>38749</v>
      </c>
      <c r="I48" s="1185">
        <f t="shared" si="16"/>
        <v>38718</v>
      </c>
      <c r="J48" s="1185">
        <f t="shared" si="16"/>
        <v>38687</v>
      </c>
      <c r="K48" s="1185">
        <f t="shared" si="16"/>
        <v>38657</v>
      </c>
      <c r="L48" s="1185">
        <f t="shared" si="16"/>
        <v>38626</v>
      </c>
      <c r="M48" s="1185">
        <f t="shared" si="16"/>
        <v>38596</v>
      </c>
      <c r="N48" s="1185">
        <f t="shared" si="16"/>
        <v>38565</v>
      </c>
      <c r="O48" s="1185">
        <f t="shared" si="16"/>
        <v>38534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882" t="s">
        <v>1770</v>
      </c>
      <c r="D4" s="3883"/>
      <c r="E4" s="3884" t="s">
        <v>1771</v>
      </c>
      <c r="F4" s="3885"/>
      <c r="G4" s="3882" t="s">
        <v>1772</v>
      </c>
      <c r="H4" s="3883"/>
      <c r="I4" s="3882" t="s">
        <v>1773</v>
      </c>
      <c r="J4" s="3883"/>
      <c r="K4" s="559" t="s">
        <v>1774</v>
      </c>
      <c r="L4" s="2715"/>
      <c r="M4" s="2716"/>
      <c r="N4" s="2716"/>
      <c r="O4" s="2716"/>
      <c r="P4" s="3886" t="s">
        <v>1775</v>
      </c>
      <c r="Q4" s="3887"/>
      <c r="R4" s="3869" t="s">
        <v>1771</v>
      </c>
      <c r="S4" s="3870"/>
      <c r="T4" s="3869" t="s">
        <v>1772</v>
      </c>
      <c r="U4" s="3870"/>
      <c r="V4" s="3894" t="s">
        <v>1773</v>
      </c>
      <c r="W4" s="3894"/>
      <c r="X4" s="1355"/>
      <c r="Y4" s="3869" t="s">
        <v>1775</v>
      </c>
      <c r="Z4" s="3870"/>
      <c r="AA4" s="3864" t="s">
        <v>1771</v>
      </c>
      <c r="AB4" s="3865" t="s">
        <v>1772</v>
      </c>
      <c r="AC4" s="3864" t="s">
        <v>1773</v>
      </c>
    </row>
    <row r="5" spans="1:29">
      <c r="A5" s="358"/>
      <c r="B5" s="359"/>
      <c r="C5" s="3913" t="s">
        <v>1673</v>
      </c>
      <c r="D5" s="3876"/>
      <c r="E5" s="3911" t="s">
        <v>1674</v>
      </c>
      <c r="F5" s="3912"/>
      <c r="G5" s="3913" t="s">
        <v>1675</v>
      </c>
      <c r="H5" s="3876"/>
      <c r="I5" s="3913" t="s">
        <v>1676</v>
      </c>
      <c r="J5" s="3876"/>
      <c r="K5" s="559"/>
      <c r="L5" s="2715"/>
      <c r="M5" s="2716"/>
      <c r="N5" s="2716"/>
      <c r="O5" s="2716"/>
      <c r="P5" s="3888"/>
      <c r="Q5" s="3889"/>
      <c r="R5" s="3871"/>
      <c r="S5" s="3872"/>
      <c r="T5" s="3871"/>
      <c r="U5" s="3872"/>
      <c r="V5" s="3894"/>
      <c r="W5" s="3894"/>
      <c r="X5" s="1355"/>
      <c r="Y5" s="3871"/>
      <c r="Z5" s="3872"/>
      <c r="AA5" s="3865"/>
      <c r="AB5" s="3865"/>
      <c r="AC5" s="3865"/>
    </row>
    <row r="6" spans="1:29" ht="15" thickBot="1">
      <c r="A6" s="360"/>
      <c r="B6" s="361"/>
      <c r="C6" s="3914" t="s">
        <v>1677</v>
      </c>
      <c r="D6" s="3878"/>
      <c r="E6" s="3915" t="s">
        <v>1677</v>
      </c>
      <c r="F6" s="3880"/>
      <c r="G6" s="3914" t="s">
        <v>1677</v>
      </c>
      <c r="H6" s="3878"/>
      <c r="I6" s="3914" t="s">
        <v>1677</v>
      </c>
      <c r="J6" s="3878"/>
      <c r="K6" s="559" t="s">
        <v>1678</v>
      </c>
      <c r="L6" s="2715"/>
      <c r="M6" s="2716"/>
      <c r="N6" s="2716"/>
      <c r="O6" s="2716"/>
      <c r="P6" s="3890"/>
      <c r="Q6" s="3891"/>
      <c r="R6" s="3871"/>
      <c r="S6" s="3872"/>
      <c r="T6" s="3892"/>
      <c r="U6" s="3893"/>
      <c r="V6" s="3894"/>
      <c r="W6" s="3894"/>
      <c r="X6" s="1355"/>
      <c r="Y6" s="3892"/>
      <c r="Z6" s="3893"/>
      <c r="AA6" s="3866"/>
      <c r="AB6" s="3866"/>
      <c r="AC6" s="3866"/>
    </row>
    <row r="7" spans="1:29" s="108" customFormat="1" ht="15" thickBot="1">
      <c r="A7" s="362" t="s">
        <v>1679</v>
      </c>
      <c r="B7" s="363"/>
      <c r="C7" s="364">
        <f>'数据-取费表'!B2</f>
        <v>38916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67" t="s">
        <v>1680</v>
      </c>
      <c r="Q7" s="3895"/>
      <c r="R7" s="701" t="s">
        <v>14</v>
      </c>
      <c r="S7" s="702">
        <f t="shared" ref="S7:S14" si="0">F7</f>
        <v>0</v>
      </c>
      <c r="T7" s="701" t="s">
        <v>14</v>
      </c>
      <c r="U7" s="702">
        <f t="shared" ref="U7:U14" si="1">H7</f>
        <v>0</v>
      </c>
      <c r="V7" s="701" t="s">
        <v>14</v>
      </c>
      <c r="W7" s="702">
        <f t="shared" ref="W7:W14" si="2">J7</f>
        <v>0</v>
      </c>
      <c r="X7" s="703"/>
      <c r="Y7" s="3867" t="s">
        <v>1680</v>
      </c>
      <c r="Z7" s="386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67" t="s">
        <v>1683</v>
      </c>
      <c r="Q8" s="3868"/>
      <c r="R8" s="701" t="s">
        <v>14</v>
      </c>
      <c r="S8" s="702">
        <f t="shared" si="0"/>
        <v>100</v>
      </c>
      <c r="T8" s="701" t="s">
        <v>14</v>
      </c>
      <c r="U8" s="702">
        <f t="shared" si="1"/>
        <v>100</v>
      </c>
      <c r="V8" s="701" t="s">
        <v>14</v>
      </c>
      <c r="W8" s="702">
        <f t="shared" si="2"/>
        <v>100</v>
      </c>
      <c r="X8" s="703"/>
      <c r="Y8" s="3867" t="s">
        <v>1683</v>
      </c>
      <c r="Z8" s="386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99" t="s">
        <v>1686</v>
      </c>
      <c r="Q9" s="1343" t="str">
        <f t="shared" ref="Q9:Q14" si="6">B9</f>
        <v>用途</v>
      </c>
      <c r="R9" s="701" t="s">
        <v>14</v>
      </c>
      <c r="S9" s="702">
        <f t="shared" si="0"/>
        <v>100</v>
      </c>
      <c r="T9" s="701" t="s">
        <v>14</v>
      </c>
      <c r="U9" s="702">
        <f t="shared" si="1"/>
        <v>100</v>
      </c>
      <c r="V9" s="701" t="s">
        <v>14</v>
      </c>
      <c r="W9" s="702">
        <f t="shared" si="2"/>
        <v>100</v>
      </c>
      <c r="X9" s="703"/>
      <c r="Y9" s="3811"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99"/>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99"/>
      <c r="Q11" s="1343">
        <f t="shared" si="6"/>
        <v>111</v>
      </c>
      <c r="R11" s="701" t="s">
        <v>14</v>
      </c>
      <c r="S11" s="702">
        <f t="shared" si="0"/>
        <v>100</v>
      </c>
      <c r="T11" s="701" t="s">
        <v>14</v>
      </c>
      <c r="U11" s="702">
        <f t="shared" si="1"/>
        <v>100</v>
      </c>
      <c r="V11" s="701" t="s">
        <v>14</v>
      </c>
      <c r="W11" s="702">
        <f t="shared" si="2"/>
        <v>100</v>
      </c>
      <c r="X11" s="703"/>
      <c r="Y11" s="38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99"/>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99"/>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901" t="s">
        <v>1691</v>
      </c>
      <c r="Q14" s="1352" t="str">
        <f t="shared" si="6"/>
        <v>交通便捷度</v>
      </c>
      <c r="R14" s="705" t="s">
        <v>14</v>
      </c>
      <c r="S14" s="706">
        <f t="shared" si="0"/>
        <v>100</v>
      </c>
      <c r="T14" s="705" t="s">
        <v>14</v>
      </c>
      <c r="U14" s="706">
        <f t="shared" si="1"/>
        <v>100</v>
      </c>
      <c r="V14" s="705" t="s">
        <v>14</v>
      </c>
      <c r="W14" s="706">
        <f t="shared" si="2"/>
        <v>100</v>
      </c>
      <c r="X14" s="1355"/>
      <c r="Y14" s="39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902"/>
      <c r="Q15" s="1352"/>
      <c r="R15" s="705"/>
      <c r="S15" s="706"/>
      <c r="T15" s="705"/>
      <c r="U15" s="706"/>
      <c r="V15" s="705"/>
      <c r="W15" s="706"/>
      <c r="X15" s="1355"/>
      <c r="Y15" s="390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902"/>
      <c r="Q16" s="1352" t="str">
        <f>B16</f>
        <v>公共配套设施</v>
      </c>
      <c r="R16" s="705" t="s">
        <v>14</v>
      </c>
      <c r="S16" s="706">
        <f>F16</f>
        <v>100</v>
      </c>
      <c r="T16" s="705" t="s">
        <v>14</v>
      </c>
      <c r="U16" s="706">
        <f>H16</f>
        <v>100</v>
      </c>
      <c r="V16" s="705" t="s">
        <v>14</v>
      </c>
      <c r="W16" s="706">
        <f>J16</f>
        <v>100</v>
      </c>
      <c r="X16" s="1355"/>
      <c r="Y16" s="39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902"/>
      <c r="Q17" s="1352"/>
      <c r="R17" s="705"/>
      <c r="S17" s="706"/>
      <c r="T17" s="705"/>
      <c r="U17" s="706"/>
      <c r="V17" s="705"/>
      <c r="W17" s="706"/>
      <c r="X17" s="1355"/>
      <c r="Y17" s="390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902"/>
      <c r="Q18" s="1352" t="str">
        <f>B18</f>
        <v>基础设施水平</v>
      </c>
      <c r="R18" s="705" t="s">
        <v>14</v>
      </c>
      <c r="S18" s="706">
        <f>F18</f>
        <v>100</v>
      </c>
      <c r="T18" s="705" t="s">
        <v>14</v>
      </c>
      <c r="U18" s="706">
        <f>H18</f>
        <v>100</v>
      </c>
      <c r="V18" s="705" t="s">
        <v>14</v>
      </c>
      <c r="W18" s="706">
        <f>J18</f>
        <v>100</v>
      </c>
      <c r="X18" s="1355"/>
      <c r="Y18" s="39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902"/>
      <c r="Q19" s="1352"/>
      <c r="R19" s="705"/>
      <c r="S19" s="706"/>
      <c r="T19" s="705"/>
      <c r="U19" s="706"/>
      <c r="V19" s="705"/>
      <c r="W19" s="706"/>
      <c r="X19" s="1355"/>
      <c r="Y19" s="390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902"/>
      <c r="Q20" s="1352" t="str">
        <f>B20</f>
        <v>自然及人文环境</v>
      </c>
      <c r="R20" s="705" t="s">
        <v>14</v>
      </c>
      <c r="S20" s="706">
        <f>F20</f>
        <v>100</v>
      </c>
      <c r="T20" s="705" t="s">
        <v>14</v>
      </c>
      <c r="U20" s="706">
        <f>H20</f>
        <v>100</v>
      </c>
      <c r="V20" s="705" t="s">
        <v>14</v>
      </c>
      <c r="W20" s="706">
        <f>J20</f>
        <v>100</v>
      </c>
      <c r="X20" s="1355"/>
      <c r="Y20" s="39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902"/>
      <c r="Q21" s="1352"/>
      <c r="R21" s="705"/>
      <c r="S21" s="706"/>
      <c r="T21" s="705"/>
      <c r="U21" s="706"/>
      <c r="V21" s="705"/>
      <c r="W21" s="706"/>
      <c r="X21" s="1355"/>
      <c r="Y21" s="39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902"/>
      <c r="Q22" s="1352" t="str">
        <f>B22</f>
        <v>楼层</v>
      </c>
      <c r="R22" s="705" t="s">
        <v>14</v>
      </c>
      <c r="S22" s="706">
        <f>F22</f>
        <v>100</v>
      </c>
      <c r="T22" s="705" t="s">
        <v>14</v>
      </c>
      <c r="U22" s="706">
        <f>H22</f>
        <v>100</v>
      </c>
      <c r="V22" s="705" t="s">
        <v>14</v>
      </c>
      <c r="W22" s="706">
        <f>J22</f>
        <v>100</v>
      </c>
      <c r="X22" s="1355"/>
      <c r="Y22" s="39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902"/>
      <c r="Q23" s="1352">
        <f>B23</f>
        <v>111</v>
      </c>
      <c r="R23" s="705" t="s">
        <v>14</v>
      </c>
      <c r="S23" s="706">
        <f>F23</f>
        <v>100</v>
      </c>
      <c r="T23" s="705" t="s">
        <v>14</v>
      </c>
      <c r="U23" s="706">
        <f>H23</f>
        <v>100</v>
      </c>
      <c r="V23" s="705" t="s">
        <v>14</v>
      </c>
      <c r="W23" s="706">
        <f>J23</f>
        <v>100</v>
      </c>
      <c r="X23" s="1355"/>
      <c r="Y23" s="39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902"/>
      <c r="Q24" s="1352">
        <f t="shared" ref="Q24:Q34" si="11">B24</f>
        <v>111</v>
      </c>
      <c r="R24" s="705" t="s">
        <v>14</v>
      </c>
      <c r="S24" s="706">
        <f>F24</f>
        <v>100</v>
      </c>
      <c r="T24" s="705" t="s">
        <v>14</v>
      </c>
      <c r="U24" s="706">
        <f>H24</f>
        <v>100</v>
      </c>
      <c r="V24" s="705" t="s">
        <v>14</v>
      </c>
      <c r="W24" s="706">
        <f>J24</f>
        <v>100</v>
      </c>
      <c r="X24" s="1355"/>
      <c r="Y24" s="390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902"/>
      <c r="Q25" s="1343">
        <f t="shared" si="11"/>
        <v>111</v>
      </c>
      <c r="R25" s="701" t="s">
        <v>14</v>
      </c>
      <c r="S25" s="702">
        <f>F25</f>
        <v>100</v>
      </c>
      <c r="T25" s="701" t="s">
        <v>14</v>
      </c>
      <c r="U25" s="702">
        <f>H25</f>
        <v>100</v>
      </c>
      <c r="V25" s="701" t="s">
        <v>14</v>
      </c>
      <c r="W25" s="702">
        <f>J25</f>
        <v>100</v>
      </c>
      <c r="X25" s="703"/>
      <c r="Y25" s="390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9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9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906"/>
      <c r="Q27" s="707" t="str">
        <f t="shared" si="11"/>
        <v>成新率</v>
      </c>
      <c r="R27" s="708" t="s">
        <v>14</v>
      </c>
      <c r="S27" s="709" t="e">
        <f t="shared" si="12"/>
        <v>#N/A</v>
      </c>
      <c r="T27" s="708" t="s">
        <v>14</v>
      </c>
      <c r="U27" s="709" t="e">
        <f t="shared" si="13"/>
        <v>#N/A</v>
      </c>
      <c r="V27" s="708" t="s">
        <v>14</v>
      </c>
      <c r="W27" s="709" t="e">
        <f t="shared" si="14"/>
        <v>#N/A</v>
      </c>
      <c r="X27" s="710"/>
      <c r="Y27" s="39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906"/>
      <c r="Q28" s="1352" t="str">
        <f t="shared" si="11"/>
        <v>物业等级</v>
      </c>
      <c r="R28" s="705" t="s">
        <v>14</v>
      </c>
      <c r="S28" s="706">
        <f t="shared" si="12"/>
        <v>100</v>
      </c>
      <c r="T28" s="705" t="s">
        <v>14</v>
      </c>
      <c r="U28" s="706">
        <f t="shared" si="13"/>
        <v>100</v>
      </c>
      <c r="V28" s="705" t="s">
        <v>14</v>
      </c>
      <c r="W28" s="706">
        <f t="shared" si="14"/>
        <v>100</v>
      </c>
      <c r="X28" s="1355"/>
      <c r="Y28" s="39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906"/>
      <c r="Q29" s="1352" t="str">
        <f t="shared" si="11"/>
        <v>有无电梯</v>
      </c>
      <c r="R29" s="705" t="s">
        <v>14</v>
      </c>
      <c r="S29" s="706">
        <f t="shared" si="12"/>
        <v>100</v>
      </c>
      <c r="T29" s="705" t="s">
        <v>14</v>
      </c>
      <c r="U29" s="706">
        <f t="shared" si="13"/>
        <v>100</v>
      </c>
      <c r="V29" s="705" t="s">
        <v>14</v>
      </c>
      <c r="W29" s="706">
        <f t="shared" si="14"/>
        <v>100</v>
      </c>
      <c r="X29" s="1355"/>
      <c r="Y29" s="39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906"/>
      <c r="Q30" s="1352" t="str">
        <f t="shared" si="11"/>
        <v>建筑面积</v>
      </c>
      <c r="R30" s="705" t="s">
        <v>14</v>
      </c>
      <c r="S30" s="706" t="e">
        <f t="shared" si="12"/>
        <v>#N/A</v>
      </c>
      <c r="T30" s="705" t="s">
        <v>14</v>
      </c>
      <c r="U30" s="706" t="e">
        <f t="shared" si="13"/>
        <v>#N/A</v>
      </c>
      <c r="V30" s="705" t="s">
        <v>14</v>
      </c>
      <c r="W30" s="706" t="e">
        <f t="shared" si="14"/>
        <v>#N/A</v>
      </c>
      <c r="X30" s="1355"/>
      <c r="Y30" s="39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906"/>
      <c r="Q31" s="1343" t="str">
        <f t="shared" si="11"/>
        <v>是否封闭</v>
      </c>
      <c r="R31" s="701" t="s">
        <v>14</v>
      </c>
      <c r="S31" s="702">
        <f t="shared" si="12"/>
        <v>100</v>
      </c>
      <c r="T31" s="701" t="s">
        <v>14</v>
      </c>
      <c r="U31" s="702">
        <f t="shared" si="13"/>
        <v>100</v>
      </c>
      <c r="V31" s="701" t="s">
        <v>14</v>
      </c>
      <c r="W31" s="702">
        <f t="shared" si="14"/>
        <v>100</v>
      </c>
      <c r="X31" s="703"/>
      <c r="Y31" s="39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906" t="s">
        <v>1696</v>
      </c>
      <c r="Q32" s="1352">
        <f t="shared" si="11"/>
        <v>111</v>
      </c>
      <c r="R32" s="705" t="s">
        <v>14</v>
      </c>
      <c r="S32" s="706">
        <f t="shared" si="12"/>
        <v>100</v>
      </c>
      <c r="T32" s="705" t="s">
        <v>14</v>
      </c>
      <c r="U32" s="706">
        <f t="shared" si="13"/>
        <v>100</v>
      </c>
      <c r="V32" s="705" t="s">
        <v>14</v>
      </c>
      <c r="W32" s="706">
        <f t="shared" si="14"/>
        <v>100</v>
      </c>
      <c r="X32" s="1355"/>
      <c r="Y32" s="39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906"/>
      <c r="Q33" s="1352">
        <f t="shared" si="11"/>
        <v>111</v>
      </c>
      <c r="R33" s="705" t="s">
        <v>14</v>
      </c>
      <c r="S33" s="706">
        <f t="shared" si="12"/>
        <v>100</v>
      </c>
      <c r="T33" s="705" t="s">
        <v>14</v>
      </c>
      <c r="U33" s="706">
        <f t="shared" si="13"/>
        <v>100</v>
      </c>
      <c r="V33" s="705" t="s">
        <v>14</v>
      </c>
      <c r="W33" s="706">
        <f t="shared" si="14"/>
        <v>100</v>
      </c>
      <c r="X33" s="1355"/>
      <c r="Y33" s="390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906"/>
      <c r="Q34" s="1352">
        <f t="shared" si="11"/>
        <v>111</v>
      </c>
      <c r="R34" s="705" t="s">
        <v>14</v>
      </c>
      <c r="S34" s="706">
        <f t="shared" si="12"/>
        <v>100</v>
      </c>
      <c r="T34" s="705" t="s">
        <v>14</v>
      </c>
      <c r="U34" s="706">
        <f t="shared" si="13"/>
        <v>100</v>
      </c>
      <c r="V34" s="705" t="s">
        <v>14</v>
      </c>
      <c r="W34" s="706">
        <f t="shared" si="14"/>
        <v>100</v>
      </c>
      <c r="X34" s="1355"/>
      <c r="Y34" s="390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899" t="str">
        <f>A35</f>
        <v>成交单价（元/平方米）</v>
      </c>
      <c r="Q35" s="3899"/>
      <c r="R35" s="3900">
        <f>E35</f>
        <v>0</v>
      </c>
      <c r="S35" s="3900"/>
      <c r="T35" s="3900">
        <f>G35</f>
        <v>0</v>
      </c>
      <c r="U35" s="3900"/>
      <c r="V35" s="3900">
        <f>I35</f>
        <v>0</v>
      </c>
      <c r="W35" s="390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899" t="str">
        <f>A36</f>
        <v>比较价值（元/平方米）</v>
      </c>
      <c r="Q36" s="3899"/>
      <c r="R36" s="3900" t="e">
        <f>IF(F1="售价",ROUND(PRODUCT(R35,AA7:AA34),0),ROUND(PRODUCT(R35,AA7:AA34),1))</f>
        <v>#DIV/0!</v>
      </c>
      <c r="S36" s="3900"/>
      <c r="T36" s="3900" t="e">
        <f>IF(F1="售价",ROUND(PRODUCT(T35,AB7:AB34),0),ROUND(PRODUCT(T35,AB7:AB34),1))</f>
        <v>#DIV/0!</v>
      </c>
      <c r="U36" s="3900"/>
      <c r="V36" s="3900" t="e">
        <f>IF(F1="售价",ROUND(PRODUCT(V35,AC7:AC34),0),ROUND(PRODUCT(V35,AC7:AC34),1))</f>
        <v>#DIV/0!</v>
      </c>
      <c r="W36" s="390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896" t="str">
        <f>A37</f>
        <v>估价对象XX用房的比较价值（楼面单价，元/平方米）</v>
      </c>
      <c r="Q37" s="3897"/>
      <c r="R37" s="3932" t="e">
        <f>IF(F1="售价",ROUND(IF(D36="简单平均",AVERAGE(R36:W36),R36*F36+T36*H36+V36*J36),0),ROUND(IF(D36="简单平均",AVERAGE(R36:V36),R36*F36+T36*H36+V36*J36),1))</f>
        <v>#DIV/0!</v>
      </c>
      <c r="S37" s="3932"/>
      <c r="T37" s="3932"/>
      <c r="U37" s="3932"/>
      <c r="V37" s="3932"/>
      <c r="W37" s="39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2006-7</v>
      </c>
      <c r="D46" s="1185">
        <f>EDATE(C46,-1)</f>
        <v>38869</v>
      </c>
      <c r="E46" s="1185">
        <f t="shared" ref="E46:O46" si="16">EDATE(D46,-1)</f>
        <v>38838</v>
      </c>
      <c r="F46" s="1185">
        <f t="shared" si="16"/>
        <v>38808</v>
      </c>
      <c r="G46" s="1185">
        <f t="shared" si="16"/>
        <v>38777</v>
      </c>
      <c r="H46" s="1185">
        <f t="shared" si="16"/>
        <v>38749</v>
      </c>
      <c r="I46" s="1185">
        <f t="shared" si="16"/>
        <v>38718</v>
      </c>
      <c r="J46" s="1185">
        <f t="shared" si="16"/>
        <v>38687</v>
      </c>
      <c r="K46" s="1185">
        <f t="shared" si="16"/>
        <v>38657</v>
      </c>
      <c r="L46" s="1185">
        <f t="shared" si="16"/>
        <v>38626</v>
      </c>
      <c r="M46" s="1185">
        <f t="shared" si="16"/>
        <v>38596</v>
      </c>
      <c r="N46" s="1185">
        <f t="shared" si="16"/>
        <v>38565</v>
      </c>
      <c r="O46" s="1185">
        <f t="shared" si="16"/>
        <v>38534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882" t="s">
        <v>1770</v>
      </c>
      <c r="D4" s="3883"/>
      <c r="E4" s="3884" t="s">
        <v>1771</v>
      </c>
      <c r="F4" s="3885"/>
      <c r="G4" s="3882" t="s">
        <v>1772</v>
      </c>
      <c r="H4" s="3883"/>
      <c r="I4" s="3882" t="s">
        <v>1773</v>
      </c>
      <c r="J4" s="3883"/>
      <c r="K4" s="559" t="s">
        <v>1774</v>
      </c>
      <c r="L4" s="2715"/>
      <c r="M4" s="2716"/>
      <c r="N4" s="2716"/>
      <c r="O4" s="2716"/>
      <c r="P4" s="3886" t="s">
        <v>1775</v>
      </c>
      <c r="Q4" s="3887"/>
      <c r="R4" s="3869" t="s">
        <v>1771</v>
      </c>
      <c r="S4" s="3870"/>
      <c r="T4" s="3869" t="s">
        <v>1772</v>
      </c>
      <c r="U4" s="3870"/>
      <c r="V4" s="3894" t="s">
        <v>1773</v>
      </c>
      <c r="W4" s="3894"/>
      <c r="X4" s="1355"/>
      <c r="Y4" s="3869" t="s">
        <v>1775</v>
      </c>
      <c r="Z4" s="3870"/>
      <c r="AA4" s="3864" t="s">
        <v>1771</v>
      </c>
      <c r="AB4" s="3865" t="s">
        <v>1772</v>
      </c>
      <c r="AC4" s="3864" t="s">
        <v>1773</v>
      </c>
    </row>
    <row r="5" spans="1:30">
      <c r="A5" s="358"/>
      <c r="B5" s="359"/>
      <c r="C5" s="3913" t="s">
        <v>1673</v>
      </c>
      <c r="D5" s="3876"/>
      <c r="E5" s="3911" t="s">
        <v>1674</v>
      </c>
      <c r="F5" s="3912"/>
      <c r="G5" s="3913" t="s">
        <v>1675</v>
      </c>
      <c r="H5" s="3876"/>
      <c r="I5" s="3913" t="s">
        <v>1676</v>
      </c>
      <c r="J5" s="3876"/>
      <c r="K5" s="559"/>
      <c r="L5" s="2715"/>
      <c r="M5" s="2716"/>
      <c r="N5" s="2716"/>
      <c r="O5" s="2716"/>
      <c r="P5" s="3888"/>
      <c r="Q5" s="3889"/>
      <c r="R5" s="3871"/>
      <c r="S5" s="3872"/>
      <c r="T5" s="3871"/>
      <c r="U5" s="3872"/>
      <c r="V5" s="3894"/>
      <c r="W5" s="3894"/>
      <c r="X5" s="1355"/>
      <c r="Y5" s="3871"/>
      <c r="Z5" s="3872"/>
      <c r="AA5" s="3865"/>
      <c r="AB5" s="3865"/>
      <c r="AC5" s="3865"/>
    </row>
    <row r="6" spans="1:30" ht="15" thickBot="1">
      <c r="A6" s="360"/>
      <c r="B6" s="361"/>
      <c r="C6" s="3914" t="s">
        <v>1677</v>
      </c>
      <c r="D6" s="3878"/>
      <c r="E6" s="3915" t="s">
        <v>1677</v>
      </c>
      <c r="F6" s="3880"/>
      <c r="G6" s="3914" t="s">
        <v>1677</v>
      </c>
      <c r="H6" s="3878"/>
      <c r="I6" s="3914" t="s">
        <v>1677</v>
      </c>
      <c r="J6" s="3878"/>
      <c r="K6" s="559" t="s">
        <v>1678</v>
      </c>
      <c r="L6" s="2715"/>
      <c r="M6" s="2716"/>
      <c r="N6" s="2716"/>
      <c r="O6" s="2716"/>
      <c r="P6" s="3890"/>
      <c r="Q6" s="3891"/>
      <c r="R6" s="3871"/>
      <c r="S6" s="3872"/>
      <c r="T6" s="3892"/>
      <c r="U6" s="3893"/>
      <c r="V6" s="3894"/>
      <c r="W6" s="3894"/>
      <c r="X6" s="1355"/>
      <c r="Y6" s="3892"/>
      <c r="Z6" s="3893"/>
      <c r="AA6" s="3866"/>
      <c r="AB6" s="3866"/>
      <c r="AC6" s="3866"/>
    </row>
    <row r="7" spans="1:30" s="108" customFormat="1" ht="15" thickBot="1">
      <c r="A7" s="362" t="s">
        <v>1679</v>
      </c>
      <c r="B7" s="363"/>
      <c r="C7" s="364">
        <f>'数据-取费表'!B2</f>
        <v>38916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67" t="s">
        <v>1680</v>
      </c>
      <c r="Q7" s="3895"/>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67" t="s">
        <v>1683</v>
      </c>
      <c r="Q8" s="3868"/>
      <c r="R8" s="701" t="s">
        <v>14</v>
      </c>
      <c r="S8" s="702">
        <f t="shared" si="0"/>
        <v>0</v>
      </c>
      <c r="T8" s="701" t="s">
        <v>14</v>
      </c>
      <c r="U8" s="702">
        <f t="shared" si="1"/>
        <v>0</v>
      </c>
      <c r="V8" s="701" t="s">
        <v>14</v>
      </c>
      <c r="W8" s="702">
        <f t="shared" si="2"/>
        <v>0</v>
      </c>
      <c r="X8" s="703"/>
      <c r="Y8" s="3867" t="s">
        <v>1683</v>
      </c>
      <c r="Z8" s="386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99"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99"/>
      <c r="Q10" s="1343" t="str">
        <f t="shared" si="6"/>
        <v>土地使用年限（年）</v>
      </c>
      <c r="R10" s="701" t="s">
        <v>14</v>
      </c>
      <c r="S10" s="702" t="e">
        <f t="shared" si="0"/>
        <v>#DIV/0!</v>
      </c>
      <c r="T10" s="701" t="s">
        <v>14</v>
      </c>
      <c r="U10" s="702" t="e">
        <f t="shared" si="1"/>
        <v>#DIV/0!</v>
      </c>
      <c r="V10" s="701" t="s">
        <v>14</v>
      </c>
      <c r="W10" s="702" t="e">
        <f t="shared" si="2"/>
        <v>#DIV/0!</v>
      </c>
      <c r="X10" s="703"/>
      <c r="Y10" s="381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99"/>
      <c r="Q11" s="1343" t="str">
        <f t="shared" si="6"/>
        <v>容积率</v>
      </c>
      <c r="R11" s="701" t="s">
        <v>14</v>
      </c>
      <c r="S11" s="702" t="e">
        <f t="shared" si="0"/>
        <v>#N/A</v>
      </c>
      <c r="T11" s="701" t="s">
        <v>14</v>
      </c>
      <c r="U11" s="702" t="e">
        <f t="shared" si="1"/>
        <v>#N/A</v>
      </c>
      <c r="V11" s="701" t="s">
        <v>14</v>
      </c>
      <c r="W11" s="702" t="e">
        <f t="shared" si="2"/>
        <v>#N/A</v>
      </c>
      <c r="X11" s="703"/>
      <c r="Y11" s="381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99"/>
      <c r="Q12" s="1343" t="str">
        <f t="shared" si="6"/>
        <v>配建</v>
      </c>
      <c r="R12" s="701" t="s">
        <v>14</v>
      </c>
      <c r="S12" s="702">
        <f t="shared" si="0"/>
        <v>100</v>
      </c>
      <c r="T12" s="701" t="s">
        <v>14</v>
      </c>
      <c r="U12" s="702">
        <f t="shared" si="1"/>
        <v>100</v>
      </c>
      <c r="V12" s="701" t="s">
        <v>14</v>
      </c>
      <c r="W12" s="702">
        <f t="shared" si="2"/>
        <v>100</v>
      </c>
      <c r="X12" s="703"/>
      <c r="Y12" s="38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99"/>
      <c r="Q13" s="1343">
        <f t="shared" si="6"/>
        <v>111</v>
      </c>
      <c r="R13" s="701" t="s">
        <v>14</v>
      </c>
      <c r="S13" s="702">
        <f t="shared" si="0"/>
        <v>100</v>
      </c>
      <c r="T13" s="701" t="s">
        <v>14</v>
      </c>
      <c r="U13" s="702">
        <f t="shared" si="1"/>
        <v>100</v>
      </c>
      <c r="V13" s="701" t="s">
        <v>14</v>
      </c>
      <c r="W13" s="702">
        <f t="shared" si="2"/>
        <v>100</v>
      </c>
      <c r="X13" s="703"/>
      <c r="Y13" s="381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99"/>
      <c r="Q14" s="1343">
        <f t="shared" si="6"/>
        <v>111</v>
      </c>
      <c r="R14" s="701" t="s">
        <v>14</v>
      </c>
      <c r="S14" s="702">
        <f t="shared" si="0"/>
        <v>100</v>
      </c>
      <c r="T14" s="701" t="s">
        <v>14</v>
      </c>
      <c r="U14" s="702">
        <f t="shared" si="1"/>
        <v>100</v>
      </c>
      <c r="V14" s="701" t="s">
        <v>14</v>
      </c>
      <c r="W14" s="702">
        <f t="shared" si="2"/>
        <v>100</v>
      </c>
      <c r="X14" s="703"/>
      <c r="Y14" s="381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901" t="s">
        <v>1691</v>
      </c>
      <c r="Q15" s="1352" t="str">
        <f t="shared" si="6"/>
        <v>居住社区成熟度</v>
      </c>
      <c r="R15" s="705" t="s">
        <v>14</v>
      </c>
      <c r="S15" s="706">
        <f t="shared" si="0"/>
        <v>100</v>
      </c>
      <c r="T15" s="705" t="s">
        <v>14</v>
      </c>
      <c r="U15" s="706">
        <f t="shared" si="1"/>
        <v>100</v>
      </c>
      <c r="V15" s="705" t="s">
        <v>14</v>
      </c>
      <c r="W15" s="706">
        <f t="shared" si="2"/>
        <v>100</v>
      </c>
      <c r="X15" s="1355"/>
      <c r="Y15" s="39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902"/>
      <c r="Q16" s="1352"/>
      <c r="R16" s="705"/>
      <c r="S16" s="706"/>
      <c r="T16" s="705"/>
      <c r="U16" s="706"/>
      <c r="V16" s="705"/>
      <c r="W16" s="706"/>
      <c r="X16" s="1355"/>
      <c r="Y16" s="390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902"/>
      <c r="Q17" s="1352" t="str">
        <f>B17</f>
        <v>商业繁华度</v>
      </c>
      <c r="R17" s="705" t="s">
        <v>14</v>
      </c>
      <c r="S17" s="706">
        <f>F17</f>
        <v>100</v>
      </c>
      <c r="T17" s="705" t="s">
        <v>14</v>
      </c>
      <c r="U17" s="706">
        <f>H17</f>
        <v>100</v>
      </c>
      <c r="V17" s="705" t="s">
        <v>14</v>
      </c>
      <c r="W17" s="706">
        <f>J17</f>
        <v>100</v>
      </c>
      <c r="X17" s="1355"/>
      <c r="Y17" s="39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902"/>
      <c r="Q18" s="1352"/>
      <c r="R18" s="705"/>
      <c r="S18" s="706"/>
      <c r="T18" s="705"/>
      <c r="U18" s="706"/>
      <c r="V18" s="705"/>
      <c r="W18" s="706"/>
      <c r="X18" s="1355"/>
      <c r="Y18" s="390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902"/>
      <c r="Q19" s="1352" t="str">
        <f>B19</f>
        <v>办公集聚程度</v>
      </c>
      <c r="R19" s="705" t="s">
        <v>14</v>
      </c>
      <c r="S19" s="706">
        <f>F19</f>
        <v>100</v>
      </c>
      <c r="T19" s="705" t="s">
        <v>14</v>
      </c>
      <c r="U19" s="706">
        <f>H19</f>
        <v>100</v>
      </c>
      <c r="V19" s="705" t="s">
        <v>14</v>
      </c>
      <c r="W19" s="706">
        <f>J19</f>
        <v>100</v>
      </c>
      <c r="X19" s="1355"/>
      <c r="Y19" s="39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902"/>
      <c r="Q20" s="1352"/>
      <c r="R20" s="705"/>
      <c r="S20" s="706"/>
      <c r="T20" s="705"/>
      <c r="U20" s="706"/>
      <c r="V20" s="705"/>
      <c r="W20" s="706"/>
      <c r="X20" s="1355"/>
      <c r="Y20" s="390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902"/>
      <c r="Q21" s="1352" t="str">
        <f>B21</f>
        <v>交通便捷度</v>
      </c>
      <c r="R21" s="705" t="s">
        <v>14</v>
      </c>
      <c r="S21" s="706">
        <f>F21</f>
        <v>100</v>
      </c>
      <c r="T21" s="705" t="s">
        <v>14</v>
      </c>
      <c r="U21" s="706">
        <f>H21</f>
        <v>100</v>
      </c>
      <c r="V21" s="705" t="s">
        <v>14</v>
      </c>
      <c r="W21" s="706">
        <f>J21</f>
        <v>100</v>
      </c>
      <c r="X21" s="1355"/>
      <c r="Y21" s="39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902"/>
      <c r="Q22" s="1352"/>
      <c r="R22" s="705"/>
      <c r="S22" s="706"/>
      <c r="T22" s="705"/>
      <c r="U22" s="706"/>
      <c r="V22" s="705"/>
      <c r="W22" s="706"/>
      <c r="X22" s="1355"/>
      <c r="Y22" s="390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902"/>
      <c r="Q23" s="1352" t="str">
        <f t="shared" ref="Q23:Q37" si="8">B23</f>
        <v>区域土地利用方向</v>
      </c>
      <c r="R23" s="705" t="s">
        <v>14</v>
      </c>
      <c r="S23" s="706">
        <f>F23</f>
        <v>100</v>
      </c>
      <c r="T23" s="705" t="s">
        <v>14</v>
      </c>
      <c r="U23" s="706">
        <f>H23</f>
        <v>100</v>
      </c>
      <c r="V23" s="705" t="s">
        <v>14</v>
      </c>
      <c r="W23" s="706">
        <f>J23</f>
        <v>100</v>
      </c>
      <c r="X23" s="1355"/>
      <c r="Y23" s="39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902"/>
      <c r="Q24" s="1352"/>
      <c r="R24" s="705"/>
      <c r="S24" s="706"/>
      <c r="T24" s="705"/>
      <c r="U24" s="706"/>
      <c r="V24" s="705"/>
      <c r="W24" s="706"/>
      <c r="X24" s="1355"/>
      <c r="Y24" s="390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902"/>
      <c r="Q25" s="1352" t="str">
        <f t="shared" si="8"/>
        <v>自然及人文环境状况</v>
      </c>
      <c r="R25" s="705" t="s">
        <v>14</v>
      </c>
      <c r="S25" s="706">
        <f>F25</f>
        <v>100</v>
      </c>
      <c r="T25" s="705" t="s">
        <v>14</v>
      </c>
      <c r="U25" s="706">
        <f>H25</f>
        <v>100</v>
      </c>
      <c r="V25" s="705" t="s">
        <v>14</v>
      </c>
      <c r="W25" s="706">
        <f>J25</f>
        <v>100</v>
      </c>
      <c r="X25" s="1355"/>
      <c r="Y25" s="39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902"/>
      <c r="Q26" s="1352"/>
      <c r="R26" s="705"/>
      <c r="S26" s="706"/>
      <c r="T26" s="705"/>
      <c r="U26" s="706"/>
      <c r="V26" s="705"/>
      <c r="W26" s="706"/>
      <c r="X26" s="1355"/>
      <c r="Y26" s="390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902"/>
      <c r="Q27" s="1343" t="str">
        <f t="shared" si="8"/>
        <v>公共配套设施</v>
      </c>
      <c r="R27" s="701" t="s">
        <v>14</v>
      </c>
      <c r="S27" s="702">
        <f>F27</f>
        <v>100</v>
      </c>
      <c r="T27" s="701" t="s">
        <v>14</v>
      </c>
      <c r="U27" s="702">
        <f>H27</f>
        <v>100</v>
      </c>
      <c r="V27" s="701" t="s">
        <v>14</v>
      </c>
      <c r="W27" s="702">
        <f>J27</f>
        <v>100</v>
      </c>
      <c r="X27" s="703"/>
      <c r="Y27" s="39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902"/>
      <c r="Q28" s="1343"/>
      <c r="R28" s="701"/>
      <c r="S28" s="702"/>
      <c r="T28" s="701"/>
      <c r="U28" s="702"/>
      <c r="V28" s="701"/>
      <c r="W28" s="702"/>
      <c r="X28" s="703"/>
      <c r="Y28" s="390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902"/>
      <c r="Q29" s="1343" t="str">
        <f t="shared" ref="Q29" si="9">B29</f>
        <v>基础设施水平</v>
      </c>
      <c r="R29" s="701" t="s">
        <v>14</v>
      </c>
      <c r="S29" s="702">
        <f>F29</f>
        <v>100</v>
      </c>
      <c r="T29" s="701" t="s">
        <v>14</v>
      </c>
      <c r="U29" s="702">
        <f>H29</f>
        <v>100</v>
      </c>
      <c r="V29" s="701" t="s">
        <v>14</v>
      </c>
      <c r="W29" s="702">
        <f>J29</f>
        <v>100</v>
      </c>
      <c r="X29" s="703"/>
      <c r="Y29" s="39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902"/>
      <c r="Q30" s="1343"/>
      <c r="R30" s="701"/>
      <c r="S30" s="702"/>
      <c r="T30" s="701"/>
      <c r="U30" s="702"/>
      <c r="V30" s="701"/>
      <c r="W30" s="702"/>
      <c r="X30" s="703"/>
      <c r="Y30" s="39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9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90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902"/>
      <c r="Q32" s="1352" t="str">
        <f t="shared" si="8"/>
        <v>毗邻道路的类型与等级</v>
      </c>
      <c r="R32" s="705" t="s">
        <v>14</v>
      </c>
      <c r="S32" s="706">
        <f t="shared" si="10"/>
        <v>100</v>
      </c>
      <c r="T32" s="705" t="s">
        <v>14</v>
      </c>
      <c r="U32" s="706">
        <f t="shared" si="11"/>
        <v>100</v>
      </c>
      <c r="V32" s="705" t="s">
        <v>14</v>
      </c>
      <c r="W32" s="706">
        <f t="shared" si="12"/>
        <v>100</v>
      </c>
      <c r="X32" s="1355"/>
      <c r="Y32" s="39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902"/>
      <c r="Q33" s="1352"/>
      <c r="R33" s="705"/>
      <c r="S33" s="706"/>
      <c r="T33" s="705"/>
      <c r="U33" s="706"/>
      <c r="V33" s="705"/>
      <c r="W33" s="706"/>
      <c r="X33" s="1355"/>
      <c r="Y33" s="39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902"/>
      <c r="Q34" s="1352" t="str">
        <f t="shared" si="8"/>
        <v>土地级别</v>
      </c>
      <c r="R34" s="705" t="s">
        <v>14</v>
      </c>
      <c r="S34" s="706">
        <f t="shared" si="10"/>
        <v>100</v>
      </c>
      <c r="T34" s="705" t="s">
        <v>14</v>
      </c>
      <c r="U34" s="706">
        <f t="shared" si="11"/>
        <v>100</v>
      </c>
      <c r="V34" s="705" t="s">
        <v>14</v>
      </c>
      <c r="W34" s="706">
        <f t="shared" si="12"/>
        <v>100</v>
      </c>
      <c r="X34" s="1355"/>
      <c r="Y34" s="39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902"/>
      <c r="Q35" s="1352">
        <f t="shared" si="8"/>
        <v>111</v>
      </c>
      <c r="R35" s="705" t="s">
        <v>14</v>
      </c>
      <c r="S35" s="706">
        <f t="shared" si="10"/>
        <v>100</v>
      </c>
      <c r="T35" s="705" t="s">
        <v>14</v>
      </c>
      <c r="U35" s="706">
        <f t="shared" si="11"/>
        <v>100</v>
      </c>
      <c r="V35" s="705" t="s">
        <v>14</v>
      </c>
      <c r="W35" s="706">
        <f t="shared" si="12"/>
        <v>100</v>
      </c>
      <c r="X35" s="1355"/>
      <c r="Y35" s="39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931" t="s">
        <v>1696</v>
      </c>
      <c r="Q36" s="1352">
        <f t="shared" si="8"/>
        <v>111</v>
      </c>
      <c r="R36" s="705" t="s">
        <v>14</v>
      </c>
      <c r="S36" s="706">
        <f t="shared" si="10"/>
        <v>100</v>
      </c>
      <c r="T36" s="705" t="s">
        <v>14</v>
      </c>
      <c r="U36" s="706">
        <f t="shared" si="11"/>
        <v>100</v>
      </c>
      <c r="V36" s="705" t="s">
        <v>14</v>
      </c>
      <c r="W36" s="706">
        <f t="shared" si="12"/>
        <v>100</v>
      </c>
      <c r="X36" s="1355"/>
      <c r="Y36" s="390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906"/>
      <c r="Q37" s="1352">
        <f t="shared" si="8"/>
        <v>111</v>
      </c>
      <c r="R37" s="708" t="s">
        <v>14</v>
      </c>
      <c r="S37" s="709">
        <f t="shared" si="10"/>
        <v>100</v>
      </c>
      <c r="T37" s="708" t="s">
        <v>14</v>
      </c>
      <c r="U37" s="709">
        <f t="shared" si="11"/>
        <v>100</v>
      </c>
      <c r="V37" s="708" t="s">
        <v>14</v>
      </c>
      <c r="W37" s="709">
        <f t="shared" si="12"/>
        <v>100</v>
      </c>
      <c r="X37" s="710"/>
      <c r="Y37" s="390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906"/>
      <c r="Q38" s="1352" t="str">
        <f>B38</f>
        <v>宗地面积</v>
      </c>
      <c r="R38" s="705" t="s">
        <v>14</v>
      </c>
      <c r="S38" s="706" t="e">
        <f t="shared" si="10"/>
        <v>#N/A</v>
      </c>
      <c r="T38" s="705" t="s">
        <v>14</v>
      </c>
      <c r="U38" s="706" t="e">
        <f t="shared" si="11"/>
        <v>#N/A</v>
      </c>
      <c r="V38" s="705" t="s">
        <v>14</v>
      </c>
      <c r="W38" s="706" t="e">
        <f t="shared" si="12"/>
        <v>#N/A</v>
      </c>
      <c r="X38" s="1355"/>
      <c r="Y38" s="39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906"/>
      <c r="Q39" s="1352" t="str">
        <f t="shared" ref="Q39:Q45" si="14">B39</f>
        <v>宗地形状</v>
      </c>
      <c r="R39" s="705" t="s">
        <v>14</v>
      </c>
      <c r="S39" s="706">
        <f t="shared" si="10"/>
        <v>100</v>
      </c>
      <c r="T39" s="705" t="s">
        <v>14</v>
      </c>
      <c r="U39" s="706">
        <f t="shared" si="11"/>
        <v>100</v>
      </c>
      <c r="V39" s="705" t="s">
        <v>14</v>
      </c>
      <c r="W39" s="706">
        <f t="shared" si="12"/>
        <v>100</v>
      </c>
      <c r="X39" s="1355"/>
      <c r="Y39" s="39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906"/>
      <c r="Q40" s="1352" t="str">
        <f t="shared" si="14"/>
        <v>临街宽度及深度</v>
      </c>
      <c r="R40" s="705" t="s">
        <v>14</v>
      </c>
      <c r="S40" s="706">
        <f t="shared" si="10"/>
        <v>100</v>
      </c>
      <c r="T40" s="705" t="s">
        <v>14</v>
      </c>
      <c r="U40" s="706">
        <f t="shared" si="11"/>
        <v>100</v>
      </c>
      <c r="V40" s="705" t="s">
        <v>14</v>
      </c>
      <c r="W40" s="706">
        <f t="shared" si="12"/>
        <v>100</v>
      </c>
      <c r="X40" s="1355"/>
      <c r="Y40" s="39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906"/>
      <c r="Q41" s="1352" t="str">
        <f t="shared" si="14"/>
        <v>宗地开发程度</v>
      </c>
      <c r="R41" s="701" t="s">
        <v>14</v>
      </c>
      <c r="S41" s="702">
        <f t="shared" si="10"/>
        <v>100</v>
      </c>
      <c r="T41" s="701" t="s">
        <v>14</v>
      </c>
      <c r="U41" s="702">
        <f t="shared" si="11"/>
        <v>100</v>
      </c>
      <c r="V41" s="701" t="s">
        <v>14</v>
      </c>
      <c r="W41" s="702">
        <f t="shared" si="12"/>
        <v>100</v>
      </c>
      <c r="X41" s="703"/>
      <c r="Y41" s="39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906" t="s">
        <v>1696</v>
      </c>
      <c r="Q42" s="1352" t="str">
        <f t="shared" si="14"/>
        <v>工程地质条件</v>
      </c>
      <c r="R42" s="705" t="s">
        <v>14</v>
      </c>
      <c r="S42" s="706">
        <f t="shared" si="10"/>
        <v>100</v>
      </c>
      <c r="T42" s="705" t="s">
        <v>14</v>
      </c>
      <c r="U42" s="706">
        <f t="shared" si="11"/>
        <v>100</v>
      </c>
      <c r="V42" s="705" t="s">
        <v>14</v>
      </c>
      <c r="W42" s="706">
        <f t="shared" si="12"/>
        <v>100</v>
      </c>
      <c r="X42" s="1355"/>
      <c r="Y42" s="39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906"/>
      <c r="Q43" s="1352">
        <f t="shared" si="14"/>
        <v>111</v>
      </c>
      <c r="R43" s="705" t="s">
        <v>14</v>
      </c>
      <c r="S43" s="706">
        <f t="shared" si="10"/>
        <v>100</v>
      </c>
      <c r="T43" s="705" t="s">
        <v>14</v>
      </c>
      <c r="U43" s="706">
        <f t="shared" si="11"/>
        <v>100</v>
      </c>
      <c r="V43" s="705" t="s">
        <v>14</v>
      </c>
      <c r="W43" s="706">
        <f t="shared" si="12"/>
        <v>100</v>
      </c>
      <c r="X43" s="1355"/>
      <c r="Y43" s="39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906"/>
      <c r="Q44" s="1352">
        <f t="shared" si="14"/>
        <v>111</v>
      </c>
      <c r="R44" s="705" t="s">
        <v>14</v>
      </c>
      <c r="S44" s="706">
        <f t="shared" si="10"/>
        <v>100</v>
      </c>
      <c r="T44" s="705" t="s">
        <v>14</v>
      </c>
      <c r="U44" s="706">
        <f t="shared" si="11"/>
        <v>100</v>
      </c>
      <c r="V44" s="705" t="s">
        <v>14</v>
      </c>
      <c r="W44" s="706">
        <f t="shared" si="12"/>
        <v>100</v>
      </c>
      <c r="X44" s="1355"/>
      <c r="Y44" s="390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906"/>
      <c r="Q45" s="1352">
        <f t="shared" si="14"/>
        <v>111</v>
      </c>
      <c r="R45" s="708" t="s">
        <v>14</v>
      </c>
      <c r="S45" s="709">
        <f t="shared" si="10"/>
        <v>100</v>
      </c>
      <c r="T45" s="708" t="s">
        <v>14</v>
      </c>
      <c r="U45" s="709">
        <f t="shared" si="11"/>
        <v>100</v>
      </c>
      <c r="V45" s="708" t="s">
        <v>14</v>
      </c>
      <c r="W45" s="709">
        <f t="shared" si="12"/>
        <v>100</v>
      </c>
      <c r="X45" s="710"/>
      <c r="Y45" s="390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899" t="str">
        <f>A46</f>
        <v>成交单价</v>
      </c>
      <c r="Q46" s="3899"/>
      <c r="R46" s="3894">
        <f>E46</f>
        <v>0</v>
      </c>
      <c r="S46" s="3894"/>
      <c r="T46" s="3894">
        <f>G46</f>
        <v>0</v>
      </c>
      <c r="U46" s="3894"/>
      <c r="V46" s="3894">
        <f>I46</f>
        <v>0</v>
      </c>
      <c r="W46" s="389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899" t="str">
        <f>A47</f>
        <v>比较价值（元/平方米）</v>
      </c>
      <c r="Q47" s="3899"/>
      <c r="R47" s="3933" t="e">
        <f>ROUND(PRODUCT(R46,AA7:AA45),0)</f>
        <v>#DIV/0!</v>
      </c>
      <c r="S47" s="3933"/>
      <c r="T47" s="3933" t="e">
        <f>ROUND(PRODUCT(T46,AB7:AB45),0)</f>
        <v>#DIV/0!</v>
      </c>
      <c r="U47" s="3933"/>
      <c r="V47" s="3933" t="e">
        <f>ROUND(PRODUCT(V46,AC7:AC45),0)</f>
        <v>#DIV/0!</v>
      </c>
      <c r="W47" s="393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896" t="str">
        <f>A48</f>
        <v>估价对象XX用房的比较价值（楼面单价，元/平方米）</v>
      </c>
      <c r="Q48" s="3897"/>
      <c r="R48" s="3934" t="e">
        <f>ROUND(IF(D47="简单平均",AVERAGE(R47:W47),R47*F47+T47*H47+V47*J47),0)</f>
        <v>#DIV/0!</v>
      </c>
      <c r="S48" s="3934"/>
      <c r="T48" s="3934"/>
      <c r="U48" s="3934"/>
      <c r="V48" s="3934"/>
      <c r="W48" s="39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882" t="s">
        <v>1887</v>
      </c>
      <c r="H55" s="393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88.22</v>
      </c>
      <c r="F56" s="886" t="e">
        <f t="shared" ref="F56:F64" si="15">ROUND(B56*E56/10000,0)</f>
        <v>#DIV/0!</v>
      </c>
      <c r="G56" s="3881"/>
      <c r="H56" s="389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88.22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2006-7-1</v>
      </c>
      <c r="D67" s="692">
        <f>EDATE(C67,-3)</f>
        <v>38808</v>
      </c>
      <c r="E67" s="692">
        <f>EDATE(D67,-3)</f>
        <v>38718</v>
      </c>
      <c r="F67" s="692">
        <f t="shared" ref="F67:O67" si="18">EDATE(E67,-3)</f>
        <v>38626</v>
      </c>
      <c r="G67" s="692">
        <f t="shared" si="18"/>
        <v>38534</v>
      </c>
      <c r="H67" s="692">
        <f t="shared" si="18"/>
        <v>38443</v>
      </c>
      <c r="I67" s="692">
        <f t="shared" si="18"/>
        <v>38353</v>
      </c>
      <c r="J67" s="692">
        <f t="shared" si="18"/>
        <v>38261</v>
      </c>
      <c r="K67" s="692">
        <f t="shared" si="18"/>
        <v>38169</v>
      </c>
      <c r="L67" s="692">
        <f t="shared" si="18"/>
        <v>38078</v>
      </c>
      <c r="M67" s="692">
        <f t="shared" si="18"/>
        <v>37987</v>
      </c>
      <c r="N67" s="692">
        <f t="shared" si="18"/>
        <v>37895</v>
      </c>
      <c r="O67" s="692">
        <f t="shared" si="18"/>
        <v>37803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2006-3</v>
      </c>
      <c r="D69" s="1182" t="str">
        <f>YEAR(D67)&amp;"-"&amp;ROUNDUP(MONTH(D67)/3,0)</f>
        <v>2006-2</v>
      </c>
      <c r="E69" s="1182" t="str">
        <f t="shared" ref="E69:O69" si="19">YEAR(E67)&amp;"-"&amp;ROUNDUP(MONTH(E67)/3,0)</f>
        <v>2006-1</v>
      </c>
      <c r="F69" s="1182" t="str">
        <f t="shared" si="19"/>
        <v>2005-4</v>
      </c>
      <c r="G69" s="1182" t="str">
        <f t="shared" si="19"/>
        <v>2005-3</v>
      </c>
      <c r="H69" s="1182" t="str">
        <f t="shared" si="19"/>
        <v>2005-2</v>
      </c>
      <c r="I69" s="1182" t="str">
        <f t="shared" si="19"/>
        <v>2005-1</v>
      </c>
      <c r="J69" s="1182" t="str">
        <f t="shared" si="19"/>
        <v>2004-4</v>
      </c>
      <c r="K69" s="1182" t="str">
        <f t="shared" si="19"/>
        <v>2004-3</v>
      </c>
      <c r="L69" s="1182" t="str">
        <f t="shared" si="19"/>
        <v>2004-2</v>
      </c>
      <c r="M69" s="1182" t="str">
        <f t="shared" si="19"/>
        <v>2004-1</v>
      </c>
      <c r="N69" s="1182" t="str">
        <f t="shared" si="19"/>
        <v>2003-4</v>
      </c>
      <c r="O69" s="1182" t="str">
        <f t="shared" si="19"/>
        <v>2003-3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882" t="s">
        <v>1770</v>
      </c>
      <c r="D4" s="3883"/>
      <c r="E4" s="3884" t="s">
        <v>1771</v>
      </c>
      <c r="F4" s="3885"/>
      <c r="G4" s="3882" t="s">
        <v>1772</v>
      </c>
      <c r="H4" s="3883"/>
      <c r="I4" s="3882" t="s">
        <v>1773</v>
      </c>
      <c r="J4" s="3883"/>
      <c r="K4" s="559" t="s">
        <v>1774</v>
      </c>
      <c r="L4" s="2715"/>
      <c r="M4" s="2716"/>
      <c r="N4" s="2716"/>
      <c r="O4" s="2716"/>
      <c r="P4" s="3886" t="s">
        <v>1775</v>
      </c>
      <c r="Q4" s="3887"/>
      <c r="R4" s="3869" t="s">
        <v>1771</v>
      </c>
      <c r="S4" s="3870"/>
      <c r="T4" s="3869" t="s">
        <v>1772</v>
      </c>
      <c r="U4" s="3870"/>
      <c r="V4" s="3894" t="s">
        <v>1773</v>
      </c>
      <c r="W4" s="3894"/>
      <c r="X4" s="1355"/>
      <c r="Y4" s="3869" t="s">
        <v>1775</v>
      </c>
      <c r="Z4" s="3870"/>
      <c r="AA4" s="3864" t="s">
        <v>1771</v>
      </c>
      <c r="AB4" s="3865" t="s">
        <v>1772</v>
      </c>
      <c r="AC4" s="3864" t="s">
        <v>1773</v>
      </c>
    </row>
    <row r="5" spans="1:29">
      <c r="A5" s="358"/>
      <c r="B5" s="359"/>
      <c r="C5" s="3913" t="s">
        <v>1673</v>
      </c>
      <c r="D5" s="3876"/>
      <c r="E5" s="3911" t="s">
        <v>1674</v>
      </c>
      <c r="F5" s="3912"/>
      <c r="G5" s="3913" t="s">
        <v>1675</v>
      </c>
      <c r="H5" s="3876"/>
      <c r="I5" s="3913" t="s">
        <v>1676</v>
      </c>
      <c r="J5" s="3876"/>
      <c r="K5" s="559"/>
      <c r="L5" s="2715"/>
      <c r="M5" s="2716"/>
      <c r="N5" s="2716"/>
      <c r="O5" s="2716"/>
      <c r="P5" s="3888"/>
      <c r="Q5" s="3889"/>
      <c r="R5" s="3871"/>
      <c r="S5" s="3872"/>
      <c r="T5" s="3871"/>
      <c r="U5" s="3872"/>
      <c r="V5" s="3894"/>
      <c r="W5" s="3894"/>
      <c r="X5" s="1355"/>
      <c r="Y5" s="3871"/>
      <c r="Z5" s="3872"/>
      <c r="AA5" s="3865"/>
      <c r="AB5" s="3865"/>
      <c r="AC5" s="3865"/>
    </row>
    <row r="6" spans="1:29" ht="15" thickBot="1">
      <c r="A6" s="360"/>
      <c r="B6" s="361"/>
      <c r="C6" s="3936" t="s">
        <v>1919</v>
      </c>
      <c r="D6" s="3937"/>
      <c r="E6" s="3938" t="s">
        <v>1919</v>
      </c>
      <c r="F6" s="3939"/>
      <c r="G6" s="3936" t="s">
        <v>1919</v>
      </c>
      <c r="H6" s="3937"/>
      <c r="I6" s="3936" t="s">
        <v>1919</v>
      </c>
      <c r="J6" s="3937"/>
      <c r="K6" s="559" t="s">
        <v>1678</v>
      </c>
      <c r="L6" s="2715"/>
      <c r="M6" s="2716"/>
      <c r="N6" s="2716"/>
      <c r="O6" s="2716"/>
      <c r="P6" s="3890"/>
      <c r="Q6" s="3891"/>
      <c r="R6" s="3871"/>
      <c r="S6" s="3872"/>
      <c r="T6" s="3892"/>
      <c r="U6" s="3893"/>
      <c r="V6" s="3894"/>
      <c r="W6" s="3894"/>
      <c r="X6" s="1355"/>
      <c r="Y6" s="3892"/>
      <c r="Z6" s="3893"/>
      <c r="AA6" s="3866"/>
      <c r="AB6" s="3866"/>
      <c r="AC6" s="3866"/>
    </row>
    <row r="7" spans="1:29" s="108" customFormat="1" ht="15" thickBot="1">
      <c r="A7" s="362" t="s">
        <v>1679</v>
      </c>
      <c r="B7" s="363"/>
      <c r="C7" s="364">
        <f>'数据-取费表'!B2</f>
        <v>38916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67" t="s">
        <v>1680</v>
      </c>
      <c r="Q7" s="3895"/>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67" t="s">
        <v>1683</v>
      </c>
      <c r="Q8" s="3868"/>
      <c r="R8" s="701" t="s">
        <v>14</v>
      </c>
      <c r="S8" s="702">
        <f t="shared" si="0"/>
        <v>0</v>
      </c>
      <c r="T8" s="701" t="s">
        <v>14</v>
      </c>
      <c r="U8" s="702">
        <f t="shared" si="1"/>
        <v>0</v>
      </c>
      <c r="V8" s="701" t="s">
        <v>14</v>
      </c>
      <c r="W8" s="702">
        <f t="shared" si="2"/>
        <v>0</v>
      </c>
      <c r="X8" s="703"/>
      <c r="Y8" s="3867" t="s">
        <v>1683</v>
      </c>
      <c r="Z8" s="386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99"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99"/>
      <c r="Q10" s="1343" t="str">
        <f t="shared" si="6"/>
        <v>土地使用年限（年）</v>
      </c>
      <c r="R10" s="701" t="s">
        <v>14</v>
      </c>
      <c r="S10" s="702" t="e">
        <f t="shared" si="0"/>
        <v>#DIV/0!</v>
      </c>
      <c r="T10" s="701" t="s">
        <v>14</v>
      </c>
      <c r="U10" s="702" t="e">
        <f t="shared" si="1"/>
        <v>#DIV/0!</v>
      </c>
      <c r="V10" s="701" t="s">
        <v>14</v>
      </c>
      <c r="W10" s="702" t="e">
        <f t="shared" si="2"/>
        <v>#DIV/0!</v>
      </c>
      <c r="X10" s="703"/>
      <c r="Y10" s="381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99"/>
      <c r="Q11" s="1343" t="str">
        <f t="shared" si="6"/>
        <v>容积率</v>
      </c>
      <c r="R11" s="701" t="s">
        <v>14</v>
      </c>
      <c r="S11" s="702" t="e">
        <f t="shared" si="0"/>
        <v>#N/A</v>
      </c>
      <c r="T11" s="701" t="s">
        <v>14</v>
      </c>
      <c r="U11" s="702" t="e">
        <f t="shared" si="1"/>
        <v>#N/A</v>
      </c>
      <c r="V11" s="701" t="s">
        <v>14</v>
      </c>
      <c r="W11" s="702" t="e">
        <f t="shared" si="2"/>
        <v>#N/A</v>
      </c>
      <c r="X11" s="703"/>
      <c r="Y11" s="38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99"/>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99"/>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99"/>
      <c r="Q14" s="1343">
        <f t="shared" si="6"/>
        <v>111</v>
      </c>
      <c r="R14" s="701" t="s">
        <v>14</v>
      </c>
      <c r="S14" s="702">
        <f t="shared" si="0"/>
        <v>100</v>
      </c>
      <c r="T14" s="701" t="s">
        <v>14</v>
      </c>
      <c r="U14" s="702">
        <f t="shared" si="1"/>
        <v>100</v>
      </c>
      <c r="V14" s="701" t="s">
        <v>14</v>
      </c>
      <c r="W14" s="702">
        <f t="shared" si="2"/>
        <v>100</v>
      </c>
      <c r="X14" s="703"/>
      <c r="Y14" s="3811"/>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901" t="s">
        <v>1691</v>
      </c>
      <c r="Q15" s="1352" t="str">
        <f t="shared" si="6"/>
        <v>产业集聚程度</v>
      </c>
      <c r="R15" s="705" t="s">
        <v>14</v>
      </c>
      <c r="S15" s="706">
        <f t="shared" si="0"/>
        <v>100</v>
      </c>
      <c r="T15" s="705" t="s">
        <v>14</v>
      </c>
      <c r="U15" s="706">
        <f t="shared" si="1"/>
        <v>100</v>
      </c>
      <c r="V15" s="705" t="s">
        <v>14</v>
      </c>
      <c r="W15" s="706">
        <f t="shared" si="2"/>
        <v>100</v>
      </c>
      <c r="X15" s="1355"/>
      <c r="Y15" s="39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902"/>
      <c r="Q16" s="1352"/>
      <c r="R16" s="705"/>
      <c r="S16" s="706"/>
      <c r="T16" s="705"/>
      <c r="U16" s="706"/>
      <c r="V16" s="705"/>
      <c r="W16" s="706"/>
      <c r="X16" s="1355"/>
      <c r="Y16" s="390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902"/>
      <c r="Q17" s="1352" t="str">
        <f>B17</f>
        <v>交通便捷度</v>
      </c>
      <c r="R17" s="705" t="s">
        <v>14</v>
      </c>
      <c r="S17" s="706">
        <f>F17</f>
        <v>100</v>
      </c>
      <c r="T17" s="705" t="s">
        <v>14</v>
      </c>
      <c r="U17" s="706">
        <f>H17</f>
        <v>100</v>
      </c>
      <c r="V17" s="705" t="s">
        <v>14</v>
      </c>
      <c r="W17" s="706">
        <f>J17</f>
        <v>100</v>
      </c>
      <c r="X17" s="1355"/>
      <c r="Y17" s="39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902"/>
      <c r="Q18" s="1352"/>
      <c r="R18" s="705"/>
      <c r="S18" s="706"/>
      <c r="T18" s="705"/>
      <c r="U18" s="706"/>
      <c r="V18" s="705"/>
      <c r="W18" s="706"/>
      <c r="X18" s="1355"/>
      <c r="Y18" s="390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902"/>
      <c r="Q19" s="1352" t="str">
        <f t="shared" ref="Q19:Q33" si="8">B19</f>
        <v>区域土地利用方向</v>
      </c>
      <c r="R19" s="705" t="s">
        <v>14</v>
      </c>
      <c r="S19" s="706">
        <f>F19</f>
        <v>100</v>
      </c>
      <c r="T19" s="705" t="s">
        <v>14</v>
      </c>
      <c r="U19" s="706">
        <f>H19</f>
        <v>100</v>
      </c>
      <c r="V19" s="705" t="s">
        <v>14</v>
      </c>
      <c r="W19" s="706">
        <f>J19</f>
        <v>100</v>
      </c>
      <c r="X19" s="1355"/>
      <c r="Y19" s="39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902"/>
      <c r="Q20" s="1352"/>
      <c r="R20" s="705"/>
      <c r="S20" s="706"/>
      <c r="T20" s="705"/>
      <c r="U20" s="706"/>
      <c r="V20" s="705"/>
      <c r="W20" s="706"/>
      <c r="X20" s="1355"/>
      <c r="Y20" s="390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902"/>
      <c r="Q21" s="1352" t="str">
        <f t="shared" si="8"/>
        <v>环境状况</v>
      </c>
      <c r="R21" s="705" t="s">
        <v>14</v>
      </c>
      <c r="S21" s="706">
        <f>F21</f>
        <v>100</v>
      </c>
      <c r="T21" s="705" t="s">
        <v>14</v>
      </c>
      <c r="U21" s="706">
        <f>H21</f>
        <v>100</v>
      </c>
      <c r="V21" s="705" t="s">
        <v>14</v>
      </c>
      <c r="W21" s="706">
        <f>J21</f>
        <v>100</v>
      </c>
      <c r="X21" s="1355"/>
      <c r="Y21" s="39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902"/>
      <c r="Q22" s="1352"/>
      <c r="R22" s="705"/>
      <c r="S22" s="706"/>
      <c r="T22" s="705"/>
      <c r="U22" s="706"/>
      <c r="V22" s="705"/>
      <c r="W22" s="706"/>
      <c r="X22" s="1355"/>
      <c r="Y22" s="390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902"/>
      <c r="Q23" s="1343" t="str">
        <f t="shared" si="8"/>
        <v>公共配套设施</v>
      </c>
      <c r="R23" s="701" t="s">
        <v>14</v>
      </c>
      <c r="S23" s="702">
        <f>F23</f>
        <v>100</v>
      </c>
      <c r="T23" s="701" t="s">
        <v>14</v>
      </c>
      <c r="U23" s="702">
        <f>H23</f>
        <v>100</v>
      </c>
      <c r="V23" s="701" t="s">
        <v>14</v>
      </c>
      <c r="W23" s="702">
        <f>J23</f>
        <v>100</v>
      </c>
      <c r="X23" s="703"/>
      <c r="Y23" s="39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902"/>
      <c r="Q24" s="1343"/>
      <c r="R24" s="701"/>
      <c r="S24" s="702"/>
      <c r="T24" s="701"/>
      <c r="U24" s="702"/>
      <c r="V24" s="701"/>
      <c r="W24" s="702"/>
      <c r="X24" s="703"/>
      <c r="Y24" s="390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902"/>
      <c r="Q25" s="1343" t="str">
        <f t="shared" ref="Q25" si="9">B25</f>
        <v>基础设施水平</v>
      </c>
      <c r="R25" s="701" t="s">
        <v>14</v>
      </c>
      <c r="S25" s="702">
        <f>F25</f>
        <v>100</v>
      </c>
      <c r="T25" s="701" t="s">
        <v>14</v>
      </c>
      <c r="U25" s="702">
        <f>H25</f>
        <v>100</v>
      </c>
      <c r="V25" s="701" t="s">
        <v>14</v>
      </c>
      <c r="W25" s="702">
        <f>J25</f>
        <v>100</v>
      </c>
      <c r="X25" s="703"/>
      <c r="Y25" s="39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902"/>
      <c r="Q26" s="1343"/>
      <c r="R26" s="701"/>
      <c r="S26" s="702"/>
      <c r="T26" s="701"/>
      <c r="U26" s="702"/>
      <c r="V26" s="701"/>
      <c r="W26" s="702"/>
      <c r="X26" s="703"/>
      <c r="Y26" s="39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9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902"/>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902"/>
      <c r="Q28" s="1352" t="str">
        <f t="shared" si="8"/>
        <v>毗邻道路的类型与等级</v>
      </c>
      <c r="R28" s="705" t="s">
        <v>14</v>
      </c>
      <c r="S28" s="706">
        <f t="shared" si="10"/>
        <v>100</v>
      </c>
      <c r="T28" s="705" t="s">
        <v>14</v>
      </c>
      <c r="U28" s="706">
        <f t="shared" si="11"/>
        <v>100</v>
      </c>
      <c r="V28" s="705" t="s">
        <v>14</v>
      </c>
      <c r="W28" s="706">
        <f t="shared" si="12"/>
        <v>100</v>
      </c>
      <c r="X28" s="1355"/>
      <c r="Y28" s="39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902"/>
      <c r="Q29" s="1352"/>
      <c r="R29" s="705"/>
      <c r="S29" s="706"/>
      <c r="T29" s="705"/>
      <c r="U29" s="706"/>
      <c r="V29" s="705"/>
      <c r="W29" s="706"/>
      <c r="X29" s="1355"/>
      <c r="Y29" s="39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902"/>
      <c r="Q30" s="1352" t="str">
        <f t="shared" si="8"/>
        <v>土地级别</v>
      </c>
      <c r="R30" s="705" t="s">
        <v>14</v>
      </c>
      <c r="S30" s="706">
        <f t="shared" si="10"/>
        <v>100</v>
      </c>
      <c r="T30" s="705" t="s">
        <v>14</v>
      </c>
      <c r="U30" s="706">
        <f t="shared" si="11"/>
        <v>100</v>
      </c>
      <c r="V30" s="705" t="s">
        <v>14</v>
      </c>
      <c r="W30" s="706">
        <f t="shared" si="12"/>
        <v>100</v>
      </c>
      <c r="X30" s="1355"/>
      <c r="Y30" s="39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902"/>
      <c r="Q31" s="1352">
        <f t="shared" si="8"/>
        <v>111</v>
      </c>
      <c r="R31" s="705" t="s">
        <v>14</v>
      </c>
      <c r="S31" s="706">
        <f t="shared" si="10"/>
        <v>100</v>
      </c>
      <c r="T31" s="705" t="s">
        <v>14</v>
      </c>
      <c r="U31" s="706">
        <f t="shared" si="11"/>
        <v>100</v>
      </c>
      <c r="V31" s="705" t="s">
        <v>14</v>
      </c>
      <c r="W31" s="706">
        <f t="shared" si="12"/>
        <v>100</v>
      </c>
      <c r="X31" s="1355"/>
      <c r="Y31" s="39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931" t="s">
        <v>1696</v>
      </c>
      <c r="Q32" s="1352">
        <f t="shared" si="8"/>
        <v>111</v>
      </c>
      <c r="R32" s="705" t="s">
        <v>14</v>
      </c>
      <c r="S32" s="706">
        <f t="shared" si="10"/>
        <v>100</v>
      </c>
      <c r="T32" s="705" t="s">
        <v>14</v>
      </c>
      <c r="U32" s="706">
        <f t="shared" si="11"/>
        <v>100</v>
      </c>
      <c r="V32" s="705" t="s">
        <v>14</v>
      </c>
      <c r="W32" s="706">
        <f t="shared" si="12"/>
        <v>100</v>
      </c>
      <c r="X32" s="1355"/>
      <c r="Y32" s="390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906"/>
      <c r="Q33" s="1352">
        <f t="shared" si="8"/>
        <v>111</v>
      </c>
      <c r="R33" s="708" t="s">
        <v>14</v>
      </c>
      <c r="S33" s="709">
        <f t="shared" si="10"/>
        <v>100</v>
      </c>
      <c r="T33" s="708" t="s">
        <v>14</v>
      </c>
      <c r="U33" s="709">
        <f t="shared" si="11"/>
        <v>100</v>
      </c>
      <c r="V33" s="708" t="s">
        <v>14</v>
      </c>
      <c r="W33" s="709">
        <f t="shared" si="12"/>
        <v>100</v>
      </c>
      <c r="X33" s="710"/>
      <c r="Y33" s="39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906"/>
      <c r="Q34" s="1352" t="str">
        <f>B34</f>
        <v>宗地面积</v>
      </c>
      <c r="R34" s="705" t="s">
        <v>14</v>
      </c>
      <c r="S34" s="706" t="e">
        <f t="shared" si="10"/>
        <v>#N/A</v>
      </c>
      <c r="T34" s="705" t="s">
        <v>14</v>
      </c>
      <c r="U34" s="706" t="e">
        <f t="shared" si="11"/>
        <v>#N/A</v>
      </c>
      <c r="V34" s="705" t="s">
        <v>14</v>
      </c>
      <c r="W34" s="706" t="e">
        <f t="shared" si="12"/>
        <v>#N/A</v>
      </c>
      <c r="X34" s="1355"/>
      <c r="Y34" s="39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906"/>
      <c r="Q35" s="1352" t="str">
        <f t="shared" ref="Q35:Q40" si="14">B35</f>
        <v>宗地形状</v>
      </c>
      <c r="R35" s="705" t="s">
        <v>14</v>
      </c>
      <c r="S35" s="706">
        <f t="shared" si="10"/>
        <v>100</v>
      </c>
      <c r="T35" s="705" t="s">
        <v>14</v>
      </c>
      <c r="U35" s="706">
        <f t="shared" si="11"/>
        <v>100</v>
      </c>
      <c r="V35" s="705" t="s">
        <v>14</v>
      </c>
      <c r="W35" s="706">
        <f t="shared" si="12"/>
        <v>100</v>
      </c>
      <c r="X35" s="1355"/>
      <c r="Y35" s="39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906"/>
      <c r="Q36" s="1352" t="str">
        <f t="shared" si="14"/>
        <v>宗地开发程度</v>
      </c>
      <c r="R36" s="701" t="s">
        <v>14</v>
      </c>
      <c r="S36" s="702">
        <f t="shared" si="10"/>
        <v>100</v>
      </c>
      <c r="T36" s="701" t="s">
        <v>14</v>
      </c>
      <c r="U36" s="702">
        <f t="shared" si="11"/>
        <v>100</v>
      </c>
      <c r="V36" s="701" t="s">
        <v>14</v>
      </c>
      <c r="W36" s="702">
        <f t="shared" si="12"/>
        <v>100</v>
      </c>
      <c r="X36" s="703"/>
      <c r="Y36" s="39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906" t="s">
        <v>1696</v>
      </c>
      <c r="Q37" s="1352" t="str">
        <f t="shared" si="14"/>
        <v>工程地质条件</v>
      </c>
      <c r="R37" s="705" t="s">
        <v>14</v>
      </c>
      <c r="S37" s="706">
        <f t="shared" si="10"/>
        <v>100</v>
      </c>
      <c r="T37" s="705" t="s">
        <v>14</v>
      </c>
      <c r="U37" s="706">
        <f t="shared" si="11"/>
        <v>100</v>
      </c>
      <c r="V37" s="705" t="s">
        <v>14</v>
      </c>
      <c r="W37" s="706">
        <f t="shared" si="12"/>
        <v>100</v>
      </c>
      <c r="X37" s="1355"/>
      <c r="Y37" s="39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906"/>
      <c r="Q38" s="1352">
        <f t="shared" si="14"/>
        <v>111</v>
      </c>
      <c r="R38" s="705" t="s">
        <v>14</v>
      </c>
      <c r="S38" s="706">
        <f t="shared" si="10"/>
        <v>100</v>
      </c>
      <c r="T38" s="705" t="s">
        <v>14</v>
      </c>
      <c r="U38" s="706">
        <f t="shared" si="11"/>
        <v>100</v>
      </c>
      <c r="V38" s="705" t="s">
        <v>14</v>
      </c>
      <c r="W38" s="706">
        <f t="shared" si="12"/>
        <v>100</v>
      </c>
      <c r="X38" s="1355"/>
      <c r="Y38" s="39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906"/>
      <c r="Q39" s="1352">
        <f t="shared" si="14"/>
        <v>111</v>
      </c>
      <c r="R39" s="705" t="s">
        <v>14</v>
      </c>
      <c r="S39" s="706">
        <f t="shared" si="10"/>
        <v>100</v>
      </c>
      <c r="T39" s="705" t="s">
        <v>14</v>
      </c>
      <c r="U39" s="706">
        <f t="shared" si="11"/>
        <v>100</v>
      </c>
      <c r="V39" s="705" t="s">
        <v>14</v>
      </c>
      <c r="W39" s="706">
        <f t="shared" si="12"/>
        <v>100</v>
      </c>
      <c r="X39" s="1355"/>
      <c r="Y39" s="390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906"/>
      <c r="Q40" s="1352">
        <f t="shared" si="14"/>
        <v>111</v>
      </c>
      <c r="R40" s="708" t="s">
        <v>14</v>
      </c>
      <c r="S40" s="709">
        <f t="shared" si="10"/>
        <v>100</v>
      </c>
      <c r="T40" s="708" t="s">
        <v>14</v>
      </c>
      <c r="U40" s="709">
        <f t="shared" si="11"/>
        <v>100</v>
      </c>
      <c r="V40" s="708" t="s">
        <v>14</v>
      </c>
      <c r="W40" s="709">
        <f t="shared" si="12"/>
        <v>100</v>
      </c>
      <c r="X40" s="710"/>
      <c r="Y40" s="390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899" t="str">
        <f>A41</f>
        <v>成交单价</v>
      </c>
      <c r="Q41" s="3899"/>
      <c r="R41" s="3894">
        <f>E41</f>
        <v>0</v>
      </c>
      <c r="S41" s="3894"/>
      <c r="T41" s="3894">
        <f>G41</f>
        <v>0</v>
      </c>
      <c r="U41" s="3894"/>
      <c r="V41" s="3894">
        <f>I41</f>
        <v>0</v>
      </c>
      <c r="W41" s="389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899" t="str">
        <f>A42</f>
        <v>比较价值（元/平方米）</v>
      </c>
      <c r="Q42" s="3899"/>
      <c r="R42" s="3933" t="e">
        <f>ROUND(PRODUCT(R41,AA7:AA40),0)</f>
        <v>#DIV/0!</v>
      </c>
      <c r="S42" s="3933"/>
      <c r="T42" s="3933" t="e">
        <f>ROUND(PRODUCT(T41,AB7:AB40),0)</f>
        <v>#DIV/0!</v>
      </c>
      <c r="U42" s="3933"/>
      <c r="V42" s="3933" t="e">
        <f>ROUND(PRODUCT(V41,AC7:AC40),0)</f>
        <v>#DIV/0!</v>
      </c>
      <c r="W42" s="393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896" t="str">
        <f>A43</f>
        <v>估价对象XX用房的比较价值（楼面单价，元/平方米）</v>
      </c>
      <c r="Q43" s="3897"/>
      <c r="R43" s="3934" t="e">
        <f>ROUND(IF(D42="简单平均",AVERAGE(R42:W42),R42*F42+T42*H42+V42*J42),0)</f>
        <v>#DIV/0!</v>
      </c>
      <c r="S43" s="3934"/>
      <c r="T43" s="3934"/>
      <c r="U43" s="3934"/>
      <c r="V43" s="3934"/>
      <c r="W43" s="39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882" t="s">
        <v>1887</v>
      </c>
      <c r="H50" s="393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88.22</v>
      </c>
      <c r="F51" s="639" t="e">
        <f t="shared" ref="F51:F60" si="15">ROUND(B51*E51/10000,0)</f>
        <v>#DIV/0!</v>
      </c>
      <c r="G51" s="3881"/>
      <c r="H51" s="389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2006-7-1</v>
      </c>
      <c r="D63" s="692">
        <f>EDATE(C63,-3)</f>
        <v>38808</v>
      </c>
      <c r="E63" s="692">
        <f>EDATE(D63,-3)</f>
        <v>38718</v>
      </c>
      <c r="F63" s="692">
        <f t="shared" ref="F63:O63" si="18">EDATE(E63,-3)</f>
        <v>38626</v>
      </c>
      <c r="G63" s="692">
        <f t="shared" si="18"/>
        <v>38534</v>
      </c>
      <c r="H63" s="692">
        <f t="shared" si="18"/>
        <v>38443</v>
      </c>
      <c r="I63" s="692">
        <f t="shared" si="18"/>
        <v>38353</v>
      </c>
      <c r="J63" s="692">
        <f t="shared" si="18"/>
        <v>38261</v>
      </c>
      <c r="K63" s="692">
        <f t="shared" si="18"/>
        <v>38169</v>
      </c>
      <c r="L63" s="692">
        <f t="shared" si="18"/>
        <v>38078</v>
      </c>
      <c r="M63" s="692">
        <f t="shared" si="18"/>
        <v>37987</v>
      </c>
      <c r="N63" s="692">
        <f t="shared" si="18"/>
        <v>37895</v>
      </c>
      <c r="O63" s="692">
        <f t="shared" si="18"/>
        <v>37803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2006-3</v>
      </c>
      <c r="D65" s="1182" t="str">
        <f t="shared" ref="D65:O65" si="19">YEAR(D63)&amp;"-"&amp;ROUNDUP(MONTH(D63)/3,0)</f>
        <v>2006-2</v>
      </c>
      <c r="E65" s="1182" t="str">
        <f t="shared" si="19"/>
        <v>2006-1</v>
      </c>
      <c r="F65" s="1182" t="str">
        <f t="shared" si="19"/>
        <v>2005-4</v>
      </c>
      <c r="G65" s="1182" t="str">
        <f t="shared" si="19"/>
        <v>2005-3</v>
      </c>
      <c r="H65" s="1182" t="str">
        <f t="shared" si="19"/>
        <v>2005-2</v>
      </c>
      <c r="I65" s="1182" t="str">
        <f t="shared" si="19"/>
        <v>2005-1</v>
      </c>
      <c r="J65" s="1182" t="str">
        <f t="shared" si="19"/>
        <v>2004-4</v>
      </c>
      <c r="K65" s="1182" t="str">
        <f t="shared" si="19"/>
        <v>2004-3</v>
      </c>
      <c r="L65" s="1182" t="str">
        <f t="shared" si="19"/>
        <v>2004-2</v>
      </c>
      <c r="M65" s="1182" t="str">
        <f t="shared" si="19"/>
        <v>2004-1</v>
      </c>
      <c r="N65" s="1182" t="str">
        <f t="shared" si="19"/>
        <v>2003-4</v>
      </c>
      <c r="O65" s="1182" t="str">
        <f t="shared" si="19"/>
        <v>2003-3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43" t="s">
        <v>2084</v>
      </c>
      <c r="D1" s="3944"/>
      <c r="E1" s="3944"/>
      <c r="F1" s="3944"/>
      <c r="G1" s="3944"/>
      <c r="H1" s="3944"/>
      <c r="I1" s="3944"/>
      <c r="J1" s="3944"/>
      <c r="K1" s="3944"/>
      <c r="L1" s="3944"/>
      <c r="M1" s="3944"/>
      <c r="N1" s="3944"/>
      <c r="O1" s="3944"/>
      <c r="P1" s="3944"/>
      <c r="Q1" s="3944"/>
      <c r="R1" s="3944"/>
      <c r="S1" s="39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40" t="s">
        <v>27</v>
      </c>
      <c r="D22" s="3941"/>
      <c r="E22" s="3941"/>
      <c r="F22" s="3941"/>
      <c r="G22" s="3941"/>
      <c r="H22" s="3941"/>
      <c r="I22" s="3941"/>
      <c r="J22" s="3941"/>
      <c r="K22" s="3941"/>
      <c r="L22" s="3941"/>
      <c r="M22" s="3941"/>
      <c r="N22" s="3941"/>
      <c r="O22" s="3941"/>
      <c r="P22" s="3941"/>
      <c r="Q22" s="39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953"/>
      <c r="B4" s="3954"/>
      <c r="C4" s="3954"/>
      <c r="D4" s="3955"/>
      <c r="E4" s="3955"/>
      <c r="F4" s="3955"/>
      <c r="G4" s="3955"/>
      <c r="H4" s="3955"/>
      <c r="I4" s="3955"/>
      <c r="J4" s="39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50" t="s">
        <v>1960</v>
      </c>
      <c r="X8" s="39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52"/>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957" t="s">
        <v>3255</v>
      </c>
      <c r="B20" s="167" t="s">
        <v>1994</v>
      </c>
      <c r="C20" s="3325" t="e">
        <f>ROUND(IF(F21="与级别开发程度一致",0,(G21-E21)/C21),0)</f>
        <v>#DIV/0!</v>
      </c>
      <c r="D20" s="3341" t="s">
        <v>1998</v>
      </c>
      <c r="E20" s="3342"/>
      <c r="F20" s="3963" t="s">
        <v>1995</v>
      </c>
      <c r="G20" s="396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95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38916</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6.0299999999999999E-2</v>
      </c>
      <c r="M36" s="3358">
        <f ca="1">ROUND($L$36*(1+M31),3)</f>
        <v>7.4999999999999997E-2</v>
      </c>
      <c r="N36" s="3358">
        <f ca="1">ROUND($L$36*(1+N31),3)</f>
        <v>7.1999999999999995E-2</v>
      </c>
      <c r="O36" s="3358">
        <f ca="1">ROUND($L$36*(1+O31),3)</f>
        <v>6.9000000000000006E-2</v>
      </c>
      <c r="P36" s="3358">
        <f ca="1">ROUND($L$36*(1+P31),3)</f>
        <v>6.6000000000000003E-2</v>
      </c>
      <c r="Q36" s="3358">
        <f ca="1">ROUND($L$36*(1+Q31),3)</f>
        <v>6.9000000000000006E-2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96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6.5299999999999997E-2</v>
      </c>
      <c r="M37" s="3358">
        <f ca="1">ROUND($L$37*(1+M31),3)</f>
        <v>8.2000000000000003E-2</v>
      </c>
      <c r="N37" s="3358">
        <f t="shared" ref="N37:Q37" ca="1" si="3">ROUND($L$37*(1+N31),3)</f>
        <v>7.8E-2</v>
      </c>
      <c r="O37" s="3358">
        <f t="shared" ca="1" si="3"/>
        <v>7.4999999999999997E-2</v>
      </c>
      <c r="P37" s="3358">
        <f t="shared" ca="1" si="3"/>
        <v>7.1999999999999995E-2</v>
      </c>
      <c r="Q37" s="3358">
        <f t="shared" ca="1" si="3"/>
        <v>7.4999999999999997E-2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6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962"/>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59" t="s">
        <v>3295</v>
      </c>
      <c r="B103" s="3959"/>
      <c r="C103" s="3959"/>
      <c r="D103" s="3959"/>
      <c r="E103" s="3959"/>
      <c r="F103" s="3959"/>
      <c r="G103" s="3959"/>
      <c r="H103" s="3959"/>
      <c r="I103" s="3959"/>
      <c r="J103" s="3959"/>
      <c r="K103" s="3390"/>
      <c r="L103" s="3390"/>
      <c r="M103" s="3390"/>
      <c r="N103" s="3390"/>
    </row>
    <row r="104" spans="1:14">
      <c r="A104" s="3960" t="s">
        <v>3296</v>
      </c>
      <c r="B104" s="3960" t="s">
        <v>3297</v>
      </c>
      <c r="C104" s="3391" t="s">
        <v>3298</v>
      </c>
      <c r="D104" s="3392"/>
      <c r="E104" s="3392"/>
      <c r="F104" s="3392"/>
      <c r="G104" s="3392"/>
      <c r="H104" s="3392"/>
      <c r="I104" s="3392"/>
      <c r="J104" s="3393"/>
      <c r="K104" s="3394"/>
      <c r="L104" s="3394"/>
      <c r="M104" s="3394"/>
      <c r="N104" s="3394"/>
    </row>
    <row r="105" spans="1:14">
      <c r="A105" s="3960"/>
      <c r="B105" s="3960"/>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946"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47"/>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4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49" t="s">
        <v>3312</v>
      </c>
      <c r="B113" s="3949"/>
      <c r="C113" s="3949"/>
      <c r="D113" s="3949"/>
      <c r="E113" s="3949"/>
      <c r="F113" s="3949"/>
      <c r="G113" s="3949"/>
      <c r="H113" s="3949"/>
      <c r="I113" s="3949"/>
      <c r="J113" s="39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972" t="s">
        <v>2608</v>
      </c>
      <c r="B20" s="3965" t="s">
        <v>2629</v>
      </c>
      <c r="C20" s="3103" t="s">
        <v>2440</v>
      </c>
      <c r="D20" s="3104"/>
      <c r="E20" s="3105">
        <v>1</v>
      </c>
      <c r="F20" s="3106" t="s">
        <v>2441</v>
      </c>
      <c r="G20" s="3106"/>
    </row>
    <row r="21" spans="1:13" ht="19.5" customHeight="1">
      <c r="A21" s="3973"/>
      <c r="B21" s="3966"/>
      <c r="C21" s="3107" t="s">
        <v>2442</v>
      </c>
      <c r="D21" s="3108"/>
      <c r="E21" s="3109">
        <v>1</v>
      </c>
      <c r="F21" s="3106" t="s">
        <v>2443</v>
      </c>
      <c r="G21" s="3106"/>
    </row>
    <row r="22" spans="1:13" ht="19.5" customHeight="1">
      <c r="A22" s="3973"/>
      <c r="B22" s="3966"/>
      <c r="C22" s="3107" t="s">
        <v>2444</v>
      </c>
      <c r="D22" s="3108"/>
      <c r="E22" s="3109">
        <v>0.9</v>
      </c>
      <c r="F22" s="3106" t="s">
        <v>2445</v>
      </c>
      <c r="G22" s="3106"/>
    </row>
    <row r="23" spans="1:13" ht="19.5" customHeight="1">
      <c r="A23" s="3973"/>
      <c r="B23" s="3966"/>
      <c r="C23" s="3107" t="s">
        <v>2446</v>
      </c>
      <c r="D23" s="3108"/>
      <c r="E23" s="3109">
        <v>0.9</v>
      </c>
      <c r="F23" s="3106" t="s">
        <v>2447</v>
      </c>
      <c r="G23" s="3106"/>
    </row>
    <row r="24" spans="1:13" ht="19.5" customHeight="1">
      <c r="A24" s="3973"/>
      <c r="B24" s="3966"/>
      <c r="C24" s="3107" t="s">
        <v>2448</v>
      </c>
      <c r="D24" s="3108"/>
      <c r="E24" s="3109">
        <v>0.8</v>
      </c>
      <c r="F24" s="3106" t="s">
        <v>2449</v>
      </c>
      <c r="G24" s="3106"/>
    </row>
    <row r="25" spans="1:13" ht="19.5" customHeight="1" thickBot="1">
      <c r="A25" s="3974"/>
      <c r="B25" s="3967"/>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968" t="s">
        <v>2632</v>
      </c>
      <c r="B27" s="3965" t="s">
        <v>2613</v>
      </c>
      <c r="C27" s="3103" t="s">
        <v>2453</v>
      </c>
      <c r="D27" s="3104"/>
      <c r="E27" s="3105">
        <v>1</v>
      </c>
      <c r="F27" s="3106" t="s">
        <v>2454</v>
      </c>
      <c r="G27" s="3106"/>
    </row>
    <row r="28" spans="1:13" ht="19.5" customHeight="1">
      <c r="A28" s="3969"/>
      <c r="B28" s="3966"/>
      <c r="C28" s="3107" t="s">
        <v>2455</v>
      </c>
      <c r="D28" s="3108"/>
      <c r="E28" s="3109">
        <v>1</v>
      </c>
      <c r="F28" s="3106" t="s">
        <v>2456</v>
      </c>
      <c r="G28" s="3106"/>
    </row>
    <row r="29" spans="1:13" ht="19.5" customHeight="1">
      <c r="A29" s="3969"/>
      <c r="B29" s="3966"/>
      <c r="C29" s="3107" t="s">
        <v>2457</v>
      </c>
      <c r="D29" s="3108"/>
      <c r="E29" s="3109">
        <v>0.8</v>
      </c>
      <c r="F29" s="3106" t="s">
        <v>2458</v>
      </c>
      <c r="G29" s="3106"/>
    </row>
    <row r="30" spans="1:13" ht="19.5" customHeight="1">
      <c r="A30" s="3969"/>
      <c r="B30" s="3966"/>
      <c r="C30" s="3107" t="s">
        <v>2459</v>
      </c>
      <c r="D30" s="3108"/>
      <c r="E30" s="3109">
        <v>0.8</v>
      </c>
      <c r="F30" s="3106" t="s">
        <v>2460</v>
      </c>
      <c r="G30" s="3106"/>
    </row>
    <row r="31" spans="1:13" ht="19.5" customHeight="1">
      <c r="A31" s="3969"/>
      <c r="B31" s="3966"/>
      <c r="C31" s="3107" t="s">
        <v>2461</v>
      </c>
      <c r="D31" s="3108"/>
      <c r="E31" s="3109">
        <v>0.8</v>
      </c>
      <c r="F31" s="3106" t="s">
        <v>2462</v>
      </c>
      <c r="G31" s="3106"/>
    </row>
    <row r="32" spans="1:13" ht="19.5" customHeight="1">
      <c r="A32" s="3969"/>
      <c r="B32" s="3966"/>
      <c r="C32" s="3107" t="s">
        <v>2463</v>
      </c>
      <c r="D32" s="3108"/>
      <c r="E32" s="3109">
        <v>0.7</v>
      </c>
      <c r="F32" s="3106" t="s">
        <v>2464</v>
      </c>
      <c r="G32" s="3106"/>
    </row>
    <row r="33" spans="1:7" ht="19.5" customHeight="1">
      <c r="A33" s="3969"/>
      <c r="B33" s="3966"/>
      <c r="C33" s="3107" t="s">
        <v>2465</v>
      </c>
      <c r="D33" s="3108"/>
      <c r="E33" s="3109">
        <v>0.8</v>
      </c>
      <c r="F33" s="3106" t="s">
        <v>2466</v>
      </c>
      <c r="G33" s="3106"/>
    </row>
    <row r="34" spans="1:7" ht="19.5" customHeight="1">
      <c r="A34" s="3969"/>
      <c r="B34" s="3966"/>
      <c r="C34" s="3107" t="s">
        <v>2467</v>
      </c>
      <c r="D34" s="3108"/>
      <c r="E34" s="3109">
        <v>0.6</v>
      </c>
      <c r="F34" s="3106" t="s">
        <v>2468</v>
      </c>
      <c r="G34" s="3106"/>
    </row>
    <row r="35" spans="1:7" ht="19.5" customHeight="1">
      <c r="A35" s="3969"/>
      <c r="B35" s="3966"/>
      <c r="C35" s="3107" t="s">
        <v>2469</v>
      </c>
      <c r="D35" s="3108"/>
      <c r="E35" s="3109">
        <v>0.2</v>
      </c>
      <c r="F35" s="3106" t="s">
        <v>2470</v>
      </c>
      <c r="G35" s="3106"/>
    </row>
    <row r="36" spans="1:7" ht="19.5" customHeight="1">
      <c r="A36" s="3969"/>
      <c r="B36" s="3966"/>
      <c r="C36" s="3107" t="s">
        <v>2471</v>
      </c>
      <c r="D36" s="3108"/>
      <c r="E36" s="3109">
        <v>0.2</v>
      </c>
      <c r="F36" s="3106" t="s">
        <v>2472</v>
      </c>
      <c r="G36" s="3106"/>
    </row>
    <row r="37" spans="1:7" ht="19.5" customHeight="1">
      <c r="A37" s="3969"/>
      <c r="B37" s="3971" t="s">
        <v>2633</v>
      </c>
      <c r="C37" s="3107" t="s">
        <v>2473</v>
      </c>
      <c r="D37" s="3108"/>
      <c r="E37" s="3109">
        <v>0.6</v>
      </c>
      <c r="F37" s="3106" t="s">
        <v>2474</v>
      </c>
      <c r="G37" s="3106"/>
    </row>
    <row r="38" spans="1:7" ht="19.5" customHeight="1">
      <c r="A38" s="3969"/>
      <c r="B38" s="3966"/>
      <c r="C38" s="3107" t="s">
        <v>2475</v>
      </c>
      <c r="D38" s="3108"/>
      <c r="E38" s="3109">
        <v>0.6</v>
      </c>
      <c r="F38" s="3106" t="s">
        <v>2476</v>
      </c>
      <c r="G38" s="3106"/>
    </row>
    <row r="39" spans="1:7" ht="19.5" customHeight="1" thickBot="1">
      <c r="A39" s="3970"/>
      <c r="B39" s="3967"/>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972" t="s">
        <v>2611</v>
      </c>
      <c r="B41" s="3965" t="s">
        <v>2635</v>
      </c>
      <c r="C41" s="3103" t="s">
        <v>2480</v>
      </c>
      <c r="D41" s="3104"/>
      <c r="E41" s="3105">
        <v>1</v>
      </c>
      <c r="F41" s="3106" t="s">
        <v>2481</v>
      </c>
      <c r="G41" s="3106"/>
    </row>
    <row r="42" spans="1:7" ht="19.5" customHeight="1">
      <c r="A42" s="3973"/>
      <c r="B42" s="3966"/>
      <c r="C42" s="3107" t="s">
        <v>2482</v>
      </c>
      <c r="D42" s="3108"/>
      <c r="E42" s="3109">
        <v>1</v>
      </c>
      <c r="F42" s="3106" t="s">
        <v>2483</v>
      </c>
      <c r="G42" s="3106"/>
    </row>
    <row r="43" spans="1:7" ht="19.5" customHeight="1">
      <c r="A43" s="3973"/>
      <c r="B43" s="3975"/>
      <c r="C43" s="3107" t="s">
        <v>2484</v>
      </c>
      <c r="D43" s="3108"/>
      <c r="E43" s="3109">
        <v>1.5</v>
      </c>
      <c r="F43" s="3106" t="s">
        <v>2485</v>
      </c>
      <c r="G43" s="3106"/>
    </row>
    <row r="44" spans="1:7" ht="19.5" customHeight="1">
      <c r="A44" s="3973"/>
      <c r="B44" s="3118" t="s">
        <v>2636</v>
      </c>
      <c r="C44" s="3107" t="s">
        <v>2637</v>
      </c>
      <c r="D44" s="3108"/>
      <c r="E44" s="3109">
        <v>2</v>
      </c>
      <c r="F44" s="3106" t="s">
        <v>2486</v>
      </c>
      <c r="G44" s="3106"/>
    </row>
    <row r="45" spans="1:7" ht="19.5" customHeight="1">
      <c r="A45" s="3973"/>
      <c r="B45" s="3971" t="s">
        <v>2638</v>
      </c>
      <c r="C45" s="3107" t="s">
        <v>2487</v>
      </c>
      <c r="D45" s="3108"/>
      <c r="E45" s="3109">
        <v>1</v>
      </c>
      <c r="F45" s="3106" t="s">
        <v>2488</v>
      </c>
      <c r="G45" s="3106"/>
    </row>
    <row r="46" spans="1:7" ht="19.5" customHeight="1">
      <c r="A46" s="3973"/>
      <c r="B46" s="3966"/>
      <c r="C46" s="3107" t="s">
        <v>2489</v>
      </c>
      <c r="D46" s="3108"/>
      <c r="E46" s="3109">
        <v>1</v>
      </c>
      <c r="F46" s="3106" t="s">
        <v>2490</v>
      </c>
      <c r="G46" s="3106"/>
    </row>
    <row r="47" spans="1:7" ht="19.5" customHeight="1">
      <c r="A47" s="3973"/>
      <c r="B47" s="3966"/>
      <c r="C47" s="3107" t="s">
        <v>2491</v>
      </c>
      <c r="D47" s="3108"/>
      <c r="E47" s="3109">
        <v>1</v>
      </c>
      <c r="F47" s="3106" t="s">
        <v>2492</v>
      </c>
      <c r="G47" s="3106"/>
    </row>
    <row r="48" spans="1:7" ht="19.5" customHeight="1">
      <c r="A48" s="3973"/>
      <c r="B48" s="3966"/>
      <c r="C48" s="3107" t="s">
        <v>2493</v>
      </c>
      <c r="D48" s="3108"/>
      <c r="E48" s="3109">
        <v>1</v>
      </c>
      <c r="F48" s="3106" t="s">
        <v>2494</v>
      </c>
      <c r="G48" s="3106"/>
    </row>
    <row r="49" spans="1:7" ht="19.5" customHeight="1">
      <c r="A49" s="3973"/>
      <c r="B49" s="3966"/>
      <c r="C49" s="3107" t="s">
        <v>2495</v>
      </c>
      <c r="D49" s="3108"/>
      <c r="E49" s="3109">
        <v>1</v>
      </c>
      <c r="F49" s="3106" t="s">
        <v>2496</v>
      </c>
      <c r="G49" s="3106"/>
    </row>
    <row r="50" spans="1:7" ht="19.5" customHeight="1">
      <c r="A50" s="3973"/>
      <c r="B50" s="3966"/>
      <c r="C50" s="3107" t="s">
        <v>2497</v>
      </c>
      <c r="D50" s="3108"/>
      <c r="E50" s="3109">
        <v>1</v>
      </c>
      <c r="F50" s="3106" t="s">
        <v>2498</v>
      </c>
      <c r="G50" s="3106"/>
    </row>
    <row r="51" spans="1:7" ht="19.5" customHeight="1" thickBot="1">
      <c r="A51" s="3974"/>
      <c r="B51" s="3967"/>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971" t="s">
        <v>2652</v>
      </c>
      <c r="C73" s="3092" t="s">
        <v>2653</v>
      </c>
      <c r="D73" s="3092" t="s">
        <v>2654</v>
      </c>
      <c r="E73" s="3118">
        <v>0.2</v>
      </c>
      <c r="F73" s="3118">
        <v>25</v>
      </c>
    </row>
    <row r="74" spans="1:7" ht="24">
      <c r="A74" s="3118">
        <v>2</v>
      </c>
      <c r="B74" s="3966"/>
      <c r="C74" s="3092" t="s">
        <v>2655</v>
      </c>
      <c r="D74" s="3092" t="s">
        <v>2656</v>
      </c>
      <c r="E74" s="3118">
        <v>0.2</v>
      </c>
      <c r="F74" s="3118">
        <v>25</v>
      </c>
    </row>
    <row r="75" spans="1:7" ht="24">
      <c r="A75" s="3118">
        <v>3</v>
      </c>
      <c r="B75" s="3966"/>
      <c r="C75" s="3092" t="s">
        <v>2657</v>
      </c>
      <c r="D75" s="3092" t="s">
        <v>2658</v>
      </c>
      <c r="E75" s="3118">
        <v>0.2</v>
      </c>
      <c r="F75" s="3118">
        <v>25</v>
      </c>
    </row>
    <row r="76" spans="1:7" ht="14.4">
      <c r="A76" s="3118">
        <v>4</v>
      </c>
      <c r="B76" s="3966"/>
      <c r="C76" s="3092" t="s">
        <v>2659</v>
      </c>
      <c r="D76" s="3092" t="s">
        <v>2660</v>
      </c>
      <c r="E76" s="3118">
        <v>0.15</v>
      </c>
      <c r="F76" s="3118">
        <v>20</v>
      </c>
    </row>
    <row r="77" spans="1:7" ht="24">
      <c r="A77" s="3118">
        <v>5</v>
      </c>
      <c r="B77" s="3966"/>
      <c r="C77" s="3092" t="s">
        <v>2661</v>
      </c>
      <c r="D77" s="3092" t="s">
        <v>2662</v>
      </c>
      <c r="E77" s="3118">
        <v>0.15</v>
      </c>
      <c r="F77" s="3118">
        <v>20</v>
      </c>
    </row>
    <row r="78" spans="1:7" ht="24">
      <c r="A78" s="3118">
        <v>6</v>
      </c>
      <c r="B78" s="3966"/>
      <c r="C78" s="3092" t="s">
        <v>2663</v>
      </c>
      <c r="D78" s="3092" t="s">
        <v>2664</v>
      </c>
      <c r="E78" s="3118">
        <v>0.15</v>
      </c>
      <c r="F78" s="3118">
        <v>20</v>
      </c>
    </row>
    <row r="79" spans="1:7" ht="24">
      <c r="A79" s="3118">
        <v>7</v>
      </c>
      <c r="B79" s="3966"/>
      <c r="C79" s="3092" t="s">
        <v>2665</v>
      </c>
      <c r="D79" s="3092" t="s">
        <v>2666</v>
      </c>
      <c r="E79" s="3118">
        <v>0.15</v>
      </c>
      <c r="F79" s="3118">
        <v>20</v>
      </c>
    </row>
    <row r="80" spans="1:7" ht="24">
      <c r="A80" s="3118">
        <v>8</v>
      </c>
      <c r="B80" s="3966"/>
      <c r="C80" s="3092" t="s">
        <v>2667</v>
      </c>
      <c r="D80" s="3092" t="s">
        <v>2668</v>
      </c>
      <c r="E80" s="3118">
        <v>0.1</v>
      </c>
      <c r="F80" s="3118">
        <v>15</v>
      </c>
    </row>
    <row r="81" spans="1:6" ht="24">
      <c r="A81" s="3118">
        <v>9</v>
      </c>
      <c r="B81" s="3966"/>
      <c r="C81" s="3092" t="s">
        <v>2669</v>
      </c>
      <c r="D81" s="3092" t="s">
        <v>2670</v>
      </c>
      <c r="E81" s="3118">
        <v>0.1</v>
      </c>
      <c r="F81" s="3118">
        <v>15</v>
      </c>
    </row>
    <row r="82" spans="1:6" ht="24">
      <c r="A82" s="3118">
        <v>10</v>
      </c>
      <c r="B82" s="3966"/>
      <c r="C82" s="3092" t="s">
        <v>2671</v>
      </c>
      <c r="D82" s="3092" t="s">
        <v>2672</v>
      </c>
      <c r="E82" s="3118">
        <v>0.1</v>
      </c>
      <c r="F82" s="3118">
        <v>15</v>
      </c>
    </row>
    <row r="83" spans="1:6" ht="24">
      <c r="A83" s="3118">
        <v>11</v>
      </c>
      <c r="B83" s="3966"/>
      <c r="C83" s="3092" t="s">
        <v>2673</v>
      </c>
      <c r="D83" s="3092" t="s">
        <v>2674</v>
      </c>
      <c r="E83" s="3118">
        <v>0.1</v>
      </c>
      <c r="F83" s="3118">
        <v>15</v>
      </c>
    </row>
    <row r="84" spans="1:6" ht="24">
      <c r="A84" s="3118">
        <v>12</v>
      </c>
      <c r="B84" s="3966"/>
      <c r="C84" s="3092" t="s">
        <v>2675</v>
      </c>
      <c r="D84" s="3092" t="s">
        <v>2676</v>
      </c>
      <c r="E84" s="3118">
        <v>0.1</v>
      </c>
      <c r="F84" s="3118">
        <v>15</v>
      </c>
    </row>
    <row r="85" spans="1:6" ht="24">
      <c r="A85" s="3118">
        <v>13</v>
      </c>
      <c r="B85" s="3966"/>
      <c r="C85" s="3092" t="s">
        <v>2677</v>
      </c>
      <c r="D85" s="3092" t="s">
        <v>2678</v>
      </c>
      <c r="E85" s="3118">
        <v>0.1</v>
      </c>
      <c r="F85" s="3118">
        <v>15</v>
      </c>
    </row>
    <row r="86" spans="1:6" ht="24">
      <c r="A86" s="3118">
        <v>14</v>
      </c>
      <c r="B86" s="3966"/>
      <c r="C86" s="3092" t="s">
        <v>2679</v>
      </c>
      <c r="D86" s="3092" t="s">
        <v>2680</v>
      </c>
      <c r="E86" s="3118">
        <v>0.1</v>
      </c>
      <c r="F86" s="3118">
        <v>15</v>
      </c>
    </row>
    <row r="87" spans="1:6" ht="24">
      <c r="A87" s="3118">
        <v>15</v>
      </c>
      <c r="B87" s="3966"/>
      <c r="C87" s="3092" t="s">
        <v>2681</v>
      </c>
      <c r="D87" s="3092" t="s">
        <v>2682</v>
      </c>
      <c r="E87" s="3118">
        <v>0.1</v>
      </c>
      <c r="F87" s="3118">
        <v>15</v>
      </c>
    </row>
    <row r="88" spans="1:6" ht="24">
      <c r="A88" s="3118">
        <v>16</v>
      </c>
      <c r="B88" s="3966"/>
      <c r="C88" s="3092" t="s">
        <v>2683</v>
      </c>
      <c r="D88" s="3092" t="s">
        <v>2684</v>
      </c>
      <c r="E88" s="3118">
        <v>0.1</v>
      </c>
      <c r="F88" s="3118">
        <v>15</v>
      </c>
    </row>
    <row r="89" spans="1:6" ht="24">
      <c r="A89" s="3118">
        <v>17</v>
      </c>
      <c r="B89" s="3975"/>
      <c r="C89" s="3092" t="s">
        <v>2685</v>
      </c>
      <c r="D89" s="3092" t="s">
        <v>2686</v>
      </c>
      <c r="E89" s="3118">
        <v>0.1</v>
      </c>
      <c r="F89" s="3118">
        <v>15</v>
      </c>
    </row>
    <row r="90" spans="1:6" ht="14.4">
      <c r="A90" s="3118">
        <v>18</v>
      </c>
      <c r="B90" s="3971" t="s">
        <v>2687</v>
      </c>
      <c r="C90" s="3092" t="s">
        <v>2688</v>
      </c>
      <c r="D90" s="3092" t="s">
        <v>2689</v>
      </c>
      <c r="E90" s="3118">
        <v>0.2</v>
      </c>
      <c r="F90" s="3118">
        <v>25</v>
      </c>
    </row>
    <row r="91" spans="1:6" ht="24">
      <c r="A91" s="3118">
        <v>19</v>
      </c>
      <c r="B91" s="3966"/>
      <c r="C91" s="3092" t="s">
        <v>2690</v>
      </c>
      <c r="D91" s="3092" t="s">
        <v>2691</v>
      </c>
      <c r="E91" s="3118">
        <v>0.2</v>
      </c>
      <c r="F91" s="3118">
        <v>25</v>
      </c>
    </row>
    <row r="92" spans="1:6" ht="14.4">
      <c r="A92" s="3118">
        <v>20</v>
      </c>
      <c r="B92" s="3966"/>
      <c r="C92" s="3092" t="s">
        <v>2692</v>
      </c>
      <c r="D92" s="3092" t="s">
        <v>2693</v>
      </c>
      <c r="E92" s="3118">
        <v>0.15</v>
      </c>
      <c r="F92" s="3118">
        <v>20</v>
      </c>
    </row>
    <row r="93" spans="1:6" ht="24">
      <c r="A93" s="3118">
        <v>21</v>
      </c>
      <c r="B93" s="3966"/>
      <c r="C93" s="3092" t="s">
        <v>2694</v>
      </c>
      <c r="D93" s="3092" t="s">
        <v>2695</v>
      </c>
      <c r="E93" s="3118">
        <v>0.15</v>
      </c>
      <c r="F93" s="3118">
        <v>20</v>
      </c>
    </row>
    <row r="94" spans="1:6" ht="24">
      <c r="A94" s="3118">
        <v>22</v>
      </c>
      <c r="B94" s="3966"/>
      <c r="C94" s="3092" t="s">
        <v>2696</v>
      </c>
      <c r="D94" s="3092" t="s">
        <v>2697</v>
      </c>
      <c r="E94" s="3118">
        <v>0.15</v>
      </c>
      <c r="F94" s="3118">
        <v>20</v>
      </c>
    </row>
    <row r="95" spans="1:6" ht="36">
      <c r="A95" s="3118">
        <v>23</v>
      </c>
      <c r="B95" s="3966"/>
      <c r="C95" s="3092" t="s">
        <v>2698</v>
      </c>
      <c r="D95" s="3092" t="s">
        <v>2699</v>
      </c>
      <c r="E95" s="3118">
        <v>0.15</v>
      </c>
      <c r="F95" s="3118">
        <v>20</v>
      </c>
    </row>
    <row r="96" spans="1:6" ht="24">
      <c r="A96" s="3118">
        <v>24</v>
      </c>
      <c r="B96" s="3966"/>
      <c r="C96" s="3092" t="s">
        <v>2700</v>
      </c>
      <c r="D96" s="3092" t="s">
        <v>2701</v>
      </c>
      <c r="E96" s="3118">
        <v>0.1</v>
      </c>
      <c r="F96" s="3118">
        <v>15</v>
      </c>
    </row>
    <row r="97" spans="1:6" ht="24">
      <c r="A97" s="3118">
        <v>25</v>
      </c>
      <c r="B97" s="3966"/>
      <c r="C97" s="3092" t="s">
        <v>2702</v>
      </c>
      <c r="D97" s="3092" t="s">
        <v>2703</v>
      </c>
      <c r="E97" s="3118">
        <v>0.1</v>
      </c>
      <c r="F97" s="3118">
        <v>15</v>
      </c>
    </row>
    <row r="98" spans="1:6" ht="24">
      <c r="A98" s="3118">
        <v>26</v>
      </c>
      <c r="B98" s="3966"/>
      <c r="C98" s="3092" t="s">
        <v>2704</v>
      </c>
      <c r="D98" s="3092" t="s">
        <v>2705</v>
      </c>
      <c r="E98" s="3118">
        <v>0.1</v>
      </c>
      <c r="F98" s="3118">
        <v>15</v>
      </c>
    </row>
    <row r="99" spans="1:6" ht="24">
      <c r="A99" s="3118">
        <v>27</v>
      </c>
      <c r="B99" s="3966"/>
      <c r="C99" s="3092" t="s">
        <v>2706</v>
      </c>
      <c r="D99" s="3092" t="s">
        <v>2707</v>
      </c>
      <c r="E99" s="3118">
        <v>0.1</v>
      </c>
      <c r="F99" s="3118">
        <v>15</v>
      </c>
    </row>
    <row r="100" spans="1:6" ht="24">
      <c r="A100" s="3118">
        <v>28</v>
      </c>
      <c r="B100" s="3966"/>
      <c r="C100" s="3092" t="s">
        <v>2708</v>
      </c>
      <c r="D100" s="3092" t="s">
        <v>2709</v>
      </c>
      <c r="E100" s="3118">
        <v>0.1</v>
      </c>
      <c r="F100" s="3118">
        <v>15</v>
      </c>
    </row>
    <row r="101" spans="1:6" ht="24">
      <c r="A101" s="3118">
        <v>29</v>
      </c>
      <c r="B101" s="3966"/>
      <c r="C101" s="3092" t="s">
        <v>2710</v>
      </c>
      <c r="D101" s="3092" t="s">
        <v>2711</v>
      </c>
      <c r="E101" s="3118">
        <v>0.1</v>
      </c>
      <c r="F101" s="3118">
        <v>15</v>
      </c>
    </row>
    <row r="102" spans="1:6" ht="24">
      <c r="A102" s="3118">
        <v>30</v>
      </c>
      <c r="B102" s="3966"/>
      <c r="C102" s="3092" t="s">
        <v>2712</v>
      </c>
      <c r="D102" s="3092" t="s">
        <v>2713</v>
      </c>
      <c r="E102" s="3118">
        <v>0.1</v>
      </c>
      <c r="F102" s="3118">
        <v>15</v>
      </c>
    </row>
    <row r="103" spans="1:6" ht="24">
      <c r="A103" s="3118">
        <v>31</v>
      </c>
      <c r="B103" s="3966"/>
      <c r="C103" s="3092" t="s">
        <v>2714</v>
      </c>
      <c r="D103" s="3092" t="s">
        <v>2715</v>
      </c>
      <c r="E103" s="3118">
        <v>0.1</v>
      </c>
      <c r="F103" s="3118">
        <v>15</v>
      </c>
    </row>
    <row r="104" spans="1:6" ht="24">
      <c r="A104" s="3118">
        <v>32</v>
      </c>
      <c r="B104" s="3966"/>
      <c r="C104" s="3092" t="s">
        <v>2716</v>
      </c>
      <c r="D104" s="3092" t="s">
        <v>2717</v>
      </c>
      <c r="E104" s="3118">
        <v>0.1</v>
      </c>
      <c r="F104" s="3118">
        <v>15</v>
      </c>
    </row>
    <row r="105" spans="1:6" ht="24">
      <c r="A105" s="3118">
        <v>33</v>
      </c>
      <c r="B105" s="3966"/>
      <c r="C105" s="3092" t="s">
        <v>2718</v>
      </c>
      <c r="D105" s="3092" t="s">
        <v>2719</v>
      </c>
      <c r="E105" s="3118">
        <v>0.1</v>
      </c>
      <c r="F105" s="3118">
        <v>15</v>
      </c>
    </row>
    <row r="106" spans="1:6" ht="24">
      <c r="A106" s="3118">
        <v>34</v>
      </c>
      <c r="B106" s="3975"/>
      <c r="C106" s="3092" t="s">
        <v>2720</v>
      </c>
      <c r="D106" s="3092" t="s">
        <v>2721</v>
      </c>
      <c r="E106" s="3118">
        <v>0.1</v>
      </c>
      <c r="F106" s="3118">
        <v>15</v>
      </c>
    </row>
    <row r="107" spans="1:6" ht="36">
      <c r="A107" s="3118">
        <v>35</v>
      </c>
      <c r="B107" s="3971" t="s">
        <v>2722</v>
      </c>
      <c r="C107" s="3118" t="s">
        <v>2723</v>
      </c>
      <c r="D107" s="3092" t="s">
        <v>2724</v>
      </c>
      <c r="E107" s="3118">
        <v>0.15</v>
      </c>
      <c r="F107" s="3118">
        <v>20</v>
      </c>
    </row>
    <row r="108" spans="1:6" ht="24">
      <c r="A108" s="3118">
        <v>36</v>
      </c>
      <c r="B108" s="3966"/>
      <c r="C108" s="3118" t="s">
        <v>2725</v>
      </c>
      <c r="D108" s="3092" t="s">
        <v>2726</v>
      </c>
      <c r="E108" s="3118">
        <v>0.15</v>
      </c>
      <c r="F108" s="3118">
        <v>20</v>
      </c>
    </row>
    <row r="109" spans="1:6" ht="24">
      <c r="A109" s="3118">
        <v>37</v>
      </c>
      <c r="B109" s="3966"/>
      <c r="C109" s="3118" t="s">
        <v>2727</v>
      </c>
      <c r="D109" s="3092" t="s">
        <v>2728</v>
      </c>
      <c r="E109" s="3118">
        <v>0.15</v>
      </c>
      <c r="F109" s="3118">
        <v>20</v>
      </c>
    </row>
    <row r="110" spans="1:6" ht="24">
      <c r="A110" s="3118">
        <v>38</v>
      </c>
      <c r="B110" s="3966"/>
      <c r="C110" s="3118" t="s">
        <v>2729</v>
      </c>
      <c r="D110" s="3092" t="s">
        <v>2730</v>
      </c>
      <c r="E110" s="3118">
        <v>0.1</v>
      </c>
      <c r="F110" s="3118">
        <v>15</v>
      </c>
    </row>
    <row r="111" spans="1:6" ht="24">
      <c r="A111" s="3118">
        <v>39</v>
      </c>
      <c r="B111" s="3966"/>
      <c r="C111" s="3118" t="s">
        <v>2731</v>
      </c>
      <c r="D111" s="3092" t="s">
        <v>2732</v>
      </c>
      <c r="E111" s="3118">
        <v>0.1</v>
      </c>
      <c r="F111" s="3118">
        <v>15</v>
      </c>
    </row>
    <row r="112" spans="1:6" ht="24">
      <c r="A112" s="3118">
        <v>40</v>
      </c>
      <c r="B112" s="3975"/>
      <c r="C112" s="3118" t="s">
        <v>2733</v>
      </c>
      <c r="D112" s="3092" t="s">
        <v>2734</v>
      </c>
      <c r="E112" s="3118">
        <v>0.1</v>
      </c>
      <c r="F112" s="3118">
        <v>15</v>
      </c>
    </row>
    <row r="113" spans="1:6" ht="24">
      <c r="A113" s="3118">
        <v>41</v>
      </c>
      <c r="B113" s="3976" t="s">
        <v>2735</v>
      </c>
      <c r="C113" s="3118" t="s">
        <v>2736</v>
      </c>
      <c r="D113" s="3092" t="s">
        <v>2737</v>
      </c>
      <c r="E113" s="3118">
        <v>0.1</v>
      </c>
      <c r="F113" s="3118">
        <v>15</v>
      </c>
    </row>
    <row r="114" spans="1:6" ht="24">
      <c r="A114" s="3118">
        <v>42</v>
      </c>
      <c r="B114" s="3976"/>
      <c r="C114" s="3118" t="s">
        <v>2738</v>
      </c>
      <c r="D114" s="3092" t="s">
        <v>2739</v>
      </c>
      <c r="E114" s="3118">
        <v>0.1</v>
      </c>
      <c r="F114" s="3118">
        <v>15</v>
      </c>
    </row>
    <row r="115" spans="1:6" ht="24">
      <c r="A115" s="3118">
        <v>43</v>
      </c>
      <c r="B115" s="3976"/>
      <c r="C115" s="3118" t="s">
        <v>2740</v>
      </c>
      <c r="D115" s="3092" t="s">
        <v>2741</v>
      </c>
      <c r="E115" s="3118">
        <v>0.1</v>
      </c>
      <c r="F115" s="3118">
        <v>15</v>
      </c>
    </row>
    <row r="116" spans="1:6" ht="24">
      <c r="A116" s="3118">
        <v>44</v>
      </c>
      <c r="B116" s="3971" t="s">
        <v>2742</v>
      </c>
      <c r="C116" s="3118" t="s">
        <v>2743</v>
      </c>
      <c r="D116" s="3092" t="s">
        <v>2744</v>
      </c>
      <c r="E116" s="3118">
        <v>0.1</v>
      </c>
      <c r="F116" s="3118">
        <v>15</v>
      </c>
    </row>
    <row r="117" spans="1:6" ht="24">
      <c r="A117" s="3118">
        <v>45</v>
      </c>
      <c r="B117" s="3975"/>
      <c r="C117" s="3092" t="s">
        <v>2745</v>
      </c>
      <c r="D117" s="3092" t="s">
        <v>2746</v>
      </c>
      <c r="E117" s="3118">
        <v>0.1</v>
      </c>
      <c r="F117" s="3118">
        <v>15</v>
      </c>
    </row>
    <row r="118" spans="1:6" ht="24">
      <c r="A118" s="3118">
        <v>46</v>
      </c>
      <c r="B118" s="3971" t="s">
        <v>2747</v>
      </c>
      <c r="C118" s="3118" t="s">
        <v>2748</v>
      </c>
      <c r="D118" s="3092" t="s">
        <v>2749</v>
      </c>
      <c r="E118" s="3118">
        <v>0.1</v>
      </c>
      <c r="F118" s="3118">
        <v>15</v>
      </c>
    </row>
    <row r="119" spans="1:6" ht="24">
      <c r="A119" s="3118">
        <v>47</v>
      </c>
      <c r="B119" s="3975"/>
      <c r="C119" s="3118" t="s">
        <v>2750</v>
      </c>
      <c r="D119" s="3092" t="s">
        <v>2751</v>
      </c>
      <c r="E119" s="3118">
        <v>0.1</v>
      </c>
      <c r="F119" s="3118">
        <v>15</v>
      </c>
    </row>
    <row r="120" spans="1:6" ht="24">
      <c r="A120" s="3118">
        <v>48</v>
      </c>
      <c r="B120" s="3971" t="s">
        <v>2752</v>
      </c>
      <c r="C120" s="3118" t="s">
        <v>2753</v>
      </c>
      <c r="D120" s="3092" t="s">
        <v>2754</v>
      </c>
      <c r="E120" s="3118">
        <v>0.1</v>
      </c>
      <c r="F120" s="3118">
        <v>15</v>
      </c>
    </row>
    <row r="121" spans="1:6" ht="24">
      <c r="A121" s="3118">
        <v>49</v>
      </c>
      <c r="B121" s="3975"/>
      <c r="C121" s="3118" t="s">
        <v>2755</v>
      </c>
      <c r="D121" s="3092" t="s">
        <v>2756</v>
      </c>
      <c r="E121" s="3118">
        <v>0.1</v>
      </c>
      <c r="F121" s="3118">
        <v>15</v>
      </c>
    </row>
    <row r="122" spans="1:6" ht="24">
      <c r="A122" s="3118">
        <v>50</v>
      </c>
      <c r="B122" s="3976" t="s">
        <v>2757</v>
      </c>
      <c r="C122" s="3118" t="s">
        <v>2758</v>
      </c>
      <c r="D122" s="3092" t="s">
        <v>2759</v>
      </c>
      <c r="E122" s="3118">
        <v>0.1</v>
      </c>
      <c r="F122" s="3118">
        <v>15</v>
      </c>
    </row>
    <row r="123" spans="1:6" ht="24">
      <c r="A123" s="3118">
        <v>51</v>
      </c>
      <c r="B123" s="3976"/>
      <c r="C123" s="3118" t="s">
        <v>2760</v>
      </c>
      <c r="D123" s="3092" t="s">
        <v>2761</v>
      </c>
      <c r="E123" s="3118">
        <v>0.1</v>
      </c>
      <c r="F123" s="3118">
        <v>15</v>
      </c>
    </row>
    <row r="124" spans="1:6" ht="24">
      <c r="A124" s="3118">
        <v>52</v>
      </c>
      <c r="B124" s="3976" t="s">
        <v>2762</v>
      </c>
      <c r="C124" s="3118" t="s">
        <v>2763</v>
      </c>
      <c r="D124" s="3092" t="s">
        <v>2764</v>
      </c>
      <c r="E124" s="3118">
        <v>0.1</v>
      </c>
      <c r="F124" s="3118">
        <v>15</v>
      </c>
    </row>
    <row r="125" spans="1:6" ht="24">
      <c r="A125" s="3118">
        <v>53</v>
      </c>
      <c r="B125" s="3976"/>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976" t="s">
        <v>2770</v>
      </c>
      <c r="C127" s="3118" t="s">
        <v>2771</v>
      </c>
      <c r="D127" s="3092" t="s">
        <v>2772</v>
      </c>
      <c r="E127" s="3118">
        <v>0.1</v>
      </c>
      <c r="F127" s="3118">
        <v>15</v>
      </c>
    </row>
    <row r="128" spans="1:6" ht="24">
      <c r="A128" s="3118">
        <v>56</v>
      </c>
      <c r="B128" s="3976"/>
      <c r="C128" s="3118" t="s">
        <v>2773</v>
      </c>
      <c r="D128" s="3092" t="s">
        <v>2774</v>
      </c>
      <c r="E128" s="3118">
        <v>0.1</v>
      </c>
      <c r="F128" s="3118">
        <v>15</v>
      </c>
    </row>
    <row r="129" spans="1:6" ht="24">
      <c r="A129" s="3118">
        <v>57</v>
      </c>
      <c r="B129" s="3976"/>
      <c r="C129" s="3118" t="s">
        <v>2775</v>
      </c>
      <c r="D129" s="3092" t="s">
        <v>2776</v>
      </c>
      <c r="E129" s="3118">
        <v>0.1</v>
      </c>
      <c r="F129" s="3118">
        <v>15</v>
      </c>
    </row>
    <row r="130" spans="1:6" ht="24">
      <c r="A130" s="3118">
        <v>58</v>
      </c>
      <c r="B130" s="3976" t="s">
        <v>2777</v>
      </c>
      <c r="C130" s="3118" t="s">
        <v>2778</v>
      </c>
      <c r="D130" s="3092" t="s">
        <v>2779</v>
      </c>
      <c r="E130" s="3118">
        <v>0.1</v>
      </c>
      <c r="F130" s="3118">
        <v>15</v>
      </c>
    </row>
    <row r="131" spans="1:6" ht="24">
      <c r="A131" s="3118">
        <v>59</v>
      </c>
      <c r="B131" s="3976"/>
      <c r="C131" s="3118" t="s">
        <v>2780</v>
      </c>
      <c r="D131" s="3092" t="s">
        <v>2781</v>
      </c>
      <c r="E131" s="3118">
        <v>0.1</v>
      </c>
      <c r="F131" s="3118">
        <v>15</v>
      </c>
    </row>
    <row r="132" spans="1:6" ht="24">
      <c r="A132" s="3118">
        <v>60</v>
      </c>
      <c r="B132" s="3971" t="s">
        <v>2782</v>
      </c>
      <c r="C132" s="3118" t="s">
        <v>2783</v>
      </c>
      <c r="D132" s="3092" t="s">
        <v>2784</v>
      </c>
      <c r="E132" s="3118">
        <v>0.1</v>
      </c>
      <c r="F132" s="3118">
        <v>15</v>
      </c>
    </row>
    <row r="133" spans="1:6" ht="24">
      <c r="A133" s="3118">
        <v>61</v>
      </c>
      <c r="B133" s="3975"/>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976" t="s">
        <v>2790</v>
      </c>
      <c r="C135" s="3118" t="s">
        <v>2791</v>
      </c>
      <c r="D135" s="3092" t="s">
        <v>2792</v>
      </c>
      <c r="E135" s="3118">
        <v>0.1</v>
      </c>
      <c r="F135" s="3118">
        <v>15</v>
      </c>
    </row>
    <row r="136" spans="1:6" ht="24">
      <c r="A136" s="3118">
        <v>64</v>
      </c>
      <c r="B136" s="3976"/>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7"/>
      <c r="C2" s="3657"/>
      <c r="D2" s="3657"/>
      <c r="E2" s="3657"/>
    </row>
    <row r="3" spans="1:5" ht="17.399999999999999">
      <c r="A3" s="3658" t="str">
        <f>IF(项目基本情况!B9="房地产市场价值","估价结果一览表（市场价值不需“结果表-1”）","估价结果一览表")</f>
        <v>估价结果一览表（市场价值不需“结果表-1”）</v>
      </c>
      <c r="B3" s="3658"/>
      <c r="C3" s="3658"/>
      <c r="D3" s="3658"/>
      <c r="E3" s="3658"/>
    </row>
    <row r="4" spans="1:5" ht="18" thickBot="1">
      <c r="A4" s="1493"/>
      <c r="B4" s="3656" t="s">
        <v>917</v>
      </c>
      <c r="C4" s="3656"/>
      <c r="D4" s="3656"/>
      <c r="E4" s="1493"/>
    </row>
    <row r="5" spans="1:5" ht="16.2" thickTop="1">
      <c r="A5" s="1491"/>
      <c r="B5" s="3654" t="s">
        <v>909</v>
      </c>
      <c r="C5" s="1494" t="s">
        <v>910</v>
      </c>
      <c r="D5" s="850" t="e">
        <f ca="1">结果表!H101</f>
        <v>#REF!</v>
      </c>
      <c r="E5" s="1491"/>
    </row>
    <row r="6" spans="1:5" ht="15.6">
      <c r="A6" s="1491"/>
      <c r="B6" s="3654"/>
      <c r="C6" s="1494" t="s">
        <v>911</v>
      </c>
      <c r="D6" s="850" t="e">
        <f ca="1">NUMBERSTRING(INT(D5*10000),2)&amp;"元整"</f>
        <v>#REF!</v>
      </c>
      <c r="E6" s="1491"/>
    </row>
    <row r="7" spans="1:5" ht="15.6">
      <c r="A7" s="1491"/>
      <c r="B7" s="3659"/>
      <c r="C7" s="1495" t="s">
        <v>912</v>
      </c>
      <c r="D7" s="851" t="e">
        <f ca="1">结果表!H102</f>
        <v>#REF!</v>
      </c>
      <c r="E7" s="1491"/>
    </row>
    <row r="8" spans="1:5" ht="15.6">
      <c r="A8" s="1491"/>
      <c r="B8" s="3660" t="str">
        <f>结果表!E103</f>
        <v>2.估价师知悉的法定优先受偿款</v>
      </c>
      <c r="C8" s="1496" t="s">
        <v>913</v>
      </c>
      <c r="D8" s="851">
        <f>结果表!H103</f>
        <v>0</v>
      </c>
      <c r="E8" s="1491"/>
    </row>
    <row r="9" spans="1:5" ht="15.6">
      <c r="A9" s="1491"/>
      <c r="B9" s="3662"/>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53" t="str">
        <f>结果表!E107</f>
        <v>3.房地产抵押价值</v>
      </c>
      <c r="C13" s="1499" t="s">
        <v>910</v>
      </c>
      <c r="D13" s="853" t="e">
        <f ca="1">结果表!H107</f>
        <v>#REF!</v>
      </c>
      <c r="E13" s="1491"/>
    </row>
    <row r="14" spans="1:5" ht="15.6">
      <c r="A14" s="1491"/>
      <c r="B14" s="3654"/>
      <c r="C14" s="1494" t="s">
        <v>911</v>
      </c>
      <c r="D14" s="850" t="e">
        <f ca="1">NUMBERSTRING(INT(D13*10000),2)&amp;"元整"</f>
        <v>#REF!</v>
      </c>
      <c r="E14" s="1491"/>
    </row>
    <row r="15" spans="1:5" ht="15.6">
      <c r="A15" s="1491"/>
      <c r="B15" s="3659"/>
      <c r="C15" s="1495" t="s">
        <v>921</v>
      </c>
      <c r="D15" s="859" t="e">
        <f ca="1">结果表!H108</f>
        <v>#REF!</v>
      </c>
      <c r="E15" s="1491"/>
    </row>
    <row r="16" spans="1:5" ht="15.6">
      <c r="A16" s="1491"/>
      <c r="B16" s="3660" t="str">
        <f>结果表!E109</f>
        <v>——</v>
      </c>
      <c r="C16" s="1499" t="s">
        <v>922</v>
      </c>
      <c r="D16" s="1500" t="str">
        <f>结果表!H109</f>
        <v>——</v>
      </c>
      <c r="E16" s="1491"/>
    </row>
    <row r="17" spans="1:5" ht="15.6">
      <c r="A17" s="1491"/>
      <c r="B17" s="3661"/>
      <c r="C17" s="1494" t="s">
        <v>923</v>
      </c>
      <c r="D17" s="850" t="e">
        <f>NUMBERSTRING(INT(D16*10000),2)&amp;"元整"</f>
        <v>#VALUE!</v>
      </c>
      <c r="E17" s="1491"/>
    </row>
    <row r="18" spans="1:5" ht="15.6">
      <c r="A18" s="1491"/>
      <c r="B18" s="3662"/>
      <c r="C18" s="1495" t="s">
        <v>912</v>
      </c>
      <c r="D18" s="859" t="str">
        <f>结果表!H110</f>
        <v>——</v>
      </c>
      <c r="E18" s="1491"/>
    </row>
    <row r="19" spans="1:5" ht="15.6">
      <c r="A19" s="1491"/>
      <c r="B19" s="3653" t="str">
        <f>结果表!E111</f>
        <v>——</v>
      </c>
      <c r="C19" s="1499" t="s">
        <v>910</v>
      </c>
      <c r="D19" s="851" t="str">
        <f>结果表!H111</f>
        <v>——</v>
      </c>
      <c r="E19" s="1491"/>
    </row>
    <row r="20" spans="1:5" ht="15.6">
      <c r="A20" s="1491"/>
      <c r="B20" s="3654"/>
      <c r="C20" s="1494" t="s">
        <v>923</v>
      </c>
      <c r="D20" s="850" t="e">
        <f>NUMBERSTRING(INT(D19*10000),2)&amp;"元整"</f>
        <v>#VALUE!</v>
      </c>
      <c r="E20" s="1491"/>
    </row>
    <row r="21" spans="1:5" ht="16.2" thickBot="1">
      <c r="A21" s="1491"/>
      <c r="B21" s="3655"/>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27715</v>
      </c>
      <c r="C2" s="2" t="s">
        <v>106</v>
      </c>
      <c r="D2" s="199"/>
      <c r="E2" s="199"/>
      <c r="F2" s="199"/>
      <c r="G2" s="199"/>
    </row>
    <row r="3" spans="1:7" s="200" customFormat="1" ht="18" customHeight="1" thickBot="1">
      <c r="A3" s="203" t="s">
        <v>58</v>
      </c>
      <c r="B3" s="204">
        <f ca="1">ROUND(B2*10000/'数据-汇总表'!E3,0)</f>
        <v>3141578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88.22</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88.22</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2573</v>
      </c>
      <c r="D22" s="235">
        <f ca="1">C26</f>
        <v>5.9999999999999995E-4</v>
      </c>
      <c r="E22" s="236" t="s">
        <v>99</v>
      </c>
      <c r="F22" s="237">
        <f ca="1">'数据-取费表'!B40</f>
        <v>6.0299999999999999E-2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2561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2498</v>
      </c>
      <c r="D27" s="235">
        <f>C29</f>
        <v>1.1999999999999999E-3</v>
      </c>
      <c r="E27" s="236" t="s">
        <v>99</v>
      </c>
      <c r="F27" s="246">
        <f>'数据-取费表'!Q16</f>
        <v>0.12</v>
      </c>
      <c r="G27" s="247" t="s">
        <v>431</v>
      </c>
    </row>
    <row r="28" spans="1:7" s="214" customFormat="1" ht="13.5" customHeight="1">
      <c r="A28" s="780" t="s">
        <v>349</v>
      </c>
      <c r="B28" s="248" t="s">
        <v>424</v>
      </c>
      <c r="C28" s="249">
        <f>ROUND((C5+C19+C20)*F27*'数据-取费表'!B21/'数据-取费表'!B20,0)</f>
        <v>2498</v>
      </c>
      <c r="D28" s="235"/>
      <c r="E28" s="236"/>
      <c r="F28" s="246"/>
      <c r="G28" s="247"/>
    </row>
    <row r="29" spans="1:7" s="214" customFormat="1" ht="13.5" customHeight="1">
      <c r="A29" s="780" t="s">
        <v>347</v>
      </c>
      <c r="B29" s="248" t="s">
        <v>425</v>
      </c>
      <c r="C29" s="238">
        <f>ROUND(C21*F27*'数据-取费表'!B21/'数据-取费表'!B20,4)</f>
        <v>1.1999999999999999E-3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27693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2</v>
      </c>
      <c r="D37" s="217">
        <f>'数据-汇总表'!E3</f>
        <v>88.22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835" t="s">
        <v>94</v>
      </c>
    </row>
    <row r="43" spans="1:7" ht="13.5" customHeight="1">
      <c r="A43" s="780" t="s">
        <v>347</v>
      </c>
      <c r="B43" s="215" t="s">
        <v>426</v>
      </c>
      <c r="C43" s="238">
        <f ca="1">ROUND(IF('数据-取费表'!B22&lt;=1,C39*F22*'数据-取费表'!B21/2,C39*(POWER((1+F22),'数据-取费表'!B21/2)-1)),0)</f>
        <v>0</v>
      </c>
      <c r="D43" s="238"/>
      <c r="E43" s="238"/>
      <c r="F43" s="239"/>
      <c r="G43" s="3836"/>
    </row>
    <row r="44" spans="1:7" ht="13.5" customHeight="1">
      <c r="A44" s="780" t="s">
        <v>348</v>
      </c>
      <c r="B44" s="215" t="s">
        <v>428</v>
      </c>
      <c r="C44" s="238">
        <f ca="1">ROUND(IF('数据-取费表'!B22&lt;=1,C40*F22*'数据-取费表'!B21/2,C40*(POWER((1+F22),'数据-取费表'!B21/2)-1)),4)</f>
        <v>5.9999999999999995E-4</v>
      </c>
      <c r="D44" s="238"/>
      <c r="E44" s="238"/>
      <c r="F44" s="239"/>
      <c r="G44" s="3837"/>
    </row>
    <row r="45" spans="1:7" s="214" customFormat="1" ht="13.5" customHeight="1">
      <c r="A45" s="777" t="s">
        <v>341</v>
      </c>
      <c r="B45" s="244" t="s">
        <v>85</v>
      </c>
      <c r="C45" s="245">
        <f>C46</f>
        <v>2</v>
      </c>
      <c r="D45" s="235">
        <f>C47</f>
        <v>1.1999999999999999E-3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1.1999999999999999E-3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22</v>
      </c>
      <c r="D51" s="232"/>
      <c r="E51" s="232"/>
      <c r="F51" s="264"/>
      <c r="G51" s="234" t="s">
        <v>37</v>
      </c>
    </row>
    <row r="52" spans="1:7" s="208" customFormat="1" ht="16.8" thickBot="1">
      <c r="A52" s="265" t="s">
        <v>38</v>
      </c>
      <c r="B52" s="266"/>
      <c r="C52" s="267">
        <f ca="1">C31+C51</f>
        <v>27715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979" t="s">
        <v>2840</v>
      </c>
      <c r="B1" s="3979"/>
      <c r="C1" s="3979"/>
      <c r="D1" s="3979"/>
      <c r="E1" s="3979"/>
      <c r="F1" s="3979"/>
      <c r="G1" s="3980"/>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977"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978"/>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981" t="s">
        <v>3182</v>
      </c>
      <c r="B1" s="3981"/>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982" t="s">
        <v>3233</v>
      </c>
      <c r="B1" s="3982"/>
      <c r="C1" s="3982"/>
      <c r="D1" s="3982"/>
      <c r="E1" s="3982"/>
      <c r="F1" s="3983"/>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38916</v>
      </c>
      <c r="B1" s="3210" t="s">
        <v>3372</v>
      </c>
      <c r="C1" s="3211"/>
      <c r="D1" s="3211"/>
      <c r="E1" s="3211"/>
      <c r="F1" s="3211"/>
      <c r="G1" s="3211"/>
      <c r="H1" s="3211"/>
      <c r="I1" s="3211"/>
      <c r="J1" s="3165"/>
      <c r="K1" s="3211" t="s">
        <v>454</v>
      </c>
      <c r="L1" s="3211"/>
      <c r="M1" s="3211"/>
      <c r="N1" s="3211"/>
      <c r="O1" s="3211"/>
      <c r="P1" s="3211"/>
      <c r="Q1" s="3165"/>
      <c r="R1" s="3984" t="s">
        <v>456</v>
      </c>
      <c r="S1" s="3985"/>
      <c r="T1" s="3985"/>
      <c r="U1" s="3985"/>
      <c r="V1" s="3985"/>
      <c r="W1" s="3985"/>
      <c r="X1" s="3165"/>
      <c r="Y1" s="3984" t="s">
        <v>457</v>
      </c>
      <c r="Z1" s="3985"/>
      <c r="AA1" s="3985"/>
      <c r="AB1" s="3985"/>
      <c r="AC1" s="3985"/>
      <c r="AD1" s="3985"/>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984" t="s">
        <v>2828</v>
      </c>
      <c r="S24" s="3985"/>
      <c r="T24" s="3985"/>
      <c r="U24" s="3985"/>
      <c r="V24" s="3985"/>
      <c r="W24" s="3985"/>
      <c r="X24" s="3165"/>
      <c r="Y24" s="3984" t="s">
        <v>2829</v>
      </c>
      <c r="Z24" s="3985"/>
      <c r="AA24" s="3985"/>
      <c r="AB24" s="3985"/>
      <c r="AC24" s="3985"/>
      <c r="AD24" s="3985"/>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991" t="s">
        <v>452</v>
      </c>
      <c r="C1" s="3991"/>
      <c r="D1" s="3991"/>
      <c r="E1" s="3991"/>
      <c r="F1" s="3991"/>
      <c r="G1" s="3987" t="s">
        <v>453</v>
      </c>
      <c r="H1" s="3987"/>
      <c r="I1" s="3987"/>
      <c r="J1" s="3987"/>
      <c r="K1" s="3987"/>
      <c r="L1" s="3987"/>
      <c r="N1" s="3987" t="s">
        <v>454</v>
      </c>
      <c r="O1" s="3987"/>
      <c r="P1" s="3987"/>
      <c r="Q1" s="3987"/>
      <c r="S1" s="3987" t="s">
        <v>455</v>
      </c>
      <c r="T1" s="3987"/>
      <c r="U1" s="3987"/>
      <c r="V1" s="3987"/>
      <c r="X1" s="3986" t="s">
        <v>456</v>
      </c>
      <c r="Y1" s="3987"/>
      <c r="Z1" s="3987"/>
      <c r="AA1" s="3987"/>
      <c r="AB1" s="3987"/>
      <c r="AD1" s="3986" t="s">
        <v>457</v>
      </c>
      <c r="AE1" s="3987"/>
      <c r="AF1" s="3987"/>
      <c r="AG1" s="3987"/>
      <c r="AH1" s="398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9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9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9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9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9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9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9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9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9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9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9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9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9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9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89">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990">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9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89">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990">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38916</v>
      </c>
      <c r="D1" s="1302" t="s">
        <v>603</v>
      </c>
      <c r="E1" s="1297">
        <f>'数据-取费表'!B22</f>
        <v>2</v>
      </c>
      <c r="F1" s="1302" t="s">
        <v>604</v>
      </c>
      <c r="G1" s="1298">
        <f ca="1">INDIRECT("d"&amp;$K$1)/100</f>
        <v>6.0299999999999999E-2</v>
      </c>
      <c r="H1" s="1302" t="s">
        <v>634</v>
      </c>
      <c r="I1" s="1298">
        <f ca="1">F4/100</f>
        <v>2.2499999999999999E-2</v>
      </c>
      <c r="J1" s="1303">
        <f>IF(C1&gt;C13,0,MATCH(C1,C$13:C$113,-1))+IF(SUMIF(C13:C113,C1,D13:D113)=0,13,12)</f>
        <v>52</v>
      </c>
      <c r="K1" s="1303">
        <f>MATCH(E1,C3:C7,1)+IF(SUMIF(C3:C7,E1,D3:D7)=0,2,1)</f>
        <v>5</v>
      </c>
      <c r="L1" s="1303">
        <f>IF(C1&gt;M13,0,MATCH(C1,M$13:M$100,-1))+IF(SUMIF(M13:M100,C1,N13:N100)=0,13,12)</f>
        <v>38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5.4</v>
      </c>
      <c r="E3" s="1246">
        <v>0.5</v>
      </c>
      <c r="F3" s="1247">
        <f ca="1">INDIRECT("p"&amp;$L$1)</f>
        <v>2.0699999999999998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5.85</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6.03</v>
      </c>
      <c r="E5" s="1252">
        <v>2</v>
      </c>
      <c r="F5" s="1253">
        <f ca="1">INDIRECT("r"&amp;$L$1)</f>
        <v>2.7</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6.12</v>
      </c>
      <c r="E6" s="1252">
        <v>3</v>
      </c>
      <c r="F6" s="1253">
        <f ca="1">INDIRECT("s"&amp;$L$1)</f>
        <v>3.24</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6.39</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63" t="str">
        <f>IF(项目基本情况!B9="房地产市场价值","估价结果一览表","结果表-2")</f>
        <v>估价结果一览表</v>
      </c>
      <c r="B1" s="3663"/>
      <c r="C1" s="3663"/>
      <c r="D1" s="3663"/>
      <c r="E1" s="3663"/>
      <c r="F1" s="3663"/>
      <c r="G1" s="3663"/>
      <c r="H1" s="3663"/>
      <c r="I1" s="3663"/>
    </row>
    <row r="2" spans="1:9" ht="30" customHeight="1" thickTop="1">
      <c r="A2" s="3664" t="s">
        <v>928</v>
      </c>
      <c r="B2" s="3664" t="s">
        <v>929</v>
      </c>
      <c r="C2" s="3664" t="s">
        <v>930</v>
      </c>
      <c r="D2" s="3664" t="str">
        <f>结果表!D116</f>
        <v>出让国有建设用地使用权价值</v>
      </c>
      <c r="E2" s="3664"/>
      <c r="F2" s="3664" t="str">
        <f>结果表!F116</f>
        <v>在建建筑物价值</v>
      </c>
      <c r="G2" s="3664"/>
      <c r="H2" s="3664" t="str">
        <f>IF(项目基本情况!B9="房地产市场价值","房地产市场价值","房地产价值")</f>
        <v>房地产市场价值</v>
      </c>
      <c r="I2" s="3664"/>
    </row>
    <row r="3" spans="1:9" ht="15.6">
      <c r="A3" s="3665"/>
      <c r="B3" s="3665"/>
      <c r="C3" s="3665"/>
      <c r="D3" s="854" t="s">
        <v>925</v>
      </c>
      <c r="E3" s="854" t="s">
        <v>931</v>
      </c>
      <c r="F3" s="854" t="s">
        <v>925</v>
      </c>
      <c r="G3" s="854" t="s">
        <v>926</v>
      </c>
      <c r="H3" s="854" t="s">
        <v>925</v>
      </c>
      <c r="I3" s="854" t="s">
        <v>926</v>
      </c>
    </row>
    <row r="4" spans="1:9" ht="15">
      <c r="A4" s="1505" t="str">
        <f>项目基本情况!S2</f>
        <v>北京市房地产</v>
      </c>
      <c r="B4" s="854">
        <f>项目基本情况!C17</f>
        <v>88.22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65" t="s">
        <v>927</v>
      </c>
      <c r="B5" s="3665"/>
      <c r="C5" s="3665"/>
      <c r="D5" s="3665" t="e">
        <f ca="1">结果表!D119</f>
        <v>#REF!</v>
      </c>
      <c r="E5" s="3665"/>
      <c r="F5" s="3665" t="e">
        <f ca="1">结果表!F119</f>
        <v>#REF!</v>
      </c>
      <c r="G5" s="3665"/>
      <c r="H5" s="3665" t="e">
        <f ca="1">结果表!H119</f>
        <v>#REF!</v>
      </c>
      <c r="I5" s="3665"/>
    </row>
    <row r="6" spans="1:9" ht="15.6">
      <c r="A6" s="3666" t="str">
        <f>结果表!A120</f>
        <v/>
      </c>
      <c r="B6" s="3666"/>
      <c r="C6" s="3666"/>
      <c r="D6" s="3666">
        <f>结果表!D120</f>
        <v>0</v>
      </c>
      <c r="E6" s="3666"/>
      <c r="F6" s="3666"/>
      <c r="G6" s="3666"/>
      <c r="H6" s="3666"/>
      <c r="I6" s="3666"/>
    </row>
    <row r="7" spans="1:9" ht="15">
      <c r="A7" s="3665" t="s">
        <v>927</v>
      </c>
      <c r="B7" s="3665"/>
      <c r="C7" s="3665"/>
      <c r="D7" s="3667" t="str">
        <f>结果表!D121</f>
        <v>零元整</v>
      </c>
      <c r="E7" s="3668"/>
      <c r="F7" s="3668"/>
      <c r="G7" s="3668"/>
      <c r="H7" s="3668"/>
      <c r="I7" s="3669"/>
    </row>
    <row r="8" spans="1:9" ht="15.6">
      <c r="A8" s="3666" t="str">
        <f>结果表!A122</f>
        <v/>
      </c>
      <c r="B8" s="3666"/>
      <c r="C8" s="3666"/>
      <c r="D8" s="3666" t="e">
        <f ca="1">结果表!D122</f>
        <v>#REF!</v>
      </c>
      <c r="E8" s="3666"/>
      <c r="F8" s="3666"/>
      <c r="G8" s="3666"/>
      <c r="H8" s="3666"/>
      <c r="I8" s="3666"/>
    </row>
    <row r="9" spans="1:9" ht="15">
      <c r="A9" s="3665" t="s">
        <v>927</v>
      </c>
      <c r="B9" s="3665"/>
      <c r="C9" s="3665"/>
      <c r="D9" s="3665" t="e">
        <f ca="1">结果表!D123</f>
        <v>#REF!</v>
      </c>
      <c r="E9" s="3665"/>
      <c r="F9" s="3665"/>
      <c r="G9" s="3665"/>
      <c r="H9" s="3665"/>
      <c r="I9" s="3665"/>
    </row>
    <row r="10" spans="1:9" ht="15.6">
      <c r="A10" s="3666" t="str">
        <f>结果表!A124</f>
        <v/>
      </c>
      <c r="B10" s="3666"/>
      <c r="C10" s="3666"/>
      <c r="D10" s="3666" t="str">
        <f>结果表!D124</f>
        <v>——</v>
      </c>
      <c r="E10" s="3666"/>
      <c r="F10" s="3666"/>
      <c r="G10" s="3666"/>
      <c r="H10" s="3666"/>
      <c r="I10" s="3666"/>
    </row>
    <row r="11" spans="1:9" ht="15">
      <c r="A11" s="3665" t="s">
        <v>927</v>
      </c>
      <c r="B11" s="3665"/>
      <c r="C11" s="3665"/>
      <c r="D11" s="3665" t="e">
        <f>结果表!D125</f>
        <v>#VALUE!</v>
      </c>
      <c r="E11" s="3665"/>
      <c r="F11" s="3665"/>
      <c r="G11" s="3665"/>
      <c r="H11" s="3665"/>
      <c r="I11" s="3665"/>
    </row>
    <row r="12" spans="1:9" ht="15.6">
      <c r="A12" s="3666" t="str">
        <f>结果表!A126</f>
        <v/>
      </c>
      <c r="B12" s="3666"/>
      <c r="C12" s="3666"/>
      <c r="D12" s="3666" t="str">
        <f>结果表!D126</f>
        <v>——</v>
      </c>
      <c r="E12" s="3666"/>
      <c r="F12" s="3666"/>
      <c r="G12" s="3666"/>
      <c r="H12" s="3666"/>
      <c r="I12" s="3666"/>
    </row>
    <row r="13" spans="1:9" ht="15.6" thickBot="1">
      <c r="A13" s="3670" t="s">
        <v>927</v>
      </c>
      <c r="B13" s="3670"/>
      <c r="C13" s="3670"/>
      <c r="D13" s="3670" t="e">
        <f>结果表!D127</f>
        <v>#VALUE!</v>
      </c>
      <c r="E13" s="3670"/>
      <c r="F13" s="3670"/>
      <c r="G13" s="3670"/>
      <c r="H13" s="3670"/>
      <c r="I13" s="3670"/>
    </row>
    <row r="14" spans="1:9" ht="14.4" thickTop="1">
      <c r="A14" s="3671" t="s">
        <v>932</v>
      </c>
      <c r="B14" s="3671"/>
      <c r="C14" s="3671"/>
      <c r="D14" s="3671"/>
      <c r="E14" s="3671"/>
      <c r="F14" s="3671"/>
      <c r="G14" s="3671"/>
      <c r="H14" s="3671"/>
      <c r="I14" s="367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72" t="s">
        <v>949</v>
      </c>
      <c r="B1" s="3672"/>
      <c r="C1" s="3672"/>
      <c r="D1" s="3672"/>
    </row>
    <row r="2" spans="1:4" ht="17.399999999999999">
      <c r="A2" s="3673" t="s">
        <v>933</v>
      </c>
      <c r="B2" s="3673"/>
      <c r="C2" s="3673"/>
      <c r="D2" s="367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73" t="s">
        <v>939</v>
      </c>
      <c r="B6" s="3673"/>
      <c r="C6" s="3673"/>
      <c r="D6" s="367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74" t="s">
        <v>942</v>
      </c>
      <c r="B11" s="3675"/>
      <c r="C11" s="3675"/>
      <c r="D11" s="3675"/>
    </row>
    <row r="12" spans="1:4" ht="15.6">
      <c r="A12" s="36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76"/>
      <c r="C12" s="3676"/>
      <c r="D12" s="3676"/>
    </row>
    <row r="13" spans="1:4" ht="30" customHeight="1">
      <c r="A13" s="3675" t="str">
        <f>IF(项目基本情况!B8="抵押","3.抵押双方在办理抵押登记手续时，应使用本公司出具的正式《房地产评估报告》，特提醒报告使用者注意。","——")</f>
        <v>——</v>
      </c>
      <c r="B13" s="3676"/>
      <c r="C13" s="3676"/>
      <c r="D13" s="3676"/>
    </row>
    <row r="14" spans="1:4" ht="15.75" customHeight="1">
      <c r="A14" s="3675" t="str">
        <f>IF(项目基本情况!B8="抵押","4.本次评估估价师所知悉的法定优先受偿款情况说明如下：","——")</f>
        <v>——</v>
      </c>
      <c r="B14" s="3676"/>
      <c r="C14" s="3676"/>
      <c r="D14" s="3676"/>
    </row>
    <row r="15" spans="1:4" ht="42" customHeight="1">
      <c r="A15" s="3675" t="str">
        <f>IF(项目基本情况!B8="抵押","（1）"&amp;CONCATENATE(项目基本情况!L20,项目基本情况!L21,项目基本情况!L22),"——")</f>
        <v>——</v>
      </c>
      <c r="B15" s="3675"/>
      <c r="C15" s="3675"/>
      <c r="D15" s="3675"/>
    </row>
    <row r="16" spans="1:4" ht="30" customHeight="1">
      <c r="A16" s="3678" t="s">
        <v>943</v>
      </c>
      <c r="B16" s="3678"/>
      <c r="C16" s="3678"/>
      <c r="D16" s="3678"/>
    </row>
    <row r="17" spans="1:4" ht="144" customHeight="1">
      <c r="A17" s="3678" t="s">
        <v>944</v>
      </c>
      <c r="B17" s="3678"/>
      <c r="C17" s="3678"/>
      <c r="D17" s="3678"/>
    </row>
    <row r="18" spans="1:4" ht="15.75" customHeight="1">
      <c r="A18" s="3675" t="str">
        <f>IF(项目基本情况!B8="抵押",结果表!K120,"——")</f>
        <v>——</v>
      </c>
      <c r="B18" s="3675"/>
      <c r="C18" s="3675"/>
      <c r="D18" s="3675"/>
    </row>
    <row r="19" spans="1:4" ht="46.5" customHeight="1">
      <c r="A19" s="36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75"/>
      <c r="C19" s="3675"/>
      <c r="D19" s="3675"/>
    </row>
    <row r="20" spans="1:4" ht="57.75" customHeight="1">
      <c r="A20" s="36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5"/>
      <c r="C20" s="3675"/>
      <c r="D20" s="3675"/>
    </row>
    <row r="21" spans="1:4" ht="57.75" customHeight="1">
      <c r="A21" s="36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9"/>
      <c r="C21" s="3679"/>
      <c r="D21" s="3679"/>
    </row>
    <row r="22" spans="1:4" ht="18.75" customHeight="1">
      <c r="A22" s="3680" t="s">
        <v>945</v>
      </c>
      <c r="B22" s="3680"/>
      <c r="C22" s="3680"/>
      <c r="D22" s="368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77">
        <v>42551</v>
      </c>
      <c r="D31" s="36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86" t="s">
        <v>956</v>
      </c>
      <c r="B15" s="3681" t="s">
        <v>109</v>
      </c>
      <c r="C15" s="3682"/>
    </row>
    <row r="16" spans="1:7" ht="14.4">
      <c r="A16" s="3687"/>
      <c r="B16" s="3681" t="s">
        <v>42</v>
      </c>
      <c r="C16" s="3682"/>
    </row>
    <row r="17" spans="1:3" ht="14.4">
      <c r="A17" s="3687"/>
      <c r="B17" s="3684" t="s">
        <v>957</v>
      </c>
      <c r="C17" s="1532" t="s">
        <v>956</v>
      </c>
    </row>
    <row r="18" spans="1:3" ht="14.4">
      <c r="A18" s="3687"/>
      <c r="B18" s="3684"/>
      <c r="C18" s="1532" t="s">
        <v>958</v>
      </c>
    </row>
    <row r="19" spans="1:3" ht="14.4">
      <c r="A19" s="3687"/>
      <c r="B19" s="3684"/>
      <c r="C19" s="1532" t="s">
        <v>959</v>
      </c>
    </row>
    <row r="20" spans="1:3" ht="14.4">
      <c r="A20" s="3688"/>
      <c r="B20" s="3683" t="s">
        <v>960</v>
      </c>
      <c r="C20" s="3682"/>
    </row>
    <row r="21" spans="1:3" ht="14.4">
      <c r="A21" s="1533" t="s">
        <v>961</v>
      </c>
      <c r="B21" s="1534"/>
      <c r="C21" s="1535"/>
    </row>
    <row r="22" spans="1:3" ht="14.4">
      <c r="A22" s="3685" t="s">
        <v>962</v>
      </c>
      <c r="B22" s="3683" t="s">
        <v>963</v>
      </c>
      <c r="C22" s="3682"/>
    </row>
    <row r="23" spans="1:3" ht="14.4">
      <c r="A23" s="3685"/>
      <c r="B23" s="3683" t="s">
        <v>964</v>
      </c>
      <c r="C23" s="3682"/>
    </row>
    <row r="24" spans="1:3" ht="14.4">
      <c r="A24" s="3685"/>
      <c r="B24" s="3683" t="s">
        <v>965</v>
      </c>
      <c r="C24" s="3682"/>
    </row>
    <row r="25" spans="1:3" ht="14.4">
      <c r="A25" s="3685"/>
      <c r="B25" s="3684" t="s">
        <v>966</v>
      </c>
      <c r="C25" s="1532" t="s">
        <v>967</v>
      </c>
    </row>
    <row r="26" spans="1:3" ht="14.4">
      <c r="A26" s="3685"/>
      <c r="B26" s="3684"/>
      <c r="C26" s="1532" t="s">
        <v>968</v>
      </c>
    </row>
    <row r="27" spans="1:3" ht="14.4">
      <c r="A27" s="3685"/>
      <c r="B27" s="3684"/>
      <c r="C27" s="1532" t="s">
        <v>969</v>
      </c>
    </row>
    <row r="28" spans="1:3" ht="14.4">
      <c r="A28" s="3685"/>
      <c r="B28" s="3684"/>
      <c r="C28" s="1532" t="s">
        <v>970</v>
      </c>
    </row>
    <row r="29" spans="1:3" ht="14.4">
      <c r="A29" s="3685"/>
      <c r="B29" s="3684"/>
      <c r="C29" s="1532" t="s">
        <v>971</v>
      </c>
    </row>
    <row r="30" spans="1:3" ht="14.4">
      <c r="A30" s="3685"/>
      <c r="B30" s="3684"/>
      <c r="C30" s="1532" t="s">
        <v>972</v>
      </c>
    </row>
    <row r="31" spans="1:3" ht="14.4">
      <c r="A31" s="3685"/>
      <c r="B31" s="3684"/>
      <c r="C31" s="1532" t="s">
        <v>973</v>
      </c>
    </row>
    <row r="32" spans="1:3" ht="14.4">
      <c r="A32" s="3685"/>
      <c r="B32" s="3684"/>
      <c r="C32" s="1532" t="s">
        <v>974</v>
      </c>
    </row>
    <row r="33" spans="1:3" ht="14.4">
      <c r="A33" s="3685"/>
      <c r="B33" s="3684"/>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45609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89" t="s">
        <v>2160</v>
      </c>
      <c r="B17" s="3689"/>
      <c r="C17" s="3689"/>
      <c r="D17" s="3689"/>
      <c r="E17" s="3689"/>
      <c r="F17" s="3689"/>
      <c r="G17" s="3689"/>
      <c r="H17" s="3689"/>
    </row>
    <row r="18" spans="1:8" ht="24" customHeight="1">
      <c r="A18" s="3690" t="s">
        <v>2161</v>
      </c>
      <c r="B18" s="3690"/>
      <c r="C18" s="3690"/>
      <c r="D18" s="2343"/>
      <c r="E18" s="3691" t="s">
        <v>2162</v>
      </c>
      <c r="F18" s="3690"/>
      <c r="G18" s="36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2024-11-13T02:56:30Z</dcterms:modified>
</cp:coreProperties>
</file>