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65"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3"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办公" sheetId="68" r:id="rId31"/>
    <sheet name="不动产收益法-商业" sheetId="15" r:id="rId32"/>
    <sheet name="不动产收益法-车库" sheetId="69"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0">'不动产收益法-办公'!$A$1:$F$43,'不动产收益法-办公'!$H$3:$M$29,'不动产收益法-办公'!$A$46:$F$70,'不动产收益法-办公'!$I$46:$M$60</definedName>
    <definedName name="_xlnm.Print_Area" localSheetId="3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4">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AH8" i="1" l="1"/>
  <c r="AT13" i="3"/>
  <c r="AN13" i="3"/>
  <c r="O13" i="3"/>
  <c r="G20" i="6"/>
  <c r="E59" i="39"/>
  <c r="E60" i="39"/>
  <c r="F20" i="6"/>
  <c r="BC13" i="3"/>
  <c r="AY6" i="3"/>
  <c r="D3" i="6"/>
  <c r="BD13" i="3"/>
  <c r="BE13" i="3"/>
  <c r="BR13" i="3"/>
  <c r="E20" i="6"/>
  <c r="G21" i="6"/>
  <c r="E21" i="6"/>
  <c r="I9" i="39"/>
  <c r="G9" i="39"/>
  <c r="I7" i="39"/>
  <c r="G7" i="39"/>
  <c r="C40" i="39"/>
  <c r="L21" i="6"/>
  <c r="L20" i="6"/>
  <c r="M47" i="15"/>
  <c r="M47" i="68"/>
  <c r="L46" i="15"/>
  <c r="L19" i="6"/>
  <c r="L46" i="68"/>
  <c r="F15" i="69"/>
  <c r="F17" i="69"/>
  <c r="F18" i="69"/>
  <c r="F20" i="69"/>
  <c r="F23" i="69"/>
  <c r="F21" i="69"/>
  <c r="F33" i="69"/>
  <c r="AE9" i="1"/>
  <c r="M47" i="69"/>
  <c r="J50" i="69"/>
  <c r="K59" i="69"/>
  <c r="P75" i="69"/>
  <c r="Q73" i="69"/>
  <c r="D60" i="69"/>
  <c r="F60" i="69"/>
  <c r="P62" i="69"/>
  <c r="Q60" i="69"/>
  <c r="Q59" i="69"/>
  <c r="F58" i="69"/>
  <c r="Q52" i="69"/>
  <c r="L46" i="69"/>
  <c r="F31" i="69"/>
  <c r="M20" i="69"/>
  <c r="D23" i="69"/>
  <c r="M19" i="69"/>
  <c r="M17" i="69"/>
  <c r="F15" i="68"/>
  <c r="F17" i="68"/>
  <c r="F18" i="68"/>
  <c r="F20" i="68"/>
  <c r="F23" i="68"/>
  <c r="F21" i="68"/>
  <c r="F33" i="68"/>
  <c r="J50" i="68"/>
  <c r="K59" i="68"/>
  <c r="P75" i="68"/>
  <c r="Q73" i="68"/>
  <c r="D60" i="68"/>
  <c r="F60" i="68"/>
  <c r="P62" i="68"/>
  <c r="Q60" i="68"/>
  <c r="Q59" i="68"/>
  <c r="F58" i="68"/>
  <c r="Q52" i="68"/>
  <c r="F31" i="68"/>
  <c r="D24" i="68"/>
  <c r="D23" i="68"/>
  <c r="D22" i="68"/>
  <c r="M19" i="68"/>
  <c r="M17" i="68"/>
  <c r="U24" i="1"/>
  <c r="U20" i="1"/>
  <c r="U21" i="1"/>
  <c r="U22" i="1"/>
  <c r="U23" i="1"/>
  <c r="V21" i="1"/>
  <c r="V22" i="1"/>
  <c r="V23" i="1"/>
  <c r="V24" i="1"/>
  <c r="E22" i="12"/>
  <c r="F15" i="43"/>
  <c r="F19" i="6"/>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F21" i="59"/>
  <c r="V21" i="59"/>
  <c r="Q22" i="59"/>
  <c r="Q23" i="59"/>
  <c r="Q24" i="59"/>
  <c r="Q25" i="59"/>
  <c r="Q26" i="59"/>
  <c r="Q27" i="59"/>
  <c r="Q28" i="59"/>
  <c r="Q29" i="59"/>
  <c r="Q30" i="59"/>
  <c r="Q31" i="59"/>
  <c r="AB30" i="59"/>
  <c r="Q32" i="59"/>
  <c r="AB5" i="59"/>
  <c r="P6" i="59"/>
  <c r="P7" i="59"/>
  <c r="P8" i="59"/>
  <c r="P9" i="59"/>
  <c r="P10" i="59"/>
  <c r="P11" i="59"/>
  <c r="P12" i="59"/>
  <c r="P13" i="59"/>
  <c r="P14" i="59"/>
  <c r="P15" i="59"/>
  <c r="P16" i="59"/>
  <c r="P17" i="59"/>
  <c r="P18" i="59"/>
  <c r="P19" i="59"/>
  <c r="P20" i="59"/>
  <c r="P21" i="59"/>
  <c r="P22" i="59"/>
  <c r="P23" i="59"/>
  <c r="P24" i="59"/>
  <c r="P25" i="59"/>
  <c r="P26" i="59"/>
  <c r="P27" i="59"/>
  <c r="P28" i="59"/>
  <c r="P29" i="59"/>
  <c r="P30" i="59"/>
  <c r="P31" i="59"/>
  <c r="AA31" i="59"/>
  <c r="P32" i="59"/>
  <c r="AA5" i="59"/>
  <c r="O6" i="59"/>
  <c r="O7" i="59"/>
  <c r="O8" i="59"/>
  <c r="O9" i="59"/>
  <c r="O10" i="59"/>
  <c r="O11" i="59"/>
  <c r="O12" i="59"/>
  <c r="O13" i="59"/>
  <c r="O14" i="59"/>
  <c r="O15" i="59"/>
  <c r="O16" i="59"/>
  <c r="O17" i="59"/>
  <c r="O18" i="59"/>
  <c r="O19" i="59"/>
  <c r="O20" i="59"/>
  <c r="O21" i="59"/>
  <c r="O22" i="59"/>
  <c r="O23" i="59"/>
  <c r="O24" i="59"/>
  <c r="O25" i="59"/>
  <c r="O26" i="59"/>
  <c r="O27" i="59"/>
  <c r="O28" i="59"/>
  <c r="O29" i="59"/>
  <c r="O30" i="59"/>
  <c r="O31" i="59"/>
  <c r="C32" i="59"/>
  <c r="C33" i="59"/>
  <c r="T33" i="59"/>
  <c r="O32" i="59"/>
  <c r="Y5" i="59"/>
  <c r="Z5" i="59"/>
  <c r="N6" i="59"/>
  <c r="N7" i="59"/>
  <c r="N8" i="59"/>
  <c r="N9" i="59"/>
  <c r="N10" i="59"/>
  <c r="N11" i="59"/>
  <c r="N12" i="59"/>
  <c r="N13" i="59"/>
  <c r="N14" i="59"/>
  <c r="N15" i="59"/>
  <c r="N16" i="59"/>
  <c r="N17" i="59"/>
  <c r="N18" i="59"/>
  <c r="N19" i="59"/>
  <c r="N20" i="59"/>
  <c r="N21" i="59"/>
  <c r="N22" i="59"/>
  <c r="N23" i="59"/>
  <c r="N24" i="59"/>
  <c r="N25" i="59"/>
  <c r="N26" i="59"/>
  <c r="N27" i="59"/>
  <c r="N28" i="59"/>
  <c r="N29" i="59"/>
  <c r="N30" i="59"/>
  <c r="N31" i="59"/>
  <c r="N32" i="59"/>
  <c r="C16" i="11"/>
  <c r="C15" i="11"/>
  <c r="C14" i="11"/>
  <c r="C9" i="11"/>
  <c r="C8" i="11"/>
  <c r="C7" i="11"/>
  <c r="BB11" i="3"/>
  <c r="BC11" i="3"/>
  <c r="BD11" i="3"/>
  <c r="BE11" i="3"/>
  <c r="BF11" i="3"/>
  <c r="BG11" i="3"/>
  <c r="BH11" i="3"/>
  <c r="BI11" i="3"/>
  <c r="BJ11" i="3"/>
  <c r="BK11" i="3"/>
  <c r="BM11" i="3"/>
  <c r="BN11" i="3"/>
  <c r="BO11" i="3"/>
  <c r="BP11" i="3"/>
  <c r="BQ11" i="3"/>
  <c r="BR11" i="3"/>
  <c r="BS11" i="3"/>
  <c r="BT11" i="3"/>
  <c r="F5" i="3"/>
  <c r="H13" i="3"/>
  <c r="AC13" i="3"/>
  <c r="G13" i="3"/>
  <c r="H14"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AT5" i="3"/>
  <c r="BB13" i="3"/>
  <c r="BF13" i="3"/>
  <c r="BG13" i="3"/>
  <c r="BH13" i="3"/>
  <c r="BI13" i="3"/>
  <c r="BJ13" i="3"/>
  <c r="BK13" i="3"/>
  <c r="BM13" i="3"/>
  <c r="BN13" i="3"/>
  <c r="BO13" i="3"/>
  <c r="BP13" i="3"/>
  <c r="BQ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O5" i="3"/>
  <c r="BP390" i="3"/>
  <c r="BQ390" i="3"/>
  <c r="BR390" i="3"/>
  <c r="BS390" i="3"/>
  <c r="BT390" i="3"/>
  <c r="BL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G5" i="3"/>
  <c r="K36" i="36"/>
  <c r="K38" i="35"/>
  <c r="K42" i="37"/>
  <c r="K49" i="34"/>
  <c r="R35" i="36"/>
  <c r="B2" i="1"/>
  <c r="F8" i="36"/>
  <c r="AA8" i="36"/>
  <c r="T35" i="36"/>
  <c r="H8" i="36"/>
  <c r="AB8" i="36"/>
  <c r="V35" i="36"/>
  <c r="J8" i="36"/>
  <c r="AC8" i="36"/>
  <c r="R37" i="35"/>
  <c r="C7" i="35"/>
  <c r="C48" i="35"/>
  <c r="F8" i="35"/>
  <c r="AA8" i="35"/>
  <c r="R41" i="37"/>
  <c r="F8" i="37"/>
  <c r="AA8" i="37"/>
  <c r="R48" i="34"/>
  <c r="C7" i="34"/>
  <c r="C59" i="34"/>
  <c r="D59" i="34"/>
  <c r="F8" i="34"/>
  <c r="AA8" i="34"/>
  <c r="R47" i="33"/>
  <c r="F8" i="33"/>
  <c r="AA8" i="33"/>
  <c r="K48" i="33"/>
  <c r="R47" i="21"/>
  <c r="F8" i="21"/>
  <c r="AA8" i="21"/>
  <c r="K48" i="21"/>
  <c r="K44" i="40"/>
  <c r="K49" i="39"/>
  <c r="E77" i="9"/>
  <c r="O75" i="9"/>
  <c r="F77" i="9"/>
  <c r="AH7" i="59"/>
  <c r="AG7" i="59"/>
  <c r="AE7" i="59"/>
  <c r="AF7" i="59"/>
  <c r="AD7" i="59"/>
  <c r="P24" i="46"/>
  <c r="B68" i="40"/>
  <c r="AA6" i="59"/>
  <c r="X6" i="59"/>
  <c r="A21" i="31"/>
  <c r="C109" i="9"/>
  <c r="F17" i="59"/>
  <c r="F16" i="59"/>
  <c r="F15" i="59"/>
  <c r="F14" i="59"/>
  <c r="F13" i="59"/>
  <c r="E17" i="59"/>
  <c r="C17" i="59"/>
  <c r="B17" i="59"/>
  <c r="B16" i="59"/>
  <c r="B15" i="59"/>
  <c r="B14" i="59"/>
  <c r="B13" i="59"/>
  <c r="AH8" i="59"/>
  <c r="AG8" i="59"/>
  <c r="AE8" i="59"/>
  <c r="AF8" i="59"/>
  <c r="AD8" i="59"/>
  <c r="AA7" i="59"/>
  <c r="X7" i="59"/>
  <c r="AB10" i="59"/>
  <c r="Y10" i="59"/>
  <c r="Z10" i="59"/>
  <c r="X10" i="59"/>
  <c r="X9" i="59"/>
  <c r="AH9" i="59"/>
  <c r="AG9" i="59"/>
  <c r="AE9" i="59"/>
  <c r="AF9" i="59"/>
  <c r="AD9" i="59"/>
  <c r="AB8" i="59"/>
  <c r="AH10" i="59"/>
  <c r="AG10" i="59"/>
  <c r="AE10" i="59"/>
  <c r="AF10" i="59"/>
  <c r="AD10" i="59"/>
  <c r="AH11" i="59"/>
  <c r="AG11" i="59"/>
  <c r="AE11" i="59"/>
  <c r="AF11" i="59"/>
  <c r="AD11" i="59"/>
  <c r="F25" i="12"/>
  <c r="AH12" i="59"/>
  <c r="AG12" i="59"/>
  <c r="AE12" i="59"/>
  <c r="AF12" i="59"/>
  <c r="AD12" i="59"/>
  <c r="AB11" i="59"/>
  <c r="Y11" i="59"/>
  <c r="X11" i="59"/>
  <c r="M15" i="49"/>
  <c r="L15" i="49"/>
  <c r="K15" i="49"/>
  <c r="J15" i="49"/>
  <c r="I15" i="49"/>
  <c r="H15" i="49"/>
  <c r="G15" i="49"/>
  <c r="F15" i="49"/>
  <c r="E15" i="49"/>
  <c r="D15" i="49"/>
  <c r="C15" i="49"/>
  <c r="B15" i="49"/>
  <c r="AH13" i="59"/>
  <c r="AG13" i="59"/>
  <c r="AE13" i="59"/>
  <c r="AF13" i="59"/>
  <c r="AD13" i="59"/>
  <c r="L3" i="59"/>
  <c r="AH3" i="59"/>
  <c r="K3" i="59"/>
  <c r="AG3" i="59"/>
  <c r="J3" i="59"/>
  <c r="AE3" i="59"/>
  <c r="AF3" i="59"/>
  <c r="I3" i="59"/>
  <c r="AD3" i="59"/>
  <c r="AH14" i="59"/>
  <c r="AG14" i="59"/>
  <c r="AE14" i="59"/>
  <c r="AF14" i="59"/>
  <c r="AD14" i="59"/>
  <c r="X14" i="59"/>
  <c r="AH15" i="59"/>
  <c r="AG15" i="59"/>
  <c r="AE15" i="59"/>
  <c r="AF15" i="59"/>
  <c r="AD15" i="59"/>
  <c r="M19" i="46"/>
  <c r="J50" i="15"/>
  <c r="J51" i="15"/>
  <c r="D18" i="59"/>
  <c r="AH16" i="59"/>
  <c r="AG16" i="59"/>
  <c r="AE16" i="59"/>
  <c r="AF16" i="59"/>
  <c r="AD16" i="59"/>
  <c r="AE17" i="59"/>
  <c r="AF17" i="59"/>
  <c r="AG17" i="59"/>
  <c r="AH17" i="59"/>
  <c r="AD17" i="59"/>
  <c r="AB16" i="59"/>
  <c r="Y16" i="59"/>
  <c r="Z16" i="59"/>
  <c r="X16" i="59"/>
  <c r="L4" i="9"/>
  <c r="M4" i="9"/>
  <c r="A30" i="64"/>
  <c r="A30" i="51"/>
  <c r="B22" i="63"/>
  <c r="K59" i="15"/>
  <c r="P62" i="15"/>
  <c r="P75" i="15"/>
  <c r="Q74" i="44"/>
  <c r="Q61" i="44"/>
  <c r="Q60" i="44"/>
  <c r="Q53" i="44"/>
  <c r="J51" i="44"/>
  <c r="M48" i="44"/>
  <c r="A16" i="55"/>
  <c r="A15" i="55"/>
  <c r="B66" i="63"/>
  <c r="C43" i="9"/>
  <c r="K47" i="9"/>
  <c r="A14" i="55"/>
  <c r="B65" i="63"/>
  <c r="L24" i="4"/>
  <c r="L25" i="4"/>
  <c r="L26" i="4"/>
  <c r="A11" i="55"/>
  <c r="A10" i="55"/>
  <c r="B61" i="63"/>
  <c r="A9" i="55"/>
  <c r="B60" i="63"/>
  <c r="A8" i="55"/>
  <c r="A6" i="54"/>
  <c r="A8" i="54"/>
  <c r="A7" i="54"/>
  <c r="B51" i="63"/>
  <c r="C57" i="10"/>
  <c r="A28" i="51"/>
  <c r="N4" i="63"/>
  <c r="A27" i="51"/>
  <c r="B20" i="63"/>
  <c r="Y17" i="59"/>
  <c r="Z17" i="59"/>
  <c r="X17" i="59"/>
  <c r="B21" i="59"/>
  <c r="C21" i="59"/>
  <c r="E21" i="59"/>
  <c r="E20" i="59"/>
  <c r="K75" i="9"/>
  <c r="K6" i="4"/>
  <c r="O76" i="9"/>
  <c r="L76" i="9"/>
  <c r="K76" i="9"/>
  <c r="B22" i="31"/>
  <c r="E15" i="66"/>
  <c r="F15" i="66"/>
  <c r="E16" i="66"/>
  <c r="F16" i="66"/>
  <c r="E17" i="66"/>
  <c r="F17" i="66"/>
  <c r="E18" i="66"/>
  <c r="F18" i="66"/>
  <c r="E19" i="66"/>
  <c r="F19" i="66"/>
  <c r="E20" i="66"/>
  <c r="F20" i="66"/>
  <c r="E21" i="66"/>
  <c r="F21" i="66"/>
  <c r="E22" i="66"/>
  <c r="F22" i="66"/>
  <c r="E23" i="66"/>
  <c r="F23" i="66"/>
  <c r="B3" i="66"/>
  <c r="U21" i="59"/>
  <c r="S21" i="59"/>
  <c r="B20" i="59"/>
  <c r="B19" i="59"/>
  <c r="E19" i="59"/>
  <c r="F20" i="59"/>
  <c r="F19" i="59"/>
  <c r="S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X23" i="59"/>
  <c r="AB23" i="59"/>
  <c r="X24" i="59"/>
  <c r="Y24" i="59"/>
  <c r="Z24" i="59"/>
  <c r="AA24" i="59"/>
  <c r="X25" i="59"/>
  <c r="AB25" i="59"/>
  <c r="X26" i="59"/>
  <c r="Y26" i="59"/>
  <c r="Z26" i="59"/>
  <c r="AA26" i="59"/>
  <c r="X27" i="59"/>
  <c r="AB27" i="59"/>
  <c r="X28" i="59"/>
  <c r="Y28" i="59"/>
  <c r="Z28" i="59"/>
  <c r="AA28" i="59"/>
  <c r="X29" i="59"/>
  <c r="AB29" i="59"/>
  <c r="X30" i="59"/>
  <c r="Y30" i="59"/>
  <c r="Z30" i="59"/>
  <c r="AA30" i="59"/>
  <c r="AB31" i="59"/>
  <c r="Y31" i="59"/>
  <c r="Z31" i="59"/>
  <c r="X31" i="59"/>
  <c r="S2" i="31"/>
  <c r="M2" i="31"/>
  <c r="N2" i="31"/>
  <c r="O2" i="31"/>
  <c r="P2" i="31"/>
  <c r="Q2" i="31"/>
  <c r="R2" i="31"/>
  <c r="C3" i="65"/>
  <c r="C1" i="65"/>
  <c r="N1" i="65"/>
  <c r="B76" i="63"/>
  <c r="M5" i="54"/>
  <c r="B41" i="63"/>
  <c r="A23" i="51"/>
  <c r="Y12" i="46"/>
  <c r="AA9" i="46"/>
  <c r="AB9" i="46"/>
  <c r="AB10" i="46"/>
  <c r="AC9" i="46"/>
  <c r="AD9" i="46"/>
  <c r="AD10" i="46"/>
  <c r="AE9" i="46"/>
  <c r="AF9" i="46"/>
  <c r="AF10" i="46"/>
  <c r="AG9" i="46"/>
  <c r="AG10" i="46"/>
  <c r="AH9" i="46"/>
  <c r="AH10" i="46"/>
  <c r="AI9" i="46"/>
  <c r="AJ9" i="46"/>
  <c r="AJ10" i="46"/>
  <c r="Z9" i="46"/>
  <c r="AI10" i="46"/>
  <c r="AE10" i="46"/>
  <c r="AA10" i="46"/>
  <c r="Y10" i="46"/>
  <c r="AI12" i="46"/>
  <c r="AG12" i="46"/>
  <c r="AE12" i="46"/>
  <c r="AA12" i="46"/>
  <c r="A21" i="64"/>
  <c r="B75" i="63"/>
  <c r="B73" i="63"/>
  <c r="A28" i="64"/>
  <c r="A27" i="64"/>
  <c r="A15" i="64"/>
  <c r="A14" i="64"/>
  <c r="A11" i="64"/>
  <c r="A3" i="64"/>
  <c r="A45" i="9"/>
  <c r="A44" i="9"/>
  <c r="K39" i="9"/>
  <c r="C56" i="10"/>
  <c r="C55" i="10"/>
  <c r="C54" i="10"/>
  <c r="B49" i="63"/>
  <c r="B44" i="63"/>
  <c r="B40" i="63"/>
  <c r="B30" i="63"/>
  <c r="B27" i="63"/>
  <c r="B25" i="63"/>
  <c r="A11" i="51"/>
  <c r="B10" i="63"/>
  <c r="A26" i="64"/>
  <c r="A26" i="51"/>
  <c r="B19" i="63"/>
  <c r="K40" i="9"/>
  <c r="B58" i="63"/>
  <c r="B53" i="63"/>
  <c r="A46" i="9"/>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G5" i="54"/>
  <c r="B34" i="63"/>
  <c r="E5" i="54"/>
  <c r="B32" i="63"/>
  <c r="R2" i="54"/>
  <c r="B24" i="63"/>
  <c r="B49" i="50"/>
  <c r="B5" i="63"/>
  <c r="B40" i="50"/>
  <c r="B3" i="63"/>
  <c r="B21" i="63"/>
  <c r="B67" i="63"/>
  <c r="I19" i="46"/>
  <c r="D82" i="59"/>
  <c r="F81" i="59"/>
  <c r="F80" i="59"/>
  <c r="F79" i="59"/>
  <c r="E81" i="59"/>
  <c r="E80" i="59"/>
  <c r="E79" i="59"/>
  <c r="C81" i="59"/>
  <c r="D81" i="59"/>
  <c r="B81" i="59"/>
  <c r="B80" i="59"/>
  <c r="B79" i="59"/>
  <c r="D78" i="59"/>
  <c r="F77" i="59"/>
  <c r="F76" i="59"/>
  <c r="F75" i="59"/>
  <c r="E77" i="59"/>
  <c r="E76" i="59"/>
  <c r="E75" i="59"/>
  <c r="C77" i="59"/>
  <c r="B77" i="59"/>
  <c r="B76" i="59"/>
  <c r="B75" i="59"/>
  <c r="D74" i="59"/>
  <c r="Q73" i="59"/>
  <c r="P73" i="59"/>
  <c r="O73" i="59"/>
  <c r="N73" i="59"/>
  <c r="F73" i="59"/>
  <c r="V73" i="59"/>
  <c r="E73" i="59"/>
  <c r="U73" i="59"/>
  <c r="C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B65" i="59"/>
  <c r="S65" i="59"/>
  <c r="Q64" i="59"/>
  <c r="P64" i="59"/>
  <c r="O64" i="59"/>
  <c r="N64" i="59"/>
  <c r="F64" i="59"/>
  <c r="F63" i="59"/>
  <c r="B64" i="59"/>
  <c r="B63" i="59"/>
  <c r="Q63" i="59"/>
  <c r="P63" i="59"/>
  <c r="O63" i="59"/>
  <c r="N63" i="59"/>
  <c r="Q62" i="59"/>
  <c r="P62" i="59"/>
  <c r="O62" i="59"/>
  <c r="N62" i="59"/>
  <c r="D62" i="59"/>
  <c r="F61" i="59"/>
  <c r="V61" i="59"/>
  <c r="E61" i="59"/>
  <c r="E60" i="59"/>
  <c r="C61" i="59"/>
  <c r="B61" i="59"/>
  <c r="N61" i="59"/>
  <c r="F60" i="59"/>
  <c r="F59" i="59"/>
  <c r="B60" i="59"/>
  <c r="N60" i="59"/>
  <c r="D58" i="59"/>
  <c r="Q57" i="59"/>
  <c r="P57" i="59"/>
  <c r="O57" i="59"/>
  <c r="N57" i="59"/>
  <c r="Q56" i="59"/>
  <c r="P56" i="59"/>
  <c r="O56" i="59"/>
  <c r="N56" i="59"/>
  <c r="Q55" i="59"/>
  <c r="P55" i="59"/>
  <c r="O55" i="59"/>
  <c r="N55" i="59"/>
  <c r="Q54" i="59"/>
  <c r="F55" i="59"/>
  <c r="P54" i="59"/>
  <c r="E55" i="59"/>
  <c r="E56" i="59"/>
  <c r="E57" i="59"/>
  <c r="U57" i="59"/>
  <c r="O54" i="59"/>
  <c r="C55" i="59"/>
  <c r="D55" i="59"/>
  <c r="N54" i="59"/>
  <c r="B55" i="59"/>
  <c r="B56" i="59"/>
  <c r="B57" i="59"/>
  <c r="S57" i="59"/>
  <c r="D54" i="59"/>
  <c r="Q53" i="59"/>
  <c r="P53" i="59"/>
  <c r="O53" i="59"/>
  <c r="N53" i="59"/>
  <c r="Q52" i="59"/>
  <c r="P52" i="59"/>
  <c r="O52" i="59"/>
  <c r="N52" i="59"/>
  <c r="Q51" i="59"/>
  <c r="P51" i="59"/>
  <c r="O51" i="59"/>
  <c r="C52" i="59"/>
  <c r="N51" i="59"/>
  <c r="Q50" i="59"/>
  <c r="F51" i="59"/>
  <c r="F52" i="59"/>
  <c r="F53" i="59"/>
  <c r="V53" i="59"/>
  <c r="P50" i="59"/>
  <c r="E51" i="59"/>
  <c r="E52" i="59"/>
  <c r="E53" i="59"/>
  <c r="U53" i="59"/>
  <c r="O50" i="59"/>
  <c r="C51" i="59"/>
  <c r="D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D47" i="59"/>
  <c r="N46" i="59"/>
  <c r="B47" i="59"/>
  <c r="B48" i="59"/>
  <c r="B49" i="59"/>
  <c r="S49" i="59"/>
  <c r="D46" i="59"/>
  <c r="Q45" i="59"/>
  <c r="P45" i="59"/>
  <c r="O45" i="59"/>
  <c r="N45" i="59"/>
  <c r="Q44" i="59"/>
  <c r="P44" i="59"/>
  <c r="O44" i="59"/>
  <c r="N44" i="59"/>
  <c r="Q43" i="59"/>
  <c r="P43" i="59"/>
  <c r="O43" i="59"/>
  <c r="C44" i="59"/>
  <c r="N43" i="59"/>
  <c r="Q42" i="59"/>
  <c r="F43" i="59"/>
  <c r="F44" i="59"/>
  <c r="F45" i="59"/>
  <c r="V45" i="59"/>
  <c r="P42" i="59"/>
  <c r="E43" i="59"/>
  <c r="E44" i="59"/>
  <c r="E45" i="59"/>
  <c r="U45" i="59"/>
  <c r="O42" i="59"/>
  <c r="C43" i="59"/>
  <c r="D43" i="59"/>
  <c r="N42" i="59"/>
  <c r="B43" i="59"/>
  <c r="B44" i="59"/>
  <c r="B45" i="59"/>
  <c r="D42" i="59"/>
  <c r="T41" i="59"/>
  <c r="Q41" i="59"/>
  <c r="P41" i="59"/>
  <c r="O41" i="59"/>
  <c r="N41" i="59"/>
  <c r="D41" i="59"/>
  <c r="Q40" i="59"/>
  <c r="P40" i="59"/>
  <c r="O40" i="59"/>
  <c r="N40" i="59"/>
  <c r="Q39" i="59"/>
  <c r="P39" i="59"/>
  <c r="O39" i="59"/>
  <c r="N39" i="59"/>
  <c r="Q38" i="59"/>
  <c r="F39" i="59"/>
  <c r="F40"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C36" i="59"/>
  <c r="C37" i="59"/>
  <c r="T37" i="59"/>
  <c r="N34" i="59"/>
  <c r="B35" i="59"/>
  <c r="B36" i="59"/>
  <c r="B37" i="59"/>
  <c r="S37" i="59"/>
  <c r="D34" i="59"/>
  <c r="Q33" i="59"/>
  <c r="P33" i="59"/>
  <c r="O33" i="59"/>
  <c r="N33" i="59"/>
  <c r="AB32" i="59"/>
  <c r="Y32" i="59"/>
  <c r="Z32" i="59"/>
  <c r="X32" i="59"/>
  <c r="F31" i="59"/>
  <c r="F32" i="59"/>
  <c r="F33" i="59"/>
  <c r="V33" i="59"/>
  <c r="E31" i="59"/>
  <c r="E32" i="59"/>
  <c r="E33" i="59"/>
  <c r="U33" i="59"/>
  <c r="C31" i="59"/>
  <c r="B31" i="59"/>
  <c r="B32" i="59"/>
  <c r="B33" i="59"/>
  <c r="S33" i="59"/>
  <c r="D30" i="59"/>
  <c r="F27" i="59"/>
  <c r="E27" i="59"/>
  <c r="E28" i="59"/>
  <c r="E29" i="59"/>
  <c r="U29" i="59"/>
  <c r="C27" i="59"/>
  <c r="D27" i="59"/>
  <c r="B27" i="59"/>
  <c r="B28" i="59"/>
  <c r="B29" i="59"/>
  <c r="S29" i="59"/>
  <c r="D26" i="59"/>
  <c r="F23" i="59"/>
  <c r="F24" i="59"/>
  <c r="C23" i="59"/>
  <c r="B23" i="59"/>
  <c r="B24" i="59"/>
  <c r="D22" i="59"/>
  <c r="X3" i="59"/>
  <c r="X18" i="59"/>
  <c r="X19" i="59"/>
  <c r="X20" i="59"/>
  <c r="X21" i="59"/>
  <c r="AA18" i="59"/>
  <c r="AA20" i="59"/>
  <c r="Y18" i="59"/>
  <c r="Z18" i="59"/>
  <c r="Y19" i="59"/>
  <c r="Z19" i="59"/>
  <c r="Y20" i="59"/>
  <c r="Z20" i="59"/>
  <c r="Y21" i="59"/>
  <c r="Z21" i="59"/>
  <c r="AB21" i="59"/>
  <c r="AB18" i="59"/>
  <c r="AB20" i="59"/>
  <c r="B25" i="59"/>
  <c r="S25" i="59"/>
  <c r="E23" i="59"/>
  <c r="E24" i="59"/>
  <c r="E25" i="59"/>
  <c r="U25" i="59"/>
  <c r="S45" i="59"/>
  <c r="S61" i="59"/>
  <c r="AA32" i="59"/>
  <c r="F25" i="59"/>
  <c r="V25" i="59"/>
  <c r="F28" i="59"/>
  <c r="F29" i="59"/>
  <c r="V29" i="59"/>
  <c r="F36" i="59"/>
  <c r="F37" i="59"/>
  <c r="V37" i="59"/>
  <c r="F41" i="59"/>
  <c r="V41" i="59"/>
  <c r="F48" i="59"/>
  <c r="F49" i="59"/>
  <c r="V49" i="59"/>
  <c r="F56" i="59"/>
  <c r="F57" i="59"/>
  <c r="V57" i="59"/>
  <c r="D23" i="59"/>
  <c r="D31" i="59"/>
  <c r="D35" i="59"/>
  <c r="C48" i="59"/>
  <c r="C49" i="59"/>
  <c r="T49" i="59"/>
  <c r="C56" i="59"/>
  <c r="C57" i="59"/>
  <c r="T57" i="59"/>
  <c r="C28" i="59"/>
  <c r="B59" i="59"/>
  <c r="Q60" i="59"/>
  <c r="T61" i="59"/>
  <c r="D61" i="59"/>
  <c r="P61" i="59"/>
  <c r="U61" i="59"/>
  <c r="Q61" i="59"/>
  <c r="E64" i="59"/>
  <c r="E63" i="59"/>
  <c r="D65" i="59"/>
  <c r="C68" i="59"/>
  <c r="E68" i="59"/>
  <c r="E67" i="59"/>
  <c r="D69" i="59"/>
  <c r="E72" i="59"/>
  <c r="E71" i="59"/>
  <c r="C80" i="59"/>
  <c r="D80" i="59"/>
  <c r="U16" i="4"/>
  <c r="S16" i="4"/>
  <c r="Q16" i="4"/>
  <c r="O16" i="4"/>
  <c r="N16" i="4"/>
  <c r="M16" i="4"/>
  <c r="K16" i="4"/>
  <c r="C79" i="59"/>
  <c r="D79" i="59"/>
  <c r="D68" i="59"/>
  <c r="C67" i="59"/>
  <c r="D67" i="59"/>
  <c r="D56" i="59"/>
  <c r="D48" i="59"/>
  <c r="D36" i="59"/>
  <c r="D32" i="59"/>
  <c r="D33" i="59"/>
  <c r="D37" i="59"/>
  <c r="D49" i="59"/>
  <c r="D57" i="59"/>
  <c r="O27" i="6"/>
  <c r="N27" i="6"/>
  <c r="P26" i="6"/>
  <c r="L26" i="6"/>
  <c r="P25" i="6"/>
  <c r="L25" i="6"/>
  <c r="P24" i="6"/>
  <c r="L24" i="6"/>
  <c r="P23" i="6"/>
  <c r="L23" i="6"/>
  <c r="P22" i="6"/>
  <c r="L22" i="6"/>
  <c r="P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D83" i="21"/>
  <c r="E83" i="21"/>
  <c r="F21" i="21"/>
  <c r="AA21" i="21"/>
  <c r="C21" i="21"/>
  <c r="Q27" i="40"/>
  <c r="Z27" i="40"/>
  <c r="D96" i="40"/>
  <c r="E96" i="40"/>
  <c r="F96" i="40"/>
  <c r="G96" i="40"/>
  <c r="F27" i="40"/>
  <c r="Q31" i="39"/>
  <c r="Z31" i="39"/>
  <c r="D105" i="39"/>
  <c r="E105" i="39"/>
  <c r="F31" i="39"/>
  <c r="AA31" i="39"/>
  <c r="G20" i="20"/>
  <c r="C22" i="20"/>
  <c r="S18" i="36"/>
  <c r="S21" i="37"/>
  <c r="S21" i="21"/>
  <c r="S31" i="39"/>
  <c r="B74" i="46"/>
  <c r="E66" i="36"/>
  <c r="H18" i="35"/>
  <c r="AB18" i="35"/>
  <c r="J18" i="35"/>
  <c r="H21" i="37"/>
  <c r="AB21" i="37"/>
  <c r="J21" i="37"/>
  <c r="E84" i="34"/>
  <c r="F84" i="34"/>
  <c r="G84" i="34"/>
  <c r="J21" i="34"/>
  <c r="H21" i="34"/>
  <c r="F21" i="33"/>
  <c r="H21" i="33"/>
  <c r="J21" i="33"/>
  <c r="F83" i="21"/>
  <c r="H21" i="21"/>
  <c r="G83" i="21"/>
  <c r="J21" i="21"/>
  <c r="H27" i="40"/>
  <c r="F105" i="39"/>
  <c r="H31" i="39"/>
  <c r="F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F80" i="46"/>
  <c r="H81" i="46"/>
  <c r="D1" i="46"/>
  <c r="F113" i="46"/>
  <c r="D99" i="46"/>
  <c r="E99" i="46"/>
  <c r="E108" i="46"/>
  <c r="F99" i="46"/>
  <c r="G99" i="46"/>
  <c r="G108" i="46"/>
  <c r="H99" i="46"/>
  <c r="H108" i="46"/>
  <c r="I99" i="46"/>
  <c r="I108" i="46"/>
  <c r="J99" i="46"/>
  <c r="J108" i="46"/>
  <c r="K99" i="46"/>
  <c r="K108" i="46"/>
  <c r="L99" i="46"/>
  <c r="L100" i="46"/>
  <c r="M99" i="46"/>
  <c r="M108" i="46"/>
  <c r="N99" i="46"/>
  <c r="C99" i="46"/>
  <c r="C108" i="46"/>
  <c r="L108" i="46"/>
  <c r="K58" i="46"/>
  <c r="J58" i="46"/>
  <c r="D58" i="46"/>
  <c r="K50" i="46"/>
  <c r="J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A13" i="1"/>
  <c r="A7" i="1"/>
  <c r="A8" i="1"/>
  <c r="A9" i="1"/>
  <c r="S9" i="1"/>
  <c r="A10" i="1"/>
  <c r="A11" i="1"/>
  <c r="A6"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45" i="21"/>
  <c r="J142" i="21"/>
  <c r="J140" i="21"/>
  <c r="K139" i="21"/>
  <c r="M87" i="21"/>
  <c r="L87" i="21"/>
  <c r="K87" i="21"/>
  <c r="J87" i="21"/>
  <c r="I87" i="21"/>
  <c r="H87" i="21"/>
  <c r="G87" i="21"/>
  <c r="F87" i="21"/>
  <c r="E87" i="21"/>
  <c r="D87" i="21"/>
  <c r="G2" i="46"/>
  <c r="H17" i="46"/>
  <c r="G19" i="46"/>
  <c r="R26" i="31"/>
  <c r="S26" i="31"/>
  <c r="R27" i="31"/>
  <c r="R28" i="31"/>
  <c r="S28" i="31"/>
  <c r="R29" i="31"/>
  <c r="S29" i="31"/>
  <c r="R30" i="31"/>
  <c r="S30" i="31"/>
  <c r="R31" i="31"/>
  <c r="R32" i="31"/>
  <c r="S32" i="31"/>
  <c r="R33" i="31"/>
  <c r="S33" i="31"/>
  <c r="R34" i="31"/>
  <c r="S34" i="31"/>
  <c r="R35" i="31"/>
  <c r="R36" i="31"/>
  <c r="S36" i="31"/>
  <c r="R37" i="31"/>
  <c r="R38" i="31"/>
  <c r="S38" i="31"/>
  <c r="R39" i="31"/>
  <c r="R40" i="31"/>
  <c r="S40" i="31"/>
  <c r="R41" i="31"/>
  <c r="S41" i="31"/>
  <c r="R42" i="31"/>
  <c r="S42" i="31"/>
  <c r="R43" i="31"/>
  <c r="R44" i="31"/>
  <c r="S44" i="31"/>
  <c r="R45" i="31"/>
  <c r="R46" i="31"/>
  <c r="S46" i="31"/>
  <c r="R47" i="31"/>
  <c r="R48" i="31"/>
  <c r="S48" i="31"/>
  <c r="R49" i="31"/>
  <c r="S49" i="31"/>
  <c r="R50" i="31"/>
  <c r="S50" i="31"/>
  <c r="R51" i="31"/>
  <c r="R52" i="31"/>
  <c r="S52" i="31"/>
  <c r="R53" i="31"/>
  <c r="R54" i="31"/>
  <c r="S54" i="31"/>
  <c r="R55" i="31"/>
  <c r="R56" i="31"/>
  <c r="S56" i="31"/>
  <c r="R57" i="31"/>
  <c r="S57" i="31"/>
  <c r="R58" i="31"/>
  <c r="S58" i="31"/>
  <c r="R59" i="31"/>
  <c r="R60" i="31"/>
  <c r="S60" i="31"/>
  <c r="R61" i="31"/>
  <c r="S61" i="31"/>
  <c r="R62" i="31"/>
  <c r="S62" i="31"/>
  <c r="R63" i="31"/>
  <c r="R64" i="31"/>
  <c r="S64" i="31"/>
  <c r="R65" i="31"/>
  <c r="S65" i="31"/>
  <c r="R66" i="31"/>
  <c r="S66" i="31"/>
  <c r="R67" i="31"/>
  <c r="R68" i="31"/>
  <c r="S68" i="31"/>
  <c r="R69" i="31"/>
  <c r="S69" i="31"/>
  <c r="R70" i="31"/>
  <c r="S70" i="31"/>
  <c r="R71" i="31"/>
  <c r="R72" i="31"/>
  <c r="S72" i="31"/>
  <c r="R73" i="31"/>
  <c r="S73" i="31"/>
  <c r="R74" i="31"/>
  <c r="S74" i="31"/>
  <c r="R75" i="31"/>
  <c r="R76" i="31"/>
  <c r="S76" i="31"/>
  <c r="R77" i="31"/>
  <c r="S77" i="31"/>
  <c r="R78" i="31"/>
  <c r="S78" i="31"/>
  <c r="R79" i="31"/>
  <c r="R80" i="31"/>
  <c r="S80" i="31"/>
  <c r="R81" i="31"/>
  <c r="S81" i="31"/>
  <c r="R82" i="31"/>
  <c r="S82" i="31"/>
  <c r="R83" i="31"/>
  <c r="R84" i="31"/>
  <c r="S84" i="31"/>
  <c r="R85" i="31"/>
  <c r="R86" i="31"/>
  <c r="S86" i="31"/>
  <c r="R87" i="31"/>
  <c r="R88" i="31"/>
  <c r="S88" i="31"/>
  <c r="R89" i="31"/>
  <c r="S89" i="31"/>
  <c r="R90" i="31"/>
  <c r="S90" i="31"/>
  <c r="R91" i="31"/>
  <c r="R92" i="31"/>
  <c r="S92" i="31"/>
  <c r="R93" i="31"/>
  <c r="R94" i="31"/>
  <c r="S94" i="31"/>
  <c r="R95" i="31"/>
  <c r="R96" i="31"/>
  <c r="S96" i="31"/>
  <c r="R97" i="31"/>
  <c r="S97" i="31"/>
  <c r="R98" i="31"/>
  <c r="S98" i="31"/>
  <c r="R99" i="31"/>
  <c r="R100" i="31"/>
  <c r="S100" i="31"/>
  <c r="R101" i="31"/>
  <c r="S101" i="31"/>
  <c r="R102" i="31"/>
  <c r="S102" i="31"/>
  <c r="R103" i="31"/>
  <c r="R104" i="31"/>
  <c r="S104" i="31"/>
  <c r="R105" i="31"/>
  <c r="S105" i="31"/>
  <c r="R106" i="31"/>
  <c r="S106" i="31"/>
  <c r="R107" i="31"/>
  <c r="R108" i="31"/>
  <c r="S108" i="31"/>
  <c r="R109" i="31"/>
  <c r="S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S125" i="31"/>
  <c r="R126" i="31"/>
  <c r="S126" i="31"/>
  <c r="R127" i="31"/>
  <c r="R128" i="31"/>
  <c r="S128" i="31"/>
  <c r="R129" i="31"/>
  <c r="S129" i="31"/>
  <c r="R130" i="31"/>
  <c r="S130" i="31"/>
  <c r="R131" i="31"/>
  <c r="R132" i="31"/>
  <c r="S132" i="31"/>
  <c r="R133" i="31"/>
  <c r="S133" i="31"/>
  <c r="R134" i="31"/>
  <c r="S134" i="31"/>
  <c r="R135" i="31"/>
  <c r="R136" i="31"/>
  <c r="S136" i="31"/>
  <c r="R137" i="31"/>
  <c r="S137" i="31"/>
  <c r="R138" i="31"/>
  <c r="S138" i="31"/>
  <c r="R139" i="31"/>
  <c r="R140" i="31"/>
  <c r="S140" i="31"/>
  <c r="R141" i="31"/>
  <c r="S141" i="31"/>
  <c r="R142" i="31"/>
  <c r="S142" i="31"/>
  <c r="R143" i="31"/>
  <c r="R144" i="31"/>
  <c r="S144" i="31"/>
  <c r="R145" i="31"/>
  <c r="S145" i="31"/>
  <c r="R146" i="31"/>
  <c r="S146" i="31"/>
  <c r="R147" i="31"/>
  <c r="R148" i="31"/>
  <c r="S148" i="31"/>
  <c r="R149" i="31"/>
  <c r="S149" i="31"/>
  <c r="R150" i="31"/>
  <c r="S150" i="31"/>
  <c r="R151" i="31"/>
  <c r="R152" i="31"/>
  <c r="S152" i="31"/>
  <c r="R153" i="31"/>
  <c r="S153" i="31"/>
  <c r="R154" i="31"/>
  <c r="S154" i="31"/>
  <c r="R155" i="31"/>
  <c r="R156" i="31"/>
  <c r="S156" i="31"/>
  <c r="R157" i="31"/>
  <c r="S157" i="31"/>
  <c r="R158" i="31"/>
  <c r="S158" i="31"/>
  <c r="R159" i="31"/>
  <c r="R160" i="31"/>
  <c r="S160" i="31"/>
  <c r="R161" i="31"/>
  <c r="S161" i="31"/>
  <c r="R162" i="31"/>
  <c r="S162" i="31"/>
  <c r="R163" i="31"/>
  <c r="R164" i="31"/>
  <c r="S164" i="31"/>
  <c r="R165" i="31"/>
  <c r="S165" i="31"/>
  <c r="R166" i="31"/>
  <c r="S166" i="31"/>
  <c r="R167" i="31"/>
  <c r="R168" i="31"/>
  <c r="S168" i="31"/>
  <c r="R169" i="31"/>
  <c r="S169" i="31"/>
  <c r="R170" i="31"/>
  <c r="S170" i="31"/>
  <c r="R171" i="31"/>
  <c r="R172" i="31"/>
  <c r="S172" i="31"/>
  <c r="R173" i="31"/>
  <c r="S173" i="31"/>
  <c r="R174" i="31"/>
  <c r="S174" i="31"/>
  <c r="R175" i="31"/>
  <c r="R176" i="31"/>
  <c r="S176" i="31"/>
  <c r="R177" i="31"/>
  <c r="S177" i="31"/>
  <c r="R178" i="31"/>
  <c r="S178" i="31"/>
  <c r="R179" i="31"/>
  <c r="R180" i="31"/>
  <c r="S180" i="31"/>
  <c r="R181" i="31"/>
  <c r="S181" i="31"/>
  <c r="R182" i="31"/>
  <c r="S182" i="31"/>
  <c r="R183" i="31"/>
  <c r="R184" i="31"/>
  <c r="S184" i="31"/>
  <c r="R185" i="31"/>
  <c r="S185" i="31"/>
  <c r="R186" i="31"/>
  <c r="S186" i="31"/>
  <c r="R187" i="31"/>
  <c r="R188" i="31"/>
  <c r="S188" i="31"/>
  <c r="R189" i="31"/>
  <c r="S189" i="31"/>
  <c r="R190" i="31"/>
  <c r="S190" i="31"/>
  <c r="R191" i="31"/>
  <c r="R192" i="31"/>
  <c r="S192" i="31"/>
  <c r="R193" i="31"/>
  <c r="S193" i="31"/>
  <c r="R194" i="31"/>
  <c r="S194" i="31"/>
  <c r="R195" i="31"/>
  <c r="R196" i="31"/>
  <c r="S196" i="31"/>
  <c r="R197" i="31"/>
  <c r="S197" i="31"/>
  <c r="R198" i="31"/>
  <c r="S198" i="31"/>
  <c r="R199" i="31"/>
  <c r="R200" i="31"/>
  <c r="S200" i="31"/>
  <c r="R201" i="31"/>
  <c r="S201" i="31"/>
  <c r="R202" i="31"/>
  <c r="S202" i="31"/>
  <c r="R203" i="31"/>
  <c r="R204" i="31"/>
  <c r="S204" i="31"/>
  <c r="R205" i="31"/>
  <c r="S205" i="31"/>
  <c r="R206" i="31"/>
  <c r="S206" i="31"/>
  <c r="R207" i="31"/>
  <c r="R208" i="31"/>
  <c r="S208" i="31"/>
  <c r="R209" i="31"/>
  <c r="S209" i="31"/>
  <c r="R210" i="31"/>
  <c r="S210" i="31"/>
  <c r="R211" i="31"/>
  <c r="R212" i="31"/>
  <c r="S212" i="31"/>
  <c r="R213" i="31"/>
  <c r="S213" i="31"/>
  <c r="R214" i="31"/>
  <c r="S214" i="31"/>
  <c r="R215" i="31"/>
  <c r="R216" i="31"/>
  <c r="S216" i="31"/>
  <c r="R217" i="31"/>
  <c r="S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S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S443" i="31"/>
  <c r="R444" i="31"/>
  <c r="S444" i="31"/>
  <c r="R445" i="31"/>
  <c r="R446" i="31"/>
  <c r="S446" i="31"/>
  <c r="R447" i="31"/>
  <c r="R448" i="31"/>
  <c r="S448" i="31"/>
  <c r="R449" i="31"/>
  <c r="R450" i="31"/>
  <c r="S450" i="31"/>
  <c r="R451" i="31"/>
  <c r="S451" i="31"/>
  <c r="R452" i="31"/>
  <c r="S452" i="31"/>
  <c r="R453" i="31"/>
  <c r="R454" i="31"/>
  <c r="S454" i="31"/>
  <c r="R455" i="31"/>
  <c r="S455" i="31"/>
  <c r="R456" i="31"/>
  <c r="S456" i="31"/>
  <c r="R457" i="31"/>
  <c r="R458" i="31"/>
  <c r="S458" i="31"/>
  <c r="R459" i="31"/>
  <c r="S459" i="31"/>
  <c r="R460" i="31"/>
  <c r="S460" i="31"/>
  <c r="R461" i="31"/>
  <c r="R462" i="31"/>
  <c r="S462" i="31"/>
  <c r="R463" i="31"/>
  <c r="S463" i="31"/>
  <c r="R464" i="31"/>
  <c r="S464" i="31"/>
  <c r="R465" i="31"/>
  <c r="R466" i="31"/>
  <c r="S466" i="31"/>
  <c r="R467" i="31"/>
  <c r="S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S493" i="31"/>
  <c r="R494" i="31"/>
  <c r="R495" i="31"/>
  <c r="S495" i="31"/>
  <c r="R496" i="31"/>
  <c r="R497" i="31"/>
  <c r="S497" i="31"/>
  <c r="R498" i="31"/>
  <c r="S498" i="31"/>
  <c r="R499" i="31"/>
  <c r="R500" i="31"/>
  <c r="S500" i="31"/>
  <c r="R501" i="31"/>
  <c r="R502" i="31"/>
  <c r="S502" i="31"/>
  <c r="R503" i="31"/>
  <c r="R504" i="31"/>
  <c r="S504" i="31"/>
  <c r="R505" i="31"/>
  <c r="S505" i="31"/>
  <c r="R506" i="31"/>
  <c r="S506" i="31"/>
  <c r="R507" i="31"/>
  <c r="R508" i="31"/>
  <c r="S508" i="31"/>
  <c r="R509" i="31"/>
  <c r="S509" i="31"/>
  <c r="R510" i="31"/>
  <c r="S510" i="31"/>
  <c r="R511" i="31"/>
  <c r="R512" i="31"/>
  <c r="S512" i="31"/>
  <c r="R513" i="31"/>
  <c r="S513" i="31"/>
  <c r="R514" i="31"/>
  <c r="S514" i="31"/>
  <c r="R515" i="31"/>
  <c r="R516" i="31"/>
  <c r="S516" i="31"/>
  <c r="R517" i="31"/>
  <c r="S517" i="31"/>
  <c r="R518" i="31"/>
  <c r="S518" i="31"/>
  <c r="R519" i="31"/>
  <c r="R520" i="31"/>
  <c r="S520" i="31"/>
  <c r="R521" i="31"/>
  <c r="S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D14" i="4"/>
  <c r="G36" i="4"/>
  <c r="K2" i="54"/>
  <c r="B23" i="63"/>
  <c r="A3" i="51"/>
  <c r="R41" i="4"/>
  <c r="Q41" i="4"/>
  <c r="P41" i="4"/>
  <c r="O41" i="4"/>
  <c r="N41" i="4"/>
  <c r="M41" i="4"/>
  <c r="L41" i="4"/>
  <c r="K40" i="4"/>
  <c r="T40" i="4"/>
  <c r="F23" i="4"/>
  <c r="D19" i="4"/>
  <c r="I19" i="4"/>
  <c r="H19" i="4"/>
  <c r="G19" i="4"/>
  <c r="F9" i="1"/>
  <c r="AP9" i="1"/>
  <c r="F19" i="4"/>
  <c r="F6" i="1"/>
  <c r="G6" i="1"/>
  <c r="F8" i="1"/>
  <c r="AP8" i="1"/>
  <c r="E19" i="4"/>
  <c r="F7" i="1"/>
  <c r="AP7" i="1"/>
  <c r="B2" i="52"/>
  <c r="E12" i="52"/>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D38" i="4"/>
  <c r="C39" i="4"/>
  <c r="C35" i="4"/>
  <c r="E16" i="12"/>
  <c r="F14" i="12"/>
  <c r="F15" i="12"/>
  <c r="F17" i="12"/>
  <c r="E19" i="12"/>
  <c r="E21" i="12"/>
  <c r="F23" i="12"/>
  <c r="F24" i="12"/>
  <c r="I73" i="9"/>
  <c r="F73" i="9"/>
  <c r="P73" i="9"/>
  <c r="D107" i="9"/>
  <c r="C107" i="9"/>
  <c r="C105" i="9"/>
  <c r="C110" i="9"/>
  <c r="C17" i="9"/>
  <c r="D17" i="9"/>
  <c r="C18" i="9"/>
  <c r="F17" i="44"/>
  <c r="F19" i="44"/>
  <c r="F22" i="44"/>
  <c r="F25" i="44"/>
  <c r="D25" i="44"/>
  <c r="F23" i="44"/>
  <c r="E16" i="43"/>
  <c r="F14"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H11" i="39"/>
  <c r="H36" i="39"/>
  <c r="AB36" i="39"/>
  <c r="H40" i="39"/>
  <c r="AB40" i="39"/>
  <c r="H42" i="39"/>
  <c r="AB42" i="39"/>
  <c r="J10" i="39"/>
  <c r="AC10" i="39"/>
  <c r="J11" i="39"/>
  <c r="AC11" i="39"/>
  <c r="J36" i="39"/>
  <c r="AC36" i="39"/>
  <c r="J40" i="39"/>
  <c r="AC40" i="39"/>
  <c r="J42" i="39"/>
  <c r="F35" i="44"/>
  <c r="M21" i="44"/>
  <c r="F20" i="44"/>
  <c r="C6" i="43"/>
  <c r="K9" i="43"/>
  <c r="J9" i="43"/>
  <c r="I9" i="43"/>
  <c r="H9" i="43"/>
  <c r="G9" i="43"/>
  <c r="F9" i="43"/>
  <c r="E9" i="43"/>
  <c r="D9" i="43"/>
  <c r="C9" i="43"/>
  <c r="B24" i="1"/>
  <c r="L75" i="9"/>
  <c r="P75" i="9"/>
  <c r="O74" i="9"/>
  <c r="O73" i="9"/>
  <c r="E66" i="9"/>
  <c r="O72" i="9"/>
  <c r="F74" i="9"/>
  <c r="P74" i="9"/>
  <c r="N67" i="9"/>
  <c r="K44" i="9"/>
  <c r="K43" i="9"/>
  <c r="B31" i="1"/>
  <c r="B22" i="1"/>
  <c r="B23" i="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5"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6" i="31"/>
  <c r="S494" i="31"/>
  <c r="S491" i="31"/>
  <c r="S489" i="31"/>
  <c r="S487" i="31"/>
  <c r="S485" i="31"/>
  <c r="S483" i="31"/>
  <c r="S481" i="31"/>
  <c r="S479" i="31"/>
  <c r="S477" i="31"/>
  <c r="S475" i="31"/>
  <c r="S473" i="31"/>
  <c r="S469" i="31"/>
  <c r="S441" i="31"/>
  <c r="S437" i="31"/>
  <c r="S433" i="31"/>
  <c r="S121" i="31"/>
  <c r="S119" i="31"/>
  <c r="S117" i="31"/>
  <c r="S115" i="31"/>
  <c r="S113" i="31"/>
  <c r="S465" i="31"/>
  <c r="S461" i="31"/>
  <c r="S457" i="31"/>
  <c r="S453" i="31"/>
  <c r="S53" i="31"/>
  <c r="S51" i="31"/>
  <c r="S47" i="31"/>
  <c r="S45" i="31"/>
  <c r="S43" i="31"/>
  <c r="S39" i="31"/>
  <c r="S37" i="31"/>
  <c r="S35" i="31"/>
  <c r="S75" i="31"/>
  <c r="S71" i="31"/>
  <c r="S67" i="31"/>
  <c r="S63" i="31"/>
  <c r="S59" i="31"/>
  <c r="S55" i="31"/>
  <c r="S24" i="31"/>
  <c r="S95" i="31"/>
  <c r="S93" i="31"/>
  <c r="S91" i="31"/>
  <c r="S87" i="31"/>
  <c r="S85" i="31"/>
  <c r="S83" i="31"/>
  <c r="S79" i="31"/>
  <c r="S31" i="31"/>
  <c r="S99" i="31"/>
  <c r="S103" i="31"/>
  <c r="S107" i="31"/>
  <c r="S111" i="31"/>
  <c r="S445" i="31"/>
  <c r="S447" i="31"/>
  <c r="S449" i="31"/>
  <c r="S507" i="31"/>
  <c r="S511"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W30" i="36"/>
  <c r="H30" i="36"/>
  <c r="U30" i="36"/>
  <c r="F30" i="36"/>
  <c r="AA30" i="36"/>
  <c r="C26" i="35"/>
  <c r="C79" i="35"/>
  <c r="J31" i="35"/>
  <c r="H31" i="35"/>
  <c r="U31" i="35"/>
  <c r="F31" i="35"/>
  <c r="D87" i="35"/>
  <c r="E87" i="35"/>
  <c r="F87" i="35"/>
  <c r="G87" i="35"/>
  <c r="H87" i="35"/>
  <c r="I87" i="35"/>
  <c r="J87" i="35"/>
  <c r="K87" i="35"/>
  <c r="L87" i="35"/>
  <c r="M87" i="35"/>
  <c r="H34" i="37"/>
  <c r="AB34" i="37"/>
  <c r="D101" i="37"/>
  <c r="E101" i="37"/>
  <c r="F34" i="37"/>
  <c r="D99" i="37"/>
  <c r="E99" i="37"/>
  <c r="F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H111" i="33"/>
  <c r="I111" i="33"/>
  <c r="J111" i="33"/>
  <c r="K111" i="33"/>
  <c r="L111" i="33"/>
  <c r="M111" i="33"/>
  <c r="S515" i="31"/>
  <c r="S519" i="31"/>
  <c r="S523" i="31"/>
  <c r="F41" i="21"/>
  <c r="J41" i="21"/>
  <c r="H41" i="21"/>
  <c r="U41" i="21"/>
  <c r="D83" i="39"/>
  <c r="E83" i="39"/>
  <c r="F83" i="39"/>
  <c r="G83" i="39"/>
  <c r="H83" i="39"/>
  <c r="I83" i="39"/>
  <c r="J83" i="39"/>
  <c r="K83" i="39"/>
  <c r="L83" i="39"/>
  <c r="M83" i="39"/>
  <c r="D78" i="40"/>
  <c r="F13" i="40"/>
  <c r="S13" i="40"/>
  <c r="B122" i="40"/>
  <c r="F42" i="40"/>
  <c r="AA42" i="40"/>
  <c r="B120" i="40"/>
  <c r="F41" i="40"/>
  <c r="B118" i="40"/>
  <c r="F40" i="40"/>
  <c r="D117" i="40"/>
  <c r="E117" i="40"/>
  <c r="F117" i="40"/>
  <c r="G117" i="40"/>
  <c r="H117" i="40"/>
  <c r="I117" i="40"/>
  <c r="J117" i="40"/>
  <c r="K117" i="40"/>
  <c r="L117" i="40"/>
  <c r="M117" i="40"/>
  <c r="D115" i="40"/>
  <c r="E115" i="40"/>
  <c r="F115" i="40"/>
  <c r="G115" i="40"/>
  <c r="H115" i="40"/>
  <c r="I115" i="40"/>
  <c r="J115" i="40"/>
  <c r="K115" i="40"/>
  <c r="J38" i="40"/>
  <c r="AC38" i="40"/>
  <c r="L115" i="40"/>
  <c r="M115" i="40"/>
  <c r="H38" i="40"/>
  <c r="AB38"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F88" i="40"/>
  <c r="D86" i="40"/>
  <c r="E86" i="40"/>
  <c r="J17" i="40"/>
  <c r="B83"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H46" i="39"/>
  <c r="B129" i="39"/>
  <c r="D128" i="39"/>
  <c r="E128" i="39"/>
  <c r="D124" i="39"/>
  <c r="E124" i="39"/>
  <c r="F124" i="39"/>
  <c r="G124" i="39"/>
  <c r="H124" i="39"/>
  <c r="I124" i="39"/>
  <c r="J124" i="39"/>
  <c r="K124" i="39"/>
  <c r="L124" i="39"/>
  <c r="M124" i="39"/>
  <c r="B106" i="39"/>
  <c r="D99" i="39"/>
  <c r="E99" i="39"/>
  <c r="F99" i="39"/>
  <c r="G99" i="39"/>
  <c r="D97" i="39"/>
  <c r="D95" i="39"/>
  <c r="E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C9" i="39"/>
  <c r="C70" i="39"/>
  <c r="D70" i="39"/>
  <c r="E70" i="39"/>
  <c r="F70" i="39"/>
  <c r="G70" i="39"/>
  <c r="G72"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S30" i="37"/>
  <c r="Q29" i="37"/>
  <c r="Z29" i="37"/>
  <c r="H29" i="37"/>
  <c r="U29" i="37"/>
  <c r="Q28" i="37"/>
  <c r="Z28" i="37"/>
  <c r="Q27" i="37"/>
  <c r="Z27" i="37"/>
  <c r="Q26" i="37"/>
  <c r="Z26" i="37"/>
  <c r="J26" i="37"/>
  <c r="H26" i="37"/>
  <c r="AB26" i="37"/>
  <c r="F26" i="37"/>
  <c r="AA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J31" i="36"/>
  <c r="H31" i="36"/>
  <c r="AB31" i="36"/>
  <c r="F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F62" i="36"/>
  <c r="B59" i="36"/>
  <c r="B57" i="36"/>
  <c r="J12" i="36"/>
  <c r="B55" i="36"/>
  <c r="F54" i="36"/>
  <c r="G54" i="36"/>
  <c r="H54" i="36"/>
  <c r="I54" i="36"/>
  <c r="J10" i="36"/>
  <c r="W10" i="36"/>
  <c r="C51" i="36"/>
  <c r="P37" i="36"/>
  <c r="P36"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U8" i="36"/>
  <c r="D89" i="35"/>
  <c r="H30" i="35"/>
  <c r="U30" i="35"/>
  <c r="M90" i="35"/>
  <c r="L90" i="35"/>
  <c r="K90" i="35"/>
  <c r="J90" i="35"/>
  <c r="I90" i="35"/>
  <c r="H90" i="35"/>
  <c r="G90" i="35"/>
  <c r="F90" i="35"/>
  <c r="E90" i="35"/>
  <c r="D90" i="35"/>
  <c r="C90" i="35"/>
  <c r="F85" i="35"/>
  <c r="E85" i="35"/>
  <c r="D85" i="35"/>
  <c r="C85" i="35"/>
  <c r="J27" i="35"/>
  <c r="W27" i="35"/>
  <c r="H27" i="35"/>
  <c r="U27" i="35"/>
  <c r="F27" i="35"/>
  <c r="J22" i="35"/>
  <c r="B101" i="35"/>
  <c r="B99" i="35"/>
  <c r="B97" i="35"/>
  <c r="B77" i="35"/>
  <c r="B75" i="35"/>
  <c r="J24" i="35"/>
  <c r="AC24" i="35"/>
  <c r="B73" i="35"/>
  <c r="B57" i="35"/>
  <c r="B61" i="35"/>
  <c r="B59" i="35"/>
  <c r="H12" i="35"/>
  <c r="U12" i="35"/>
  <c r="B131" i="34"/>
  <c r="B129" i="34"/>
  <c r="B127" i="34"/>
  <c r="B99" i="34"/>
  <c r="B97" i="34"/>
  <c r="B95" i="34"/>
  <c r="B93" i="34"/>
  <c r="B75" i="34"/>
  <c r="B73" i="34"/>
  <c r="B71" i="34"/>
  <c r="B130" i="33"/>
  <c r="B128" i="33"/>
  <c r="H45" i="33"/>
  <c r="U45" i="33"/>
  <c r="B126" i="33"/>
  <c r="B98" i="33"/>
  <c r="B96" i="33"/>
  <c r="B94" i="33"/>
  <c r="J29" i="33"/>
  <c r="AC29" i="33"/>
  <c r="B74" i="33"/>
  <c r="B72" i="33"/>
  <c r="F13" i="33"/>
  <c r="AA13"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W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F12" i="35"/>
  <c r="Q11" i="35"/>
  <c r="Z11" i="35"/>
  <c r="Q10" i="35"/>
  <c r="Z10" i="35"/>
  <c r="Q9" i="35"/>
  <c r="Z9" i="35"/>
  <c r="J9" i="35"/>
  <c r="F9" i="35"/>
  <c r="AA9" i="35"/>
  <c r="J8" i="35"/>
  <c r="AC8" i="35"/>
  <c r="H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H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H44" i="34"/>
  <c r="Q43" i="34"/>
  <c r="Z43" i="34"/>
  <c r="F43" i="34"/>
  <c r="Q42" i="34"/>
  <c r="Z42" i="34"/>
  <c r="Q41" i="34"/>
  <c r="Z41" i="34"/>
  <c r="Q40" i="34"/>
  <c r="Z40" i="34"/>
  <c r="F40" i="34"/>
  <c r="Q39" i="34"/>
  <c r="Z39" i="34"/>
  <c r="J39" i="34"/>
  <c r="AC39" i="34"/>
  <c r="H39" i="34"/>
  <c r="U39" i="34"/>
  <c r="F39" i="34"/>
  <c r="AA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D121" i="33"/>
  <c r="F109" i="33"/>
  <c r="E109" i="33"/>
  <c r="D109" i="33"/>
  <c r="C109" i="33"/>
  <c r="D91" i="33"/>
  <c r="E91" i="33"/>
  <c r="F91" i="33"/>
  <c r="G91" i="33"/>
  <c r="H91" i="33"/>
  <c r="I91" i="33"/>
  <c r="J91" i="33"/>
  <c r="K91" i="33"/>
  <c r="L91" i="33"/>
  <c r="M91" i="33"/>
  <c r="B88"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U28" i="33"/>
  <c r="B90" i="33"/>
  <c r="H27" i="33"/>
  <c r="D87" i="33"/>
  <c r="E87" i="33"/>
  <c r="F87" i="33"/>
  <c r="G87" i="33"/>
  <c r="H87" i="33"/>
  <c r="I87" i="33"/>
  <c r="J87" i="33"/>
  <c r="K87" i="33"/>
  <c r="L87" i="33"/>
  <c r="M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P47" i="33"/>
  <c r="Q46" i="33"/>
  <c r="Z46" i="33"/>
  <c r="Q45" i="33"/>
  <c r="Z45" i="33"/>
  <c r="Q44" i="33"/>
  <c r="Z44" i="33"/>
  <c r="Q43" i="33"/>
  <c r="Z43" i="33"/>
  <c r="Q42" i="33"/>
  <c r="Z42" i="33"/>
  <c r="J42" i="33"/>
  <c r="AC42" i="33"/>
  <c r="W41" i="33"/>
  <c r="Q41" i="33"/>
  <c r="Z41" i="33"/>
  <c r="Q40" i="33"/>
  <c r="Z40" i="33"/>
  <c r="J40" i="33"/>
  <c r="H40" i="33"/>
  <c r="AB40" i="33"/>
  <c r="Q39" i="33"/>
  <c r="Z39" i="33"/>
  <c r="J39" i="33"/>
  <c r="AC39" i="33"/>
  <c r="Q38" i="33"/>
  <c r="Z38" i="33"/>
  <c r="J38" i="33"/>
  <c r="H38" i="33"/>
  <c r="F38" i="33"/>
  <c r="Q37" i="33"/>
  <c r="Z37" i="33"/>
  <c r="Q36" i="33"/>
  <c r="Z36" i="33"/>
  <c r="Q35" i="33"/>
  <c r="Z35" i="33"/>
  <c r="H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H12" i="33"/>
  <c r="F12" i="33"/>
  <c r="Q11" i="33"/>
  <c r="Z11" i="33"/>
  <c r="Q10" i="33"/>
  <c r="Z10" i="33"/>
  <c r="Q9" i="33"/>
  <c r="Z9" i="33"/>
  <c r="H9" i="33"/>
  <c r="J8" i="33"/>
  <c r="W8" i="33"/>
  <c r="H8" i="33"/>
  <c r="AB8" i="33"/>
  <c r="M102" i="21"/>
  <c r="D102" i="21"/>
  <c r="E102" i="21"/>
  <c r="F102" i="21"/>
  <c r="G102" i="21"/>
  <c r="H102" i="21"/>
  <c r="I102" i="21"/>
  <c r="J102" i="21"/>
  <c r="K102" i="21"/>
  <c r="L102" i="21"/>
  <c r="C102" i="21"/>
  <c r="C63" i="21"/>
  <c r="G18" i="20"/>
  <c r="B87" i="46"/>
  <c r="C25" i="40"/>
  <c r="G16" i="20"/>
  <c r="G15" i="20"/>
  <c r="B80" i="46"/>
  <c r="C24" i="20"/>
  <c r="C21" i="20"/>
  <c r="C20" i="20"/>
  <c r="C18" i="20"/>
  <c r="C17" i="20"/>
  <c r="B58" i="46"/>
  <c r="C16" i="20"/>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V47" i="21"/>
  <c r="P48" i="21"/>
  <c r="P49" i="21"/>
  <c r="E13" i="11"/>
  <c r="E12" i="11"/>
  <c r="C9" i="12"/>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F34" i="21"/>
  <c r="AA34" i="21"/>
  <c r="H34" i="21"/>
  <c r="U34" i="21"/>
  <c r="F43" i="21"/>
  <c r="S43" i="21"/>
  <c r="H38" i="21"/>
  <c r="AB38" i="21"/>
  <c r="H43" i="21"/>
  <c r="AB43" i="21"/>
  <c r="F32" i="21"/>
  <c r="F38" i="21"/>
  <c r="S38" i="21"/>
  <c r="F36" i="21"/>
  <c r="F39" i="21"/>
  <c r="AA39" i="21"/>
  <c r="J40" i="21"/>
  <c r="H35" i="21"/>
  <c r="J8" i="21"/>
  <c r="J9" i="21"/>
  <c r="H8" i="21"/>
  <c r="U8" i="21"/>
  <c r="H10" i="21"/>
  <c r="U10" i="21"/>
  <c r="H39" i="21"/>
  <c r="AB39" i="21"/>
  <c r="J34" i="21"/>
  <c r="W34" i="21"/>
  <c r="H36" i="21"/>
  <c r="U36" i="21"/>
  <c r="F35" i="21"/>
  <c r="AA35" i="21"/>
  <c r="J33" i="21"/>
  <c r="W33" i="21"/>
  <c r="H33" i="21"/>
  <c r="U33" i="21"/>
  <c r="F33" i="21"/>
  <c r="J10" i="21"/>
  <c r="H26" i="21"/>
  <c r="U26" i="21"/>
  <c r="F19" i="21"/>
  <c r="AA19" i="21"/>
  <c r="H19" i="21"/>
  <c r="AB19" i="21"/>
  <c r="J19" i="21"/>
  <c r="W19" i="21"/>
  <c r="J12" i="21"/>
  <c r="H12" i="21"/>
  <c r="J26" i="21"/>
  <c r="F26" i="21"/>
  <c r="AA26" i="21"/>
  <c r="AB41" i="21"/>
  <c r="S41" i="21"/>
  <c r="AA41" i="21"/>
  <c r="S10" i="39"/>
  <c r="U30" i="37"/>
  <c r="E103" i="37"/>
  <c r="F103" i="37"/>
  <c r="G103" i="37"/>
  <c r="F39" i="37"/>
  <c r="S39" i="37"/>
  <c r="W39" i="37"/>
  <c r="F29" i="36"/>
  <c r="AA29" i="36"/>
  <c r="F16" i="36"/>
  <c r="AA16" i="36"/>
  <c r="U22" i="36"/>
  <c r="W23" i="36"/>
  <c r="W22" i="36"/>
  <c r="U26" i="36"/>
  <c r="J33" i="36"/>
  <c r="W33" i="36"/>
  <c r="AC27" i="35"/>
  <c r="S34" i="35"/>
  <c r="W24" i="35"/>
  <c r="S31" i="35"/>
  <c r="W31" i="35"/>
  <c r="U34" i="35"/>
  <c r="F36" i="34"/>
  <c r="W39" i="34"/>
  <c r="H39" i="33"/>
  <c r="AB39" i="33"/>
  <c r="U33" i="33"/>
  <c r="S40" i="33"/>
  <c r="S8" i="21"/>
  <c r="H39" i="37"/>
  <c r="AB27" i="35"/>
  <c r="S10" i="40"/>
  <c r="W10" i="40"/>
  <c r="S11" i="40"/>
  <c r="U11" i="40"/>
  <c r="S36" i="40"/>
  <c r="U36" i="40"/>
  <c r="S40" i="39"/>
  <c r="S36" i="39"/>
  <c r="F11" i="21"/>
  <c r="S11" i="21"/>
  <c r="AB36" i="21"/>
  <c r="C23" i="39"/>
  <c r="U36" i="39"/>
  <c r="S42" i="39"/>
  <c r="H32" i="33"/>
  <c r="AB32" i="33"/>
  <c r="H11" i="21"/>
  <c r="U11" i="21"/>
  <c r="J11" i="21"/>
  <c r="W11" i="21"/>
  <c r="F86" i="40"/>
  <c r="J27" i="36"/>
  <c r="W27" i="36"/>
  <c r="J30" i="35"/>
  <c r="W30" i="35"/>
  <c r="F22" i="35"/>
  <c r="AA22" i="35"/>
  <c r="H10" i="35"/>
  <c r="U10" i="35"/>
  <c r="U29" i="36"/>
  <c r="E85" i="36"/>
  <c r="F85" i="36"/>
  <c r="G85" i="36"/>
  <c r="H85" i="36"/>
  <c r="I85" i="36"/>
  <c r="J85" i="36"/>
  <c r="K85" i="36"/>
  <c r="L85" i="36"/>
  <c r="M85" i="36"/>
  <c r="J29" i="36"/>
  <c r="AC29" i="36"/>
  <c r="F12" i="36"/>
  <c r="S12" i="36"/>
  <c r="S10" i="36"/>
  <c r="H16" i="35"/>
  <c r="H33" i="35"/>
  <c r="W8" i="35"/>
  <c r="F35" i="37"/>
  <c r="AA35" i="37"/>
  <c r="F101" i="37"/>
  <c r="G101" i="37"/>
  <c r="H101" i="37"/>
  <c r="I101" i="37"/>
  <c r="J101" i="37"/>
  <c r="K101" i="37"/>
  <c r="L101" i="37"/>
  <c r="M101" i="37"/>
  <c r="J34" i="37"/>
  <c r="AA39" i="37"/>
  <c r="H43" i="34"/>
  <c r="U42" i="34"/>
  <c r="E114" i="34"/>
  <c r="H36" i="34"/>
  <c r="F37" i="34"/>
  <c r="F33" i="34"/>
  <c r="S33" i="34"/>
  <c r="F19" i="34"/>
  <c r="AA19" i="34"/>
  <c r="J10" i="34"/>
  <c r="AC10" i="34"/>
  <c r="W8" i="34"/>
  <c r="E113" i="33"/>
  <c r="F113" i="33"/>
  <c r="G113" i="33"/>
  <c r="H113" i="33"/>
  <c r="I113" i="33"/>
  <c r="J113" i="33"/>
  <c r="K113" i="33"/>
  <c r="L113" i="33"/>
  <c r="M113" i="33"/>
  <c r="F36" i="33"/>
  <c r="S36" i="33"/>
  <c r="F19" i="33"/>
  <c r="S19" i="33"/>
  <c r="J19" i="33"/>
  <c r="S10" i="21"/>
  <c r="G86" i="40"/>
  <c r="AB30" i="36"/>
  <c r="S22" i="35"/>
  <c r="H29" i="35"/>
  <c r="AB29" i="35"/>
  <c r="U34" i="37"/>
  <c r="S34" i="37"/>
  <c r="AA34" i="37"/>
  <c r="AC43" i="34"/>
  <c r="AB42" i="34"/>
  <c r="AB40" i="34"/>
  <c r="W36" i="34"/>
  <c r="J19" i="34"/>
  <c r="H37" i="33"/>
  <c r="AB37" i="33"/>
  <c r="S37" i="33"/>
  <c r="AC42" i="34"/>
  <c r="W42" i="34"/>
  <c r="AA42" i="34"/>
  <c r="S42" i="34"/>
  <c r="AC38" i="34"/>
  <c r="W38" i="34"/>
  <c r="AA38" i="34"/>
  <c r="S38" i="34"/>
  <c r="J37" i="33"/>
  <c r="W37" i="33"/>
  <c r="J42" i="21"/>
  <c r="J44" i="34"/>
  <c r="AC44" i="34"/>
  <c r="F44" i="34"/>
  <c r="S44" i="34"/>
  <c r="J10" i="35"/>
  <c r="J14" i="21"/>
  <c r="W14" i="21"/>
  <c r="F14" i="21"/>
  <c r="AA14" i="21"/>
  <c r="H14" i="21"/>
  <c r="U14" i="21"/>
  <c r="H28" i="21"/>
  <c r="AB28" i="21"/>
  <c r="F28" i="21"/>
  <c r="J28" i="21"/>
  <c r="H30" i="21"/>
  <c r="F30" i="21"/>
  <c r="S30" i="21"/>
  <c r="J30" i="21"/>
  <c r="AC30" i="21"/>
  <c r="J44" i="21"/>
  <c r="AC44" i="21"/>
  <c r="H44" i="21"/>
  <c r="U44" i="21"/>
  <c r="F44" i="21"/>
  <c r="AA44" i="21"/>
  <c r="H46" i="21"/>
  <c r="AB46" i="21"/>
  <c r="J46" i="21"/>
  <c r="W46" i="21"/>
  <c r="F46" i="21"/>
  <c r="AA46" i="21"/>
  <c r="F28" i="33"/>
  <c r="AA28" i="33"/>
  <c r="J28" i="33"/>
  <c r="F33" i="35"/>
  <c r="J33" i="35"/>
  <c r="W33" i="35"/>
  <c r="F30" i="35"/>
  <c r="AA30" i="35"/>
  <c r="E89" i="35"/>
  <c r="F89" i="35"/>
  <c r="G89" i="35"/>
  <c r="H89" i="35"/>
  <c r="I89" i="35"/>
  <c r="J89" i="35"/>
  <c r="K89" i="35"/>
  <c r="L89" i="35"/>
  <c r="M89" i="35"/>
  <c r="H10" i="36"/>
  <c r="AB10" i="36"/>
  <c r="F28" i="36"/>
  <c r="S28" i="36"/>
  <c r="F27" i="36"/>
  <c r="S27" i="36"/>
  <c r="J27" i="33"/>
  <c r="AC27" i="33"/>
  <c r="F27" i="33"/>
  <c r="S27" i="33"/>
  <c r="S13" i="33"/>
  <c r="J45" i="33"/>
  <c r="W45" i="33"/>
  <c r="F45" i="33"/>
  <c r="S45" i="33"/>
  <c r="F11" i="35"/>
  <c r="S11" i="35"/>
  <c r="H28" i="36"/>
  <c r="U28" i="36"/>
  <c r="H32" i="36"/>
  <c r="J32" i="36"/>
  <c r="W32" i="36"/>
  <c r="J11" i="36"/>
  <c r="W11" i="36"/>
  <c r="H13" i="36"/>
  <c r="AB13" i="36"/>
  <c r="J13" i="36"/>
  <c r="W13" i="36"/>
  <c r="F13" i="36"/>
  <c r="S13" i="36"/>
  <c r="E89" i="37"/>
  <c r="F89" i="37"/>
  <c r="G89" i="37"/>
  <c r="H89" i="37"/>
  <c r="I89" i="37"/>
  <c r="J89" i="37"/>
  <c r="K89" i="37"/>
  <c r="L89" i="37"/>
  <c r="M89" i="37"/>
  <c r="J29" i="37"/>
  <c r="W29" i="37"/>
  <c r="F29" i="37"/>
  <c r="F105" i="37"/>
  <c r="G105" i="37"/>
  <c r="AB36" i="37"/>
  <c r="F107" i="37"/>
  <c r="J37" i="37"/>
  <c r="AC37" i="37"/>
  <c r="H37" i="37"/>
  <c r="U37" i="37"/>
  <c r="H40" i="37"/>
  <c r="U40" i="37"/>
  <c r="J40" i="37"/>
  <c r="F40" i="37"/>
  <c r="AA40" i="37"/>
  <c r="H14" i="33"/>
  <c r="F14" i="33"/>
  <c r="AA14" i="33"/>
  <c r="J14" i="33"/>
  <c r="AC14" i="33"/>
  <c r="H30" i="33"/>
  <c r="F30" i="33"/>
  <c r="S30" i="33"/>
  <c r="J30" i="33"/>
  <c r="W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AB40" i="37"/>
  <c r="J36" i="37"/>
  <c r="AC36" i="37"/>
  <c r="AB28" i="36"/>
  <c r="S46" i="21"/>
  <c r="U46" i="21"/>
  <c r="W30" i="21"/>
  <c r="S28" i="21"/>
  <c r="AA28" i="21"/>
  <c r="AB14" i="21"/>
  <c r="W31" i="34"/>
  <c r="S46" i="33"/>
  <c r="U36" i="37"/>
  <c r="AC13" i="36"/>
  <c r="AB45" i="33"/>
  <c r="AA27" i="33"/>
  <c r="U28" i="21"/>
  <c r="AB44" i="21"/>
  <c r="S19" i="2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F125" i="33"/>
  <c r="G125" i="33"/>
  <c r="H43" i="33"/>
  <c r="U43" i="33"/>
  <c r="H17" i="37"/>
  <c r="U17" i="37"/>
  <c r="F23" i="37"/>
  <c r="F79" i="37"/>
  <c r="G79" i="37"/>
  <c r="AB27" i="37"/>
  <c r="F39" i="33"/>
  <c r="AA39" i="33"/>
  <c r="E123" i="33"/>
  <c r="F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F17" i="37"/>
  <c r="AB43" i="33"/>
  <c r="D3" i="21"/>
  <c r="S27" i="37"/>
  <c r="AC8" i="37"/>
  <c r="AC36" i="34"/>
  <c r="AB8" i="34"/>
  <c r="AC37" i="33"/>
  <c r="AC45" i="33"/>
  <c r="U19" i="21"/>
  <c r="AC33" i="21"/>
  <c r="F43" i="33"/>
  <c r="AA43" i="33"/>
  <c r="S10" i="35"/>
  <c r="AB44" i="33"/>
  <c r="G107" i="37"/>
  <c r="H107" i="37"/>
  <c r="I107" i="37"/>
  <c r="J107" i="37"/>
  <c r="K107" i="37"/>
  <c r="L107" i="37"/>
  <c r="M107" i="37"/>
  <c r="F37" i="21"/>
  <c r="J37" i="21"/>
  <c r="H19" i="34"/>
  <c r="J10" i="37"/>
  <c r="W10" i="37"/>
  <c r="F36" i="35"/>
  <c r="S36" i="35"/>
  <c r="J9" i="37"/>
  <c r="W9" i="37"/>
  <c r="H9" i="37"/>
  <c r="U9" i="37"/>
  <c r="F9" i="37"/>
  <c r="S9" i="37"/>
  <c r="F11" i="37"/>
  <c r="J12" i="37"/>
  <c r="H12" i="37"/>
  <c r="F12" i="37"/>
  <c r="H15" i="37"/>
  <c r="U15" i="37"/>
  <c r="E94" i="37"/>
  <c r="F94" i="37"/>
  <c r="F31" i="37"/>
  <c r="S31" i="37"/>
  <c r="G94" i="37"/>
  <c r="H94" i="37"/>
  <c r="I94" i="37"/>
  <c r="J94" i="37"/>
  <c r="K94" i="37"/>
  <c r="L94" i="37"/>
  <c r="M94" i="37"/>
  <c r="H31" i="37"/>
  <c r="AB31" i="37"/>
  <c r="J15" i="37"/>
  <c r="W15" i="37"/>
  <c r="AB10" i="37"/>
  <c r="J11" i="37"/>
  <c r="W11" i="37"/>
  <c r="U31" i="37"/>
  <c r="E90" i="40"/>
  <c r="F90" i="40"/>
  <c r="F21" i="40"/>
  <c r="S21" i="40"/>
  <c r="W36" i="40"/>
  <c r="U40" i="39"/>
  <c r="J21" i="40"/>
  <c r="AC21" i="40"/>
  <c r="G90" i="40"/>
  <c r="S27" i="31"/>
  <c r="J57" i="39"/>
  <c r="H13" i="40"/>
  <c r="U13" i="40"/>
  <c r="H12" i="48"/>
  <c r="I4" i="4"/>
  <c r="K143" i="21"/>
  <c r="I59" i="40"/>
  <c r="C59" i="40"/>
  <c r="I60" i="40"/>
  <c r="C60" i="40"/>
  <c r="H7" i="48"/>
  <c r="F33" i="46"/>
  <c r="H16" i="48"/>
  <c r="H9" i="48"/>
  <c r="H8" i="48"/>
  <c r="C12" i="46"/>
  <c r="AA43" i="21"/>
  <c r="U43" i="21"/>
  <c r="AA13" i="40"/>
  <c r="E78" i="40"/>
  <c r="F78" i="40"/>
  <c r="G78" i="40"/>
  <c r="H78" i="40"/>
  <c r="I78" i="40"/>
  <c r="J78" i="40"/>
  <c r="K78" i="40"/>
  <c r="L78" i="40"/>
  <c r="M78" i="40"/>
  <c r="P16" i="4"/>
  <c r="D3" i="35"/>
  <c r="G4" i="4"/>
  <c r="J16" i="35"/>
  <c r="W16" i="35"/>
  <c r="U42" i="21"/>
  <c r="AC26" i="36"/>
  <c r="H11" i="37"/>
  <c r="AB11" i="37"/>
  <c r="W37" i="37"/>
  <c r="AA36" i="37"/>
  <c r="S42" i="33"/>
  <c r="U32" i="33"/>
  <c r="AA45" i="33"/>
  <c r="AC11" i="36"/>
  <c r="AC10" i="36"/>
  <c r="AB45" i="34"/>
  <c r="AC14" i="37"/>
  <c r="W44" i="33"/>
  <c r="AC30" i="33"/>
  <c r="AC29" i="37"/>
  <c r="AC32" i="36"/>
  <c r="AB28" i="33"/>
  <c r="J33" i="34"/>
  <c r="AC33" i="34"/>
  <c r="J40" i="34"/>
  <c r="F16" i="35"/>
  <c r="W42" i="33"/>
  <c r="J35" i="34"/>
  <c r="F107" i="34"/>
  <c r="G107" i="34"/>
  <c r="H107" i="34"/>
  <c r="I107" i="34"/>
  <c r="J107" i="34"/>
  <c r="K107" i="34"/>
  <c r="L107" i="34"/>
  <c r="M107" i="34"/>
  <c r="S30" i="36"/>
  <c r="H16" i="36"/>
  <c r="AB16" i="36"/>
  <c r="H103" i="37"/>
  <c r="I103" i="37"/>
  <c r="J103" i="37"/>
  <c r="K103" i="37"/>
  <c r="L103" i="37"/>
  <c r="M103" i="37"/>
  <c r="H35" i="37"/>
  <c r="AB35" i="37"/>
  <c r="S26" i="21"/>
  <c r="H32" i="21"/>
  <c r="U32" i="21"/>
  <c r="AB26" i="21"/>
  <c r="AA33" i="21"/>
  <c r="S33" i="21"/>
  <c r="U39" i="21"/>
  <c r="J32" i="21"/>
  <c r="AC32" i="21"/>
  <c r="F17" i="21"/>
  <c r="S17" i="21"/>
  <c r="H17" i="21"/>
  <c r="J17" i="21"/>
  <c r="H37" i="21"/>
  <c r="F40" i="21"/>
  <c r="S40" i="21"/>
  <c r="H40" i="21"/>
  <c r="E119" i="21"/>
  <c r="F119" i="21"/>
  <c r="G119" i="21"/>
  <c r="H119" i="21"/>
  <c r="I119" i="21"/>
  <c r="J119" i="21"/>
  <c r="K119" i="21"/>
  <c r="L119" i="21"/>
  <c r="M119" i="21"/>
  <c r="S8" i="33"/>
  <c r="AC8" i="33"/>
  <c r="H66" i="33"/>
  <c r="F10" i="33"/>
  <c r="F11" i="33"/>
  <c r="J15" i="33"/>
  <c r="H19" i="33"/>
  <c r="F32" i="33"/>
  <c r="AA32" i="33"/>
  <c r="J32" i="33"/>
  <c r="AC32" i="33"/>
  <c r="F35" i="33"/>
  <c r="F11" i="34"/>
  <c r="S11" i="34"/>
  <c r="E80" i="34"/>
  <c r="F80" i="34"/>
  <c r="G80" i="34"/>
  <c r="H17" i="34"/>
  <c r="AB17" i="34"/>
  <c r="W27" i="34"/>
  <c r="AB28" i="35"/>
  <c r="U28" i="35"/>
  <c r="H13" i="33"/>
  <c r="U13" i="33"/>
  <c r="F29" i="33"/>
  <c r="AA29" i="33"/>
  <c r="J12" i="34"/>
  <c r="H12" i="34"/>
  <c r="F12" i="34"/>
  <c r="S12" i="34"/>
  <c r="J14" i="34"/>
  <c r="W14" i="34"/>
  <c r="F14" i="34"/>
  <c r="S14" i="34"/>
  <c r="H14" i="34"/>
  <c r="H30" i="34"/>
  <c r="F30" i="34"/>
  <c r="S30" i="34"/>
  <c r="J30" i="34"/>
  <c r="H32" i="34"/>
  <c r="AB32" i="34"/>
  <c r="F32" i="34"/>
  <c r="AA32" i="34"/>
  <c r="J32" i="34"/>
  <c r="H46" i="34"/>
  <c r="AB46" i="34"/>
  <c r="F46" i="34"/>
  <c r="J46" i="34"/>
  <c r="H11" i="35"/>
  <c r="U11" i="35"/>
  <c r="J11" i="35"/>
  <c r="AC11" i="35"/>
  <c r="H32" i="37"/>
  <c r="F19" i="39"/>
  <c r="H19" i="39"/>
  <c r="U19" i="39"/>
  <c r="J19" i="39"/>
  <c r="W19" i="39"/>
  <c r="F43" i="39"/>
  <c r="S43" i="39"/>
  <c r="H43" i="39"/>
  <c r="J43" i="39"/>
  <c r="AC43" i="39"/>
  <c r="AC27" i="37"/>
  <c r="S45" i="34"/>
  <c r="U31" i="34"/>
  <c r="AC40" i="37"/>
  <c r="W40" i="37"/>
  <c r="W27" i="33"/>
  <c r="S28" i="33"/>
  <c r="S14" i="21"/>
  <c r="U29" i="35"/>
  <c r="AC19" i="33"/>
  <c r="W19" i="33"/>
  <c r="U43" i="34"/>
  <c r="AB43" i="34"/>
  <c r="AB10" i="35"/>
  <c r="AA32" i="21"/>
  <c r="S32" i="21"/>
  <c r="U38" i="21"/>
  <c r="AB34" i="21"/>
  <c r="F42" i="21"/>
  <c r="AA42" i="21"/>
  <c r="U40" i="33"/>
  <c r="S35" i="34"/>
  <c r="H27" i="34"/>
  <c r="AB27" i="34"/>
  <c r="AB8" i="35"/>
  <c r="U8" i="35"/>
  <c r="S9" i="35"/>
  <c r="J14" i="35"/>
  <c r="AC14" i="35"/>
  <c r="F14" i="35"/>
  <c r="H14" i="35"/>
  <c r="U14" i="35"/>
  <c r="E80" i="35"/>
  <c r="F94" i="35"/>
  <c r="G94" i="35"/>
  <c r="H94" i="35"/>
  <c r="I94" i="35"/>
  <c r="J94" i="35"/>
  <c r="K94" i="35"/>
  <c r="L94" i="35"/>
  <c r="M94" i="35"/>
  <c r="J32" i="35"/>
  <c r="H11" i="36"/>
  <c r="F11" i="36"/>
  <c r="W16" i="36"/>
  <c r="AC16" i="36"/>
  <c r="E78" i="36"/>
  <c r="F78" i="36"/>
  <c r="G78" i="36"/>
  <c r="H78" i="36"/>
  <c r="I78" i="36"/>
  <c r="J78" i="36"/>
  <c r="K78" i="36"/>
  <c r="L78" i="36"/>
  <c r="M78" i="36"/>
  <c r="F26" i="36"/>
  <c r="S26" i="36"/>
  <c r="H33" i="36"/>
  <c r="U33" i="36"/>
  <c r="F33" i="36"/>
  <c r="AA33" i="36"/>
  <c r="H27" i="36"/>
  <c r="AB27" i="36"/>
  <c r="AC25" i="37"/>
  <c r="AC26" i="37"/>
  <c r="W26" i="37"/>
  <c r="AB29" i="37"/>
  <c r="AA30" i="37"/>
  <c r="AC30" i="37"/>
  <c r="AC31" i="37"/>
  <c r="W31" i="37"/>
  <c r="F17" i="39"/>
  <c r="AA17" i="39"/>
  <c r="H17" i="39"/>
  <c r="J17" i="39"/>
  <c r="W17" i="39"/>
  <c r="F21" i="39"/>
  <c r="S21" i="39"/>
  <c r="H21" i="39"/>
  <c r="AB21" i="39"/>
  <c r="F33" i="39"/>
  <c r="H33" i="39"/>
  <c r="U33" i="39"/>
  <c r="J33" i="39"/>
  <c r="W33" i="39"/>
  <c r="F44" i="39"/>
  <c r="S44" i="39"/>
  <c r="H44" i="39"/>
  <c r="U44" i="39"/>
  <c r="J44" i="39"/>
  <c r="W44" i="39"/>
  <c r="F128" i="39"/>
  <c r="G128" i="39"/>
  <c r="H128" i="39"/>
  <c r="I128" i="39"/>
  <c r="J128" i="39"/>
  <c r="K128" i="39"/>
  <c r="L128" i="39"/>
  <c r="M128" i="39"/>
  <c r="F46" i="39"/>
  <c r="S46" i="39"/>
  <c r="J46" i="39"/>
  <c r="E103" i="39"/>
  <c r="F34" i="39"/>
  <c r="AA34" i="39"/>
  <c r="H34" i="39"/>
  <c r="AB34" i="39"/>
  <c r="J34" i="39"/>
  <c r="AC34" i="39"/>
  <c r="F39" i="39"/>
  <c r="H39" i="39"/>
  <c r="AB39" i="39"/>
  <c r="J39" i="39"/>
  <c r="W39" i="39"/>
  <c r="J29" i="35"/>
  <c r="AC29" i="35"/>
  <c r="F29" i="35"/>
  <c r="S29" i="35"/>
  <c r="AC30" i="36"/>
  <c r="F37" i="39"/>
  <c r="S37" i="39"/>
  <c r="H37" i="39"/>
  <c r="U37" i="39"/>
  <c r="J37" i="39"/>
  <c r="W37" i="39"/>
  <c r="F36" i="44"/>
  <c r="F114" i="34"/>
  <c r="G114" i="34"/>
  <c r="H114" i="34"/>
  <c r="I114" i="34"/>
  <c r="J114" i="34"/>
  <c r="K114" i="34"/>
  <c r="L114" i="34"/>
  <c r="M114" i="34"/>
  <c r="H38" i="34"/>
  <c r="H30" i="40"/>
  <c r="G100" i="40"/>
  <c r="H100" i="40"/>
  <c r="J30" i="40"/>
  <c r="AC30" i="40"/>
  <c r="F38" i="40"/>
  <c r="AA38" i="40"/>
  <c r="AC12" i="21"/>
  <c r="W12" i="21"/>
  <c r="AB33" i="21"/>
  <c r="S35" i="21"/>
  <c r="AB10" i="21"/>
  <c r="AB8" i="21"/>
  <c r="S34" i="21"/>
  <c r="AC36" i="21"/>
  <c r="U8" i="33"/>
  <c r="H34" i="33"/>
  <c r="U34" i="33"/>
  <c r="F34" i="33"/>
  <c r="S34" i="33"/>
  <c r="E121" i="33"/>
  <c r="F121" i="33"/>
  <c r="F41" i="33"/>
  <c r="S41" i="33"/>
  <c r="AC34" i="34"/>
  <c r="W34" i="34"/>
  <c r="S39" i="34"/>
  <c r="E78" i="34"/>
  <c r="F15" i="34"/>
  <c r="AC28" i="35"/>
  <c r="J20" i="35"/>
  <c r="E72" i="35"/>
  <c r="F72" i="35"/>
  <c r="G72" i="35"/>
  <c r="H22" i="35"/>
  <c r="AB22" i="35"/>
  <c r="F23" i="35"/>
  <c r="AA23" i="35"/>
  <c r="W12" i="36"/>
  <c r="AC12" i="36"/>
  <c r="U31" i="36"/>
  <c r="S8" i="37"/>
  <c r="F14" i="39"/>
  <c r="H14" i="39"/>
  <c r="J14" i="39"/>
  <c r="AC14" i="39"/>
  <c r="F16" i="39"/>
  <c r="AA16" i="39"/>
  <c r="H16" i="39"/>
  <c r="J16" i="39"/>
  <c r="AC16" i="39"/>
  <c r="F23" i="39"/>
  <c r="AA23" i="39"/>
  <c r="E97" i="39"/>
  <c r="F27" i="39"/>
  <c r="AA27" i="39"/>
  <c r="H27" i="39"/>
  <c r="AB27" i="39"/>
  <c r="J27" i="39"/>
  <c r="AC27" i="39"/>
  <c r="F15" i="40"/>
  <c r="AA15" i="40"/>
  <c r="J15" i="40"/>
  <c r="H15" i="40"/>
  <c r="E92" i="40"/>
  <c r="F92" i="40"/>
  <c r="H23" i="40"/>
  <c r="U23" i="40"/>
  <c r="H41" i="40"/>
  <c r="J41" i="40"/>
  <c r="AC41" i="40"/>
  <c r="H36" i="33"/>
  <c r="AB36" i="33"/>
  <c r="H37" i="34"/>
  <c r="F15" i="39"/>
  <c r="H15" i="39"/>
  <c r="U15" i="39"/>
  <c r="J15" i="39"/>
  <c r="AC15" i="39"/>
  <c r="H25" i="39"/>
  <c r="U25" i="39"/>
  <c r="J25" i="39"/>
  <c r="AC25" i="39"/>
  <c r="F25" i="39"/>
  <c r="F45" i="39"/>
  <c r="H45" i="39"/>
  <c r="U45" i="39"/>
  <c r="J45" i="39"/>
  <c r="F47" i="39"/>
  <c r="H47" i="39"/>
  <c r="J47" i="39"/>
  <c r="W47" i="39"/>
  <c r="F41" i="39"/>
  <c r="AA41" i="39"/>
  <c r="H41" i="39"/>
  <c r="AB41" i="39"/>
  <c r="J41" i="39"/>
  <c r="AC41" i="39"/>
  <c r="E94" i="40"/>
  <c r="F94" i="40"/>
  <c r="J25" i="40"/>
  <c r="AC25" i="40"/>
  <c r="H35" i="40"/>
  <c r="AB35" i="40"/>
  <c r="F35" i="40"/>
  <c r="AA35" i="40"/>
  <c r="J35" i="40"/>
  <c r="AC35" i="40"/>
  <c r="J38" i="39"/>
  <c r="W38" i="39"/>
  <c r="H38" i="39"/>
  <c r="U38" i="39"/>
  <c r="J14" i="40"/>
  <c r="W14" i="40"/>
  <c r="H42" i="40"/>
  <c r="H40" i="40"/>
  <c r="H34" i="40"/>
  <c r="U34" i="40"/>
  <c r="B41" i="1"/>
  <c r="J42" i="40"/>
  <c r="AC42" i="40"/>
  <c r="J40" i="40"/>
  <c r="AC40" i="40"/>
  <c r="J34" i="40"/>
  <c r="AC34" i="40"/>
  <c r="H14" i="40"/>
  <c r="U14" i="40"/>
  <c r="M1" i="46"/>
  <c r="M6" i="46"/>
  <c r="M10" i="46"/>
  <c r="N2" i="46"/>
  <c r="N5" i="46"/>
  <c r="F58" i="46"/>
  <c r="N7" i="46"/>
  <c r="M7" i="46"/>
  <c r="M11" i="46"/>
  <c r="N3" i="46"/>
  <c r="N6" i="46"/>
  <c r="N10" i="46"/>
  <c r="F69" i="46"/>
  <c r="J13" i="40"/>
  <c r="AB14" i="40"/>
  <c r="W40" i="40"/>
  <c r="F34" i="44"/>
  <c r="F66" i="9"/>
  <c r="P72" i="9"/>
  <c r="F71" i="9"/>
  <c r="AC14" i="40"/>
  <c r="W35" i="40"/>
  <c r="AC47" i="39"/>
  <c r="AB25" i="39"/>
  <c r="U37" i="34"/>
  <c r="AB37" i="34"/>
  <c r="W41" i="40"/>
  <c r="J23" i="40"/>
  <c r="AC23" i="40"/>
  <c r="G92" i="40"/>
  <c r="F23" i="40"/>
  <c r="S23" i="40"/>
  <c r="AC15" i="40"/>
  <c r="W15" i="40"/>
  <c r="W27" i="39"/>
  <c r="S23" i="39"/>
  <c r="H20" i="35"/>
  <c r="F20" i="35"/>
  <c r="S20" i="35"/>
  <c r="H15" i="34"/>
  <c r="F78" i="34"/>
  <c r="G78" i="34"/>
  <c r="J15" i="34"/>
  <c r="AC15" i="34"/>
  <c r="H41" i="33"/>
  <c r="U41" i="33"/>
  <c r="G121" i="33"/>
  <c r="H121" i="33"/>
  <c r="I121" i="33"/>
  <c r="J121" i="33"/>
  <c r="K121" i="33"/>
  <c r="L121" i="33"/>
  <c r="M121" i="33"/>
  <c r="F30" i="40"/>
  <c r="AA30" i="40"/>
  <c r="I100" i="40"/>
  <c r="J100" i="40"/>
  <c r="K100" i="40"/>
  <c r="L100" i="40"/>
  <c r="M100" i="40"/>
  <c r="AB37" i="39"/>
  <c r="AA29" i="35"/>
  <c r="U21" i="39"/>
  <c r="AB33" i="36"/>
  <c r="AA14" i="35"/>
  <c r="S14" i="35"/>
  <c r="G99" i="37"/>
  <c r="H99" i="37"/>
  <c r="F33" i="37"/>
  <c r="AB19" i="39"/>
  <c r="U46" i="34"/>
  <c r="AA14" i="34"/>
  <c r="U17" i="34"/>
  <c r="AA11" i="34"/>
  <c r="W32" i="33"/>
  <c r="H15" i="33"/>
  <c r="U15" i="33"/>
  <c r="AA40" i="21"/>
  <c r="W34" i="40"/>
  <c r="AB34" i="40"/>
  <c r="AB42" i="40"/>
  <c r="U42" i="40"/>
  <c r="H25" i="40"/>
  <c r="AB25" i="40"/>
  <c r="G94" i="40"/>
  <c r="J37" i="34"/>
  <c r="AC37" i="34"/>
  <c r="J36" i="33"/>
  <c r="W36" i="33"/>
  <c r="AB23" i="40"/>
  <c r="U27" i="39"/>
  <c r="H23" i="39"/>
  <c r="J23" i="39"/>
  <c r="F97" i="39"/>
  <c r="G97" i="39"/>
  <c r="S16" i="39"/>
  <c r="S15" i="34"/>
  <c r="AA15" i="34"/>
  <c r="AA41" i="33"/>
  <c r="AA34" i="33"/>
  <c r="G106" i="33"/>
  <c r="H106" i="33"/>
  <c r="I106" i="33"/>
  <c r="J106" i="33"/>
  <c r="K106" i="33"/>
  <c r="L106" i="33"/>
  <c r="M106" i="33"/>
  <c r="J34" i="33"/>
  <c r="AC34" i="33"/>
  <c r="AA37" i="39"/>
  <c r="W29" i="35"/>
  <c r="AC39" i="39"/>
  <c r="AA39" i="39"/>
  <c r="S39" i="39"/>
  <c r="U34" i="39"/>
  <c r="AB44" i="39"/>
  <c r="AC33" i="39"/>
  <c r="AA33" i="39"/>
  <c r="S33" i="39"/>
  <c r="S17" i="39"/>
  <c r="F80" i="35"/>
  <c r="G80" i="35"/>
  <c r="H80" i="35"/>
  <c r="I80" i="35"/>
  <c r="J80" i="35"/>
  <c r="K80" i="35"/>
  <c r="L80" i="35"/>
  <c r="M80" i="35"/>
  <c r="W14" i="35"/>
  <c r="F27" i="34"/>
  <c r="S27" i="34"/>
  <c r="G96" i="37"/>
  <c r="H96" i="37"/>
  <c r="I96" i="37"/>
  <c r="J96" i="37"/>
  <c r="K96" i="37"/>
  <c r="L96" i="37"/>
  <c r="M96" i="37"/>
  <c r="F32" i="37"/>
  <c r="S32" i="37"/>
  <c r="AB11" i="35"/>
  <c r="AC14" i="34"/>
  <c r="F17" i="34"/>
  <c r="AA17" i="34"/>
  <c r="J17" i="34"/>
  <c r="H11" i="34"/>
  <c r="J35" i="33"/>
  <c r="S32" i="33"/>
  <c r="H11" i="33"/>
  <c r="U11" i="33"/>
  <c r="H10" i="33"/>
  <c r="I66" i="33"/>
  <c r="J10" i="33"/>
  <c r="AC10" i="33"/>
  <c r="U11" i="37"/>
  <c r="AC16" i="35"/>
  <c r="J11" i="34"/>
  <c r="W11" i="34"/>
  <c r="AC36" i="33"/>
  <c r="F25" i="40"/>
  <c r="J11" i="33"/>
  <c r="W11" i="33"/>
  <c r="H33" i="37"/>
  <c r="AB33" i="37"/>
  <c r="W15" i="34"/>
  <c r="U20" i="35"/>
  <c r="AB20" i="35"/>
  <c r="W23" i="40"/>
  <c r="AP11" i="1"/>
  <c r="B11" i="1"/>
  <c r="E11" i="1"/>
  <c r="K11" i="1"/>
  <c r="M11" i="1"/>
  <c r="O11" i="1"/>
  <c r="B9" i="1"/>
  <c r="E9" i="1"/>
  <c r="K9" i="1"/>
  <c r="M9" i="1"/>
  <c r="O9" i="1"/>
  <c r="B7" i="1"/>
  <c r="E7" i="1"/>
  <c r="C20" i="43"/>
  <c r="G11" i="1"/>
  <c r="M22" i="44"/>
  <c r="F70" i="9"/>
  <c r="M20" i="44"/>
  <c r="F30" i="44"/>
  <c r="AC25" i="36"/>
  <c r="S23" i="36"/>
  <c r="S8" i="36"/>
  <c r="AA26" i="36"/>
  <c r="AA28" i="36"/>
  <c r="U25" i="36"/>
  <c r="H20" i="36"/>
  <c r="U20" i="36"/>
  <c r="F68" i="36"/>
  <c r="G68" i="36"/>
  <c r="J20" i="36"/>
  <c r="AC20" i="36"/>
  <c r="F20" i="36"/>
  <c r="S20" i="36"/>
  <c r="G62" i="36"/>
  <c r="J14" i="36"/>
  <c r="H14" i="36"/>
  <c r="U14" i="36"/>
  <c r="F14" i="36"/>
  <c r="AA14" i="36"/>
  <c r="W20" i="36"/>
  <c r="U27" i="36"/>
  <c r="AB12" i="36"/>
  <c r="S33" i="36"/>
  <c r="AA27" i="36"/>
  <c r="S16" i="36"/>
  <c r="S29" i="36"/>
  <c r="AC33" i="35"/>
  <c r="U22" i="35"/>
  <c r="AA20" i="35"/>
  <c r="AB14" i="35"/>
  <c r="U9" i="35"/>
  <c r="AC18" i="35"/>
  <c r="W18" i="35"/>
  <c r="U18" i="35"/>
  <c r="S30" i="35"/>
  <c r="AB30" i="35"/>
  <c r="S28" i="35"/>
  <c r="F26" i="35"/>
  <c r="AA26" i="35"/>
  <c r="AA9" i="37"/>
  <c r="W28" i="37"/>
  <c r="AB37" i="37"/>
  <c r="AA31" i="37"/>
  <c r="S33" i="37"/>
  <c r="AA33" i="37"/>
  <c r="AA32" i="37"/>
  <c r="J33" i="37"/>
  <c r="W33" i="37"/>
  <c r="I99" i="37"/>
  <c r="J99" i="37"/>
  <c r="K99" i="37"/>
  <c r="L99" i="37"/>
  <c r="M99" i="37"/>
  <c r="J19" i="37"/>
  <c r="AC19" i="37"/>
  <c r="G75" i="37"/>
  <c r="F19" i="37"/>
  <c r="AA19" i="37"/>
  <c r="H19" i="37"/>
  <c r="J17" i="37"/>
  <c r="AC17" i="37"/>
  <c r="S15" i="37"/>
  <c r="AC10" i="37"/>
  <c r="AC21" i="37"/>
  <c r="W21" i="37"/>
  <c r="AC11" i="37"/>
  <c r="AC9" i="37"/>
  <c r="W32" i="37"/>
  <c r="U8" i="37"/>
  <c r="AB25" i="37"/>
  <c r="U21" i="37"/>
  <c r="S37" i="37"/>
  <c r="S40" i="37"/>
  <c r="S10" i="37"/>
  <c r="AC45" i="34"/>
  <c r="W33" i="34"/>
  <c r="S32" i="34"/>
  <c r="AA12" i="34"/>
  <c r="AA30" i="34"/>
  <c r="U34" i="34"/>
  <c r="AA27" i="34"/>
  <c r="J25" i="34"/>
  <c r="H25" i="34"/>
  <c r="U25" i="34"/>
  <c r="F25" i="34"/>
  <c r="J23" i="34"/>
  <c r="AC23" i="34"/>
  <c r="G86" i="34"/>
  <c r="F23" i="34"/>
  <c r="H23" i="34"/>
  <c r="U23" i="34"/>
  <c r="W10" i="34"/>
  <c r="W37" i="34"/>
  <c r="W44" i="34"/>
  <c r="W29" i="34"/>
  <c r="AC21" i="34"/>
  <c r="W21" i="34"/>
  <c r="AB21" i="34"/>
  <c r="U21" i="34"/>
  <c r="U27" i="34"/>
  <c r="AB41" i="34"/>
  <c r="S13" i="34"/>
  <c r="AA41" i="34"/>
  <c r="S10" i="34"/>
  <c r="U39" i="33"/>
  <c r="U37" i="33"/>
  <c r="W34" i="33"/>
  <c r="AB11" i="33"/>
  <c r="AB41" i="33"/>
  <c r="U36" i="33"/>
  <c r="W43" i="33"/>
  <c r="U46" i="33"/>
  <c r="W39" i="33"/>
  <c r="H25" i="33"/>
  <c r="AB25" i="33"/>
  <c r="J25" i="33"/>
  <c r="W25" i="33"/>
  <c r="F25" i="33"/>
  <c r="F85" i="33"/>
  <c r="G85" i="33"/>
  <c r="J23" i="33"/>
  <c r="W23" i="33"/>
  <c r="F23" i="33"/>
  <c r="H23" i="33"/>
  <c r="U23" i="33"/>
  <c r="F79" i="33"/>
  <c r="G79" i="33"/>
  <c r="F17" i="33"/>
  <c r="AA17" i="33"/>
  <c r="H17" i="33"/>
  <c r="J17" i="33"/>
  <c r="W17" i="33"/>
  <c r="AB15" i="33"/>
  <c r="S14" i="33"/>
  <c r="W10" i="33"/>
  <c r="AC21" i="33"/>
  <c r="W21" i="33"/>
  <c r="W14" i="33"/>
  <c r="U25" i="33"/>
  <c r="AB21" i="33"/>
  <c r="U21" i="33"/>
  <c r="AA21" i="33"/>
  <c r="S21" i="33"/>
  <c r="AA44" i="33"/>
  <c r="AA36" i="33"/>
  <c r="S44" i="21"/>
  <c r="AC34" i="21"/>
  <c r="W32" i="21"/>
  <c r="W43" i="21"/>
  <c r="S42" i="21"/>
  <c r="AB32" i="21"/>
  <c r="AC46" i="21"/>
  <c r="F85" i="21"/>
  <c r="G85" i="21"/>
  <c r="J23" i="21"/>
  <c r="W23" i="21"/>
  <c r="F23" i="21"/>
  <c r="AA23" i="21"/>
  <c r="H23" i="21"/>
  <c r="AA17" i="21"/>
  <c r="F15" i="21"/>
  <c r="S15" i="21"/>
  <c r="F77" i="21"/>
  <c r="G77" i="21"/>
  <c r="J15" i="21"/>
  <c r="W15" i="21"/>
  <c r="H15" i="21"/>
  <c r="AC11" i="21"/>
  <c r="AB11" i="21"/>
  <c r="AA11" i="21"/>
  <c r="AC23" i="21"/>
  <c r="AC21" i="21"/>
  <c r="W21" i="21"/>
  <c r="W44" i="21"/>
  <c r="AC19" i="21"/>
  <c r="AC38" i="21"/>
  <c r="AB21" i="21"/>
  <c r="U21" i="21"/>
  <c r="S35" i="40"/>
  <c r="S14" i="40"/>
  <c r="S15" i="40"/>
  <c r="AB13" i="40"/>
  <c r="W11" i="40"/>
  <c r="AA21" i="40"/>
  <c r="U21" i="40"/>
  <c r="W25" i="40"/>
  <c r="U25" i="40"/>
  <c r="W42" i="40"/>
  <c r="U35" i="40"/>
  <c r="F37" i="40"/>
  <c r="J37" i="40"/>
  <c r="H37" i="40"/>
  <c r="U37" i="40"/>
  <c r="F39" i="40"/>
  <c r="AA39" i="40"/>
  <c r="S38" i="40"/>
  <c r="H39" i="40"/>
  <c r="AB39" i="40"/>
  <c r="J39" i="40"/>
  <c r="W38" i="40"/>
  <c r="F29" i="40"/>
  <c r="H29" i="40"/>
  <c r="U29" i="40"/>
  <c r="J29" i="40"/>
  <c r="F98" i="40"/>
  <c r="G98" i="40"/>
  <c r="H98" i="40"/>
  <c r="I98" i="40"/>
  <c r="J98" i="40"/>
  <c r="K98" i="40"/>
  <c r="L98" i="40"/>
  <c r="M98" i="40"/>
  <c r="S30" i="40"/>
  <c r="AA23" i="40"/>
  <c r="G88" i="40"/>
  <c r="F19" i="40"/>
  <c r="H19" i="40"/>
  <c r="AB19" i="40"/>
  <c r="J19" i="40"/>
  <c r="W17" i="40"/>
  <c r="AC17" i="40"/>
  <c r="F17" i="40"/>
  <c r="AA17" i="40"/>
  <c r="H17" i="40"/>
  <c r="W21" i="40"/>
  <c r="U10" i="40"/>
  <c r="U27" i="40"/>
  <c r="AB27" i="40"/>
  <c r="AC44" i="39"/>
  <c r="S11" i="39"/>
  <c r="AB45" i="39"/>
  <c r="S27" i="39"/>
  <c r="AC19" i="39"/>
  <c r="AC38" i="39"/>
  <c r="AC17" i="39"/>
  <c r="AB15" i="39"/>
  <c r="U41" i="39"/>
  <c r="AB38" i="39"/>
  <c r="U31" i="39"/>
  <c r="AB31" i="39"/>
  <c r="S38" i="39"/>
  <c r="D18" i="9"/>
  <c r="M44" i="9"/>
  <c r="M43" i="9"/>
  <c r="M20" i="15"/>
  <c r="D96" i="9"/>
  <c r="F28" i="15"/>
  <c r="A18" i="64"/>
  <c r="B74" i="63"/>
  <c r="C53" i="10"/>
  <c r="A25" i="64"/>
  <c r="A18" i="51"/>
  <c r="B14" i="63"/>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47" i="46"/>
  <c r="E58" i="46"/>
  <c r="B56" i="46"/>
  <c r="A4" i="64"/>
  <c r="A4" i="51"/>
  <c r="C51" i="10"/>
  <c r="A9" i="64"/>
  <c r="I100" i="46"/>
  <c r="C24" i="46"/>
  <c r="H100" i="46"/>
  <c r="H80" i="46"/>
  <c r="B45" i="46"/>
  <c r="E100" i="46"/>
  <c r="G100" i="46"/>
  <c r="H84" i="46"/>
  <c r="C100" i="46"/>
  <c r="J100" i="46"/>
  <c r="M100" i="46"/>
  <c r="AA12" i="36"/>
  <c r="AB12" i="35"/>
  <c r="W11" i="35"/>
  <c r="AA11" i="35"/>
  <c r="S14" i="37"/>
  <c r="U13" i="37"/>
  <c r="C24" i="9"/>
  <c r="C25" i="9"/>
  <c r="G9" i="1"/>
  <c r="G8" i="1"/>
  <c r="I20" i="46"/>
  <c r="B6" i="63"/>
  <c r="L5" i="54"/>
  <c r="B39" i="63"/>
  <c r="K5" i="54"/>
  <c r="B38" i="63"/>
  <c r="T41" i="4"/>
  <c r="A17" i="64"/>
  <c r="B46" i="50"/>
  <c r="B4" i="63"/>
  <c r="O19" i="46"/>
  <c r="H86" i="46"/>
  <c r="H82" i="46"/>
  <c r="H10" i="48"/>
  <c r="H87" i="46"/>
  <c r="H85" i="46"/>
  <c r="H83" i="46"/>
  <c r="K10" i="1"/>
  <c r="M10" i="1"/>
  <c r="O10" i="1"/>
  <c r="R11" i="1"/>
  <c r="B6" i="1"/>
  <c r="E6" i="1"/>
  <c r="B10" i="1"/>
  <c r="E10" i="1"/>
  <c r="B8" i="1"/>
  <c r="E8" i="1"/>
  <c r="B12" i="1"/>
  <c r="E12" i="1"/>
  <c r="F66" i="36"/>
  <c r="H18" i="36"/>
  <c r="U16" i="36"/>
  <c r="S25" i="36"/>
  <c r="U23" i="36"/>
  <c r="AC27" i="36"/>
  <c r="W28" i="36"/>
  <c r="AA32" i="36"/>
  <c r="U13" i="36"/>
  <c r="AA22" i="36"/>
  <c r="U10" i="36"/>
  <c r="AA13" i="36"/>
  <c r="W29" i="36"/>
  <c r="W8" i="36"/>
  <c r="AC30" i="35"/>
  <c r="U24" i="35"/>
  <c r="S24" i="35"/>
  <c r="U32" i="35"/>
  <c r="W34" i="35"/>
  <c r="S32" i="35"/>
  <c r="W35" i="37"/>
  <c r="AC33" i="37"/>
  <c r="U33" i="37"/>
  <c r="AC15" i="37"/>
  <c r="AA13" i="37"/>
  <c r="W38" i="37"/>
  <c r="W36" i="37"/>
  <c r="U26" i="37"/>
  <c r="AB28" i="37"/>
  <c r="S28" i="37"/>
  <c r="W13" i="37"/>
  <c r="U38" i="37"/>
  <c r="S26" i="37"/>
  <c r="AA31" i="34"/>
  <c r="AB35" i="34"/>
  <c r="W47" i="34"/>
  <c r="AB29" i="34"/>
  <c r="AB47" i="34"/>
  <c r="AB13" i="34"/>
  <c r="AC13" i="34"/>
  <c r="S47" i="34"/>
  <c r="AA29" i="34"/>
  <c r="S19" i="34"/>
  <c r="S8" i="34"/>
  <c r="AA19" i="33"/>
  <c r="AC25" i="33"/>
  <c r="S43" i="33"/>
  <c r="AB42" i="33"/>
  <c r="S15" i="33"/>
  <c r="AB25" i="21"/>
  <c r="W25" i="21"/>
  <c r="AA25" i="21"/>
  <c r="AA15" i="21"/>
  <c r="J27" i="40"/>
  <c r="AC27" i="40"/>
  <c r="W30" i="40"/>
  <c r="S34" i="40"/>
  <c r="U38" i="40"/>
  <c r="S42" i="40"/>
  <c r="G105" i="39"/>
  <c r="J31" i="39"/>
  <c r="W31" i="39"/>
  <c r="W41" i="39"/>
  <c r="S34" i="39"/>
  <c r="W36" i="39"/>
  <c r="AC37" i="39"/>
  <c r="W16" i="39"/>
  <c r="W25" i="39"/>
  <c r="AA44" i="39"/>
  <c r="W34" i="39"/>
  <c r="W10" i="39"/>
  <c r="W11" i="39"/>
  <c r="U42" i="39"/>
  <c r="W40" i="39"/>
  <c r="C17" i="40"/>
  <c r="C21" i="39"/>
  <c r="C23" i="40"/>
  <c r="B48" i="46"/>
  <c r="B62" i="46"/>
  <c r="B53" i="46"/>
  <c r="D24" i="15"/>
  <c r="S14" i="36"/>
  <c r="AB20" i="36"/>
  <c r="AA20" i="36"/>
  <c r="AC14" i="36"/>
  <c r="W14" i="36"/>
  <c r="AB14" i="36"/>
  <c r="U18" i="36"/>
  <c r="AB18" i="36"/>
  <c r="S19" i="37"/>
  <c r="AB19" i="37"/>
  <c r="U19" i="37"/>
  <c r="W17" i="37"/>
  <c r="AB25" i="34"/>
  <c r="AA25" i="34"/>
  <c r="S25" i="34"/>
  <c r="W25" i="34"/>
  <c r="AC25" i="34"/>
  <c r="AB23" i="34"/>
  <c r="AA23" i="34"/>
  <c r="S23" i="34"/>
  <c r="W23" i="34"/>
  <c r="AA25" i="33"/>
  <c r="S25" i="33"/>
  <c r="AB23" i="33"/>
  <c r="AC23" i="33"/>
  <c r="S23" i="33"/>
  <c r="AA23" i="33"/>
  <c r="AC17" i="33"/>
  <c r="S17" i="33"/>
  <c r="U17" i="33"/>
  <c r="AB17" i="33"/>
  <c r="U23" i="21"/>
  <c r="AB23" i="21"/>
  <c r="S23" i="21"/>
  <c r="U15" i="21"/>
  <c r="AB15" i="21"/>
  <c r="AC15" i="21"/>
  <c r="U39" i="40"/>
  <c r="AC39" i="40"/>
  <c r="W39" i="40"/>
  <c r="AB37" i="40"/>
  <c r="AA37" i="40"/>
  <c r="S37" i="40"/>
  <c r="AC29" i="40"/>
  <c r="W29" i="40"/>
  <c r="AA29" i="40"/>
  <c r="S29" i="40"/>
  <c r="W19" i="40"/>
  <c r="AC19" i="40"/>
  <c r="AA19" i="40"/>
  <c r="S19" i="40"/>
  <c r="U19" i="40"/>
  <c r="AC31" i="39"/>
  <c r="A17" i="51"/>
  <c r="B13" i="63"/>
  <c r="AT6" i="3"/>
  <c r="A9" i="51"/>
  <c r="B9" i="63"/>
  <c r="E4" i="4"/>
  <c r="B21" i="55"/>
  <c r="B72" i="63"/>
  <c r="C4" i="4"/>
  <c r="G66" i="36"/>
  <c r="J18" i="36"/>
  <c r="W18" i="36"/>
  <c r="AC18" i="36"/>
  <c r="AG6" i="1"/>
  <c r="L27" i="6"/>
  <c r="B20" i="55"/>
  <c r="B70" i="63"/>
  <c r="C45" i="9"/>
  <c r="H14" i="66"/>
  <c r="B7" i="66"/>
  <c r="R9" i="1"/>
  <c r="P9" i="1"/>
  <c r="O40" i="9"/>
  <c r="R7" i="54"/>
  <c r="B52" i="63"/>
  <c r="K31" i="9"/>
  <c r="K32" i="9"/>
  <c r="N76" i="9"/>
  <c r="C72" i="39"/>
  <c r="D65" i="40"/>
  <c r="E65" i="40"/>
  <c r="E67" i="40"/>
  <c r="J17" i="46"/>
  <c r="G17" i="46"/>
  <c r="C16" i="46"/>
  <c r="C17" i="46"/>
  <c r="F34" i="46"/>
  <c r="F38" i="46"/>
  <c r="F37" i="46"/>
  <c r="H113" i="46"/>
  <c r="H49" i="46"/>
  <c r="H53" i="46"/>
  <c r="Y15" i="59"/>
  <c r="Z15" i="59"/>
  <c r="AA15" i="59"/>
  <c r="AB15" i="59"/>
  <c r="Y14" i="59"/>
  <c r="Z14" i="59"/>
  <c r="Y13" i="59"/>
  <c r="Z13" i="59"/>
  <c r="Z11" i="59"/>
  <c r="Y12" i="59"/>
  <c r="Z12" i="59"/>
  <c r="AB14" i="59"/>
  <c r="AB13" i="59"/>
  <c r="AB12" i="59"/>
  <c r="AA17" i="59"/>
  <c r="X15" i="59"/>
  <c r="X13" i="59"/>
  <c r="X12" i="59"/>
  <c r="AA13" i="59"/>
  <c r="AA12" i="59"/>
  <c r="H1" i="65"/>
  <c r="H51" i="46"/>
  <c r="X7" i="46"/>
  <c r="E17" i="46"/>
  <c r="N17" i="46"/>
  <c r="O17" i="46"/>
  <c r="M17" i="46"/>
  <c r="L17" i="46"/>
  <c r="H22" i="46"/>
  <c r="J22" i="46"/>
  <c r="G13" i="1"/>
  <c r="H50" i="46"/>
  <c r="H48" i="46"/>
  <c r="F35" i="46"/>
  <c r="I17" i="46"/>
  <c r="H63" i="46"/>
  <c r="AJ11" i="46"/>
  <c r="H66" i="46"/>
  <c r="AF12" i="46"/>
  <c r="K100" i="46"/>
  <c r="AB12" i="46"/>
  <c r="AJ12" i="46"/>
  <c r="C101" i="46"/>
  <c r="G101" i="46"/>
  <c r="B113" i="46"/>
  <c r="L101" i="46"/>
  <c r="E101" i="46"/>
  <c r="K101" i="46"/>
  <c r="AG11" i="46"/>
  <c r="AG13" i="46"/>
  <c r="Z11" i="46"/>
  <c r="AH11" i="46"/>
  <c r="H59" i="46"/>
  <c r="H65" i="46"/>
  <c r="H75" i="46"/>
  <c r="E8" i="46"/>
  <c r="H69" i="46"/>
  <c r="H55" i="46"/>
  <c r="H54" i="46"/>
  <c r="H52" i="46"/>
  <c r="H47" i="46"/>
  <c r="AD12" i="46"/>
  <c r="AH12" i="46"/>
  <c r="AH13" i="46"/>
  <c r="D67" i="40"/>
  <c r="D72" i="39"/>
  <c r="AJ13" i="46"/>
  <c r="K102" i="46"/>
  <c r="E104" i="46"/>
  <c r="E105" i="46"/>
  <c r="E102" i="46"/>
  <c r="L104" i="46"/>
  <c r="I115" i="46"/>
  <c r="J115" i="46"/>
  <c r="K115" i="46"/>
  <c r="L115" i="46"/>
  <c r="M115" i="46"/>
  <c r="B115" i="46"/>
  <c r="C115" i="46"/>
  <c r="B116" i="46"/>
  <c r="C116" i="46"/>
  <c r="D117" i="46"/>
  <c r="E117" i="46"/>
  <c r="F117" i="46"/>
  <c r="G117" i="46"/>
  <c r="H117" i="46"/>
  <c r="D115" i="46"/>
  <c r="E115" i="46"/>
  <c r="F115" i="46"/>
  <c r="G115" i="46"/>
  <c r="H115" i="46"/>
  <c r="G118" i="46"/>
  <c r="H118" i="46"/>
  <c r="B117" i="46"/>
  <c r="C117" i="46"/>
  <c r="B118" i="46"/>
  <c r="C118" i="46"/>
  <c r="G102" i="46"/>
  <c r="G109" i="46"/>
  <c r="C104" i="46"/>
  <c r="C103" i="46"/>
  <c r="C106" i="46"/>
  <c r="E109" i="46"/>
  <c r="E72" i="39"/>
  <c r="F65" i="40"/>
  <c r="F67" i="40"/>
  <c r="G20" i="46"/>
  <c r="S2" i="46"/>
  <c r="S7" i="46"/>
  <c r="S4" i="46"/>
  <c r="E63" i="40"/>
  <c r="C22" i="4"/>
  <c r="E45" i="9"/>
  <c r="F45" i="9"/>
  <c r="K38" i="9"/>
  <c r="C14" i="66"/>
  <c r="B2" i="66"/>
  <c r="D7" i="66"/>
  <c r="F72" i="39"/>
  <c r="H70" i="39"/>
  <c r="H72" i="39"/>
  <c r="K77" i="9"/>
  <c r="K79" i="9"/>
  <c r="K81" i="9"/>
  <c r="F31" i="15"/>
  <c r="F33" i="44"/>
  <c r="X8" i="59"/>
  <c r="Y8" i="59"/>
  <c r="Z8" i="59"/>
  <c r="B7" i="52"/>
  <c r="E9" i="52"/>
  <c r="E13" i="52"/>
  <c r="B6" i="52"/>
  <c r="E8" i="52"/>
  <c r="Y3" i="59"/>
  <c r="Z3" i="59"/>
  <c r="AB9" i="59"/>
  <c r="AA9" i="59"/>
  <c r="Y9" i="59"/>
  <c r="Z9" i="59"/>
  <c r="P23" i="46"/>
  <c r="F58" i="15"/>
  <c r="M17" i="15"/>
  <c r="M19" i="44"/>
  <c r="D77" i="9"/>
  <c r="N75" i="9"/>
  <c r="D66" i="9"/>
  <c r="N72" i="9"/>
  <c r="F9" i="67"/>
  <c r="E11" i="67"/>
  <c r="F10" i="67"/>
  <c r="B13" i="67"/>
  <c r="E9" i="67"/>
  <c r="E12" i="67"/>
  <c r="F14" i="67"/>
  <c r="B8" i="67"/>
  <c r="E7" i="67"/>
  <c r="M30" i="44"/>
  <c r="F18" i="44"/>
  <c r="L48" i="44"/>
  <c r="E8" i="67"/>
  <c r="B10" i="67"/>
  <c r="F11" i="67"/>
  <c r="F37" i="44"/>
  <c r="B12" i="67"/>
  <c r="F46" i="44"/>
  <c r="B9" i="67"/>
  <c r="E13" i="67"/>
  <c r="N7" i="65"/>
  <c r="I3" i="65"/>
  <c r="M23" i="44"/>
  <c r="F8" i="67"/>
  <c r="B14" i="67"/>
  <c r="E14" i="67"/>
  <c r="F9" i="44"/>
  <c r="M25" i="44"/>
  <c r="B11" i="67"/>
  <c r="M29" i="44"/>
  <c r="M8" i="44"/>
  <c r="L49" i="44"/>
  <c r="F12" i="67"/>
  <c r="N5" i="65"/>
  <c r="F13" i="67"/>
  <c r="E10" i="67"/>
  <c r="I7" i="65"/>
  <c r="F7" i="67"/>
  <c r="B7" i="67"/>
  <c r="E5" i="52"/>
  <c r="B11" i="52"/>
  <c r="E10" i="52"/>
  <c r="B9" i="52"/>
  <c r="E6" i="52"/>
  <c r="B15" i="52"/>
  <c r="B14" i="52"/>
  <c r="B12" i="52"/>
  <c r="B5" i="52"/>
  <c r="B10" i="52"/>
  <c r="B8" i="52"/>
  <c r="E4" i="52"/>
  <c r="E7" i="52"/>
  <c r="E11" i="52"/>
  <c r="E14" i="52"/>
  <c r="B4" i="52"/>
  <c r="AA43" i="39"/>
  <c r="B2" i="67"/>
  <c r="E4" i="67"/>
  <c r="M9" i="44"/>
  <c r="J22" i="44"/>
  <c r="C36" i="44"/>
  <c r="L59" i="44"/>
  <c r="E3" i="67"/>
  <c r="AA41" i="40"/>
  <c r="S41" i="40"/>
  <c r="C5" i="46"/>
  <c r="D5" i="46"/>
  <c r="AC9" i="33"/>
  <c r="W9" i="33"/>
  <c r="U46" i="39"/>
  <c r="AB46" i="39"/>
  <c r="E41" i="46"/>
  <c r="C41" i="46"/>
  <c r="C20" i="46"/>
  <c r="K103" i="46"/>
  <c r="K106" i="46"/>
  <c r="K105" i="46"/>
  <c r="K109" i="46"/>
  <c r="L105" i="46"/>
  <c r="L106" i="46"/>
  <c r="L107" i="46"/>
  <c r="G106" i="46"/>
  <c r="G104" i="46"/>
  <c r="G107" i="46"/>
  <c r="U10" i="33"/>
  <c r="AB10" i="33"/>
  <c r="AB11" i="34"/>
  <c r="U11" i="34"/>
  <c r="AB23" i="39"/>
  <c r="U23" i="39"/>
  <c r="H71" i="46"/>
  <c r="H70" i="46"/>
  <c r="H73" i="46"/>
  <c r="H74" i="46"/>
  <c r="H72" i="46"/>
  <c r="H77" i="46"/>
  <c r="AB47" i="39"/>
  <c r="U47" i="39"/>
  <c r="AC45" i="39"/>
  <c r="W45" i="39"/>
  <c r="AA45" i="39"/>
  <c r="S45" i="39"/>
  <c r="AA15" i="39"/>
  <c r="S15" i="39"/>
  <c r="AB41" i="40"/>
  <c r="U41" i="40"/>
  <c r="U16" i="39"/>
  <c r="AB16" i="39"/>
  <c r="AA14" i="39"/>
  <c r="S14" i="39"/>
  <c r="U38" i="34"/>
  <c r="AB38" i="34"/>
  <c r="W46" i="39"/>
  <c r="AC46" i="39"/>
  <c r="U17" i="39"/>
  <c r="AB17" i="39"/>
  <c r="S11" i="36"/>
  <c r="AA11" i="36"/>
  <c r="AC32" i="35"/>
  <c r="W32" i="35"/>
  <c r="S19" i="39"/>
  <c r="AA19" i="39"/>
  <c r="AA46" i="34"/>
  <c r="S46" i="34"/>
  <c r="W32" i="34"/>
  <c r="AC32" i="34"/>
  <c r="AB14" i="34"/>
  <c r="U14" i="34"/>
  <c r="AB12" i="34"/>
  <c r="U12" i="34"/>
  <c r="AA35" i="33"/>
  <c r="S35" i="33"/>
  <c r="W15" i="33"/>
  <c r="AC15" i="33"/>
  <c r="AA10" i="33"/>
  <c r="S10" i="33"/>
  <c r="AC17" i="21"/>
  <c r="W17" i="21"/>
  <c r="AA16" i="35"/>
  <c r="S16" i="35"/>
  <c r="AB12" i="37"/>
  <c r="U12" i="37"/>
  <c r="S11" i="37"/>
  <c r="AA11" i="37"/>
  <c r="AB19" i="34"/>
  <c r="U19" i="34"/>
  <c r="S37" i="21"/>
  <c r="AA37" i="21"/>
  <c r="AA17" i="37"/>
  <c r="S17" i="37"/>
  <c r="U14" i="33"/>
  <c r="AB14" i="33"/>
  <c r="AA29" i="37"/>
  <c r="S29" i="37"/>
  <c r="AB32" i="36"/>
  <c r="U32" i="36"/>
  <c r="W28" i="33"/>
  <c r="AC28" i="33"/>
  <c r="AC28" i="21"/>
  <c r="W28" i="21"/>
  <c r="AC42" i="21"/>
  <c r="W42" i="21"/>
  <c r="AC19" i="34"/>
  <c r="W19" i="34"/>
  <c r="U36" i="34"/>
  <c r="AB36" i="34"/>
  <c r="AB33" i="35"/>
  <c r="U33" i="35"/>
  <c r="W26" i="21"/>
  <c r="AC26" i="21"/>
  <c r="AC10" i="21"/>
  <c r="W10" i="21"/>
  <c r="AC9" i="21"/>
  <c r="W9" i="21"/>
  <c r="AB35" i="21"/>
  <c r="U35" i="21"/>
  <c r="H13" i="21"/>
  <c r="J13" i="21"/>
  <c r="F13" i="21"/>
  <c r="H27" i="21"/>
  <c r="J27" i="21"/>
  <c r="F27" i="21"/>
  <c r="J29" i="21"/>
  <c r="H29" i="21"/>
  <c r="F29" i="21"/>
  <c r="J31" i="21"/>
  <c r="H31" i="21"/>
  <c r="F31" i="21"/>
  <c r="J45" i="21"/>
  <c r="F45" i="21"/>
  <c r="H45" i="21"/>
  <c r="B76" i="46"/>
  <c r="C27" i="39"/>
  <c r="B66" i="46"/>
  <c r="B72" i="46"/>
  <c r="B51" i="46"/>
  <c r="B81" i="46"/>
  <c r="C19" i="40"/>
  <c r="AB9" i="33"/>
  <c r="U9" i="33"/>
  <c r="U12" i="33"/>
  <c r="AB12" i="33"/>
  <c r="AA33" i="33"/>
  <c r="S33" i="33"/>
  <c r="AB38" i="33"/>
  <c r="U38" i="33"/>
  <c r="AC40" i="33"/>
  <c r="W40" i="33"/>
  <c r="AA34" i="34"/>
  <c r="S34" i="34"/>
  <c r="AB10" i="34"/>
  <c r="U10" i="34"/>
  <c r="W12" i="35"/>
  <c r="AC12" i="35"/>
  <c r="AA40" i="40"/>
  <c r="S40" i="40"/>
  <c r="J26" i="35"/>
  <c r="H26" i="35"/>
  <c r="E10" i="46"/>
  <c r="E11" i="46"/>
  <c r="N58" i="59"/>
  <c r="N59" i="59"/>
  <c r="C45" i="59"/>
  <c r="D44" i="59"/>
  <c r="D52" i="59"/>
  <c r="C53" i="59"/>
  <c r="C16" i="59"/>
  <c r="T17" i="59"/>
  <c r="D17" i="59"/>
  <c r="F12" i="59"/>
  <c r="F11" i="59"/>
  <c r="F10" i="59"/>
  <c r="F9" i="59"/>
  <c r="V13" i="59"/>
  <c r="E59" i="34"/>
  <c r="D48" i="35"/>
  <c r="BL569" i="3"/>
  <c r="AZ569" i="3"/>
  <c r="BA568" i="3"/>
  <c r="AZ568" i="3"/>
  <c r="BL553" i="3"/>
  <c r="AZ553" i="3"/>
  <c r="BA552" i="3"/>
  <c r="AZ552" i="3"/>
  <c r="BL537" i="3"/>
  <c r="AZ537" i="3"/>
  <c r="BA536" i="3"/>
  <c r="AZ536" i="3"/>
  <c r="BL521" i="3"/>
  <c r="AZ521" i="3"/>
  <c r="BA520" i="3"/>
  <c r="AZ520" i="3"/>
  <c r="BL505" i="3"/>
  <c r="AZ505" i="3"/>
  <c r="BA504" i="3"/>
  <c r="AZ504" i="3"/>
  <c r="BL489" i="3"/>
  <c r="AZ489" i="3"/>
  <c r="BA488" i="3"/>
  <c r="AZ488" i="3"/>
  <c r="BL473" i="3"/>
  <c r="AZ473" i="3"/>
  <c r="BA472" i="3"/>
  <c r="AZ472" i="3"/>
  <c r="BL457" i="3"/>
  <c r="AZ457" i="3"/>
  <c r="BA456" i="3"/>
  <c r="AZ456" i="3"/>
  <c r="BL441" i="3"/>
  <c r="AZ441" i="3"/>
  <c r="BA440" i="3"/>
  <c r="AZ440" i="3"/>
  <c r="BL425" i="3"/>
  <c r="AZ425" i="3"/>
  <c r="BA424" i="3"/>
  <c r="AZ424" i="3"/>
  <c r="BL409" i="3"/>
  <c r="AZ409" i="3"/>
  <c r="BA408" i="3"/>
  <c r="AZ408" i="3"/>
  <c r="BL393" i="3"/>
  <c r="AZ393" i="3"/>
  <c r="BA392" i="3"/>
  <c r="AZ392" i="3"/>
  <c r="I70" i="39"/>
  <c r="G65" i="40"/>
  <c r="N5" i="54"/>
  <c r="B43" i="63"/>
  <c r="G105" i="46"/>
  <c r="G103" i="46"/>
  <c r="L103" i="46"/>
  <c r="L109" i="46"/>
  <c r="L102" i="46"/>
  <c r="K104" i="46"/>
  <c r="K107" i="46"/>
  <c r="H76" i="46"/>
  <c r="E9" i="46"/>
  <c r="E106" i="46"/>
  <c r="E103" i="46"/>
  <c r="E107" i="46"/>
  <c r="I116" i="46"/>
  <c r="J116" i="46"/>
  <c r="K116" i="46"/>
  <c r="L116" i="46"/>
  <c r="M116" i="46"/>
  <c r="I118" i="46"/>
  <c r="J118" i="46"/>
  <c r="K118" i="46"/>
  <c r="L118" i="46"/>
  <c r="M118" i="46"/>
  <c r="D116" i="46"/>
  <c r="E116" i="46"/>
  <c r="F116" i="46"/>
  <c r="G116" i="46"/>
  <c r="H116" i="46"/>
  <c r="D118" i="46"/>
  <c r="E118" i="46"/>
  <c r="F118" i="46"/>
  <c r="I117" i="46"/>
  <c r="J117" i="46"/>
  <c r="K117" i="46"/>
  <c r="L117" i="46"/>
  <c r="M117" i="46"/>
  <c r="C109" i="46"/>
  <c r="C107" i="46"/>
  <c r="C102" i="46"/>
  <c r="C105" i="46"/>
  <c r="A25" i="51"/>
  <c r="B18" i="63"/>
  <c r="P11" i="1"/>
  <c r="A3" i="55"/>
  <c r="B56" i="63"/>
  <c r="W27" i="40"/>
  <c r="AB29" i="40"/>
  <c r="S39" i="40"/>
  <c r="W19" i="37"/>
  <c r="S26" i="35"/>
  <c r="B55" i="46"/>
  <c r="C17" i="39"/>
  <c r="AA46" i="39"/>
  <c r="S41" i="39"/>
  <c r="AB33" i="39"/>
  <c r="S17" i="40"/>
  <c r="S39" i="21"/>
  <c r="P10" i="1"/>
  <c r="E69" i="46"/>
  <c r="B67" i="46"/>
  <c r="Y11" i="46"/>
  <c r="Y13" i="46"/>
  <c r="H101" i="46"/>
  <c r="G22" i="46"/>
  <c r="F101" i="46"/>
  <c r="D101" i="46"/>
  <c r="I101" i="46"/>
  <c r="M101" i="46"/>
  <c r="N101" i="46"/>
  <c r="AC11" i="46"/>
  <c r="AD11" i="46"/>
  <c r="AD13" i="46"/>
  <c r="J101" i="46"/>
  <c r="N104" i="45"/>
  <c r="F22" i="46"/>
  <c r="Z7" i="46"/>
  <c r="E22" i="46"/>
  <c r="D22" i="46"/>
  <c r="C21" i="46"/>
  <c r="AA11" i="46"/>
  <c r="AA13" i="46"/>
  <c r="AI11" i="46"/>
  <c r="AI13" i="46"/>
  <c r="AF11" i="46"/>
  <c r="AF13" i="46"/>
  <c r="AE11" i="46"/>
  <c r="AE13" i="46"/>
  <c r="AB11" i="46"/>
  <c r="AB13" i="46"/>
  <c r="C23" i="46"/>
  <c r="S5" i="46"/>
  <c r="S3" i="46"/>
  <c r="S6" i="46"/>
  <c r="AA21" i="39"/>
  <c r="AB17" i="40"/>
  <c r="U17" i="40"/>
  <c r="AC37" i="40"/>
  <c r="W37" i="40"/>
  <c r="AA30" i="21"/>
  <c r="W39" i="21"/>
  <c r="AC11" i="33"/>
  <c r="AB34" i="33"/>
  <c r="S29" i="33"/>
  <c r="AC11" i="34"/>
  <c r="AA33" i="34"/>
  <c r="U35" i="37"/>
  <c r="AB9" i="37"/>
  <c r="S23" i="35"/>
  <c r="S8" i="35"/>
  <c r="AP6" i="1"/>
  <c r="AA25" i="40"/>
  <c r="S25" i="40"/>
  <c r="S17" i="34"/>
  <c r="W35" i="33"/>
  <c r="AC35" i="33"/>
  <c r="AC17" i="34"/>
  <c r="W17" i="34"/>
  <c r="AB13" i="33"/>
  <c r="U32" i="34"/>
  <c r="W43" i="39"/>
  <c r="AC23" i="39"/>
  <c r="W23" i="39"/>
  <c r="W15" i="39"/>
  <c r="U39" i="39"/>
  <c r="AB15" i="34"/>
  <c r="U15" i="34"/>
  <c r="W14" i="39"/>
  <c r="W13" i="40"/>
  <c r="AC13" i="40"/>
  <c r="H61" i="46"/>
  <c r="H58" i="46"/>
  <c r="H64" i="46"/>
  <c r="H62" i="46"/>
  <c r="H60" i="46"/>
  <c r="F32" i="69"/>
  <c r="F59" i="69"/>
  <c r="M18" i="69"/>
  <c r="F28" i="68"/>
  <c r="F32" i="68"/>
  <c r="F59" i="68"/>
  <c r="M18" i="68"/>
  <c r="F28" i="69"/>
  <c r="F27" i="43"/>
  <c r="F72" i="9"/>
  <c r="F32" i="15"/>
  <c r="F59" i="15"/>
  <c r="F29" i="12"/>
  <c r="D86" i="9"/>
  <c r="F31" i="43"/>
  <c r="M18" i="15"/>
  <c r="U40" i="40"/>
  <c r="AB40" i="40"/>
  <c r="AA47" i="39"/>
  <c r="S47" i="39"/>
  <c r="AA25" i="39"/>
  <c r="S25" i="39"/>
  <c r="AB15" i="40"/>
  <c r="U15" i="40"/>
  <c r="AB14" i="39"/>
  <c r="U14" i="39"/>
  <c r="AC20" i="35"/>
  <c r="W20" i="35"/>
  <c r="AB30" i="40"/>
  <c r="U30" i="40"/>
  <c r="F29" i="39"/>
  <c r="F103" i="39"/>
  <c r="G103" i="39"/>
  <c r="H29" i="39"/>
  <c r="J29" i="39"/>
  <c r="AB11" i="36"/>
  <c r="U11" i="36"/>
  <c r="S35" i="37"/>
  <c r="AA44" i="34"/>
  <c r="U43" i="39"/>
  <c r="AB43" i="39"/>
  <c r="AB32" i="37"/>
  <c r="U32" i="37"/>
  <c r="AC46" i="34"/>
  <c r="W46" i="34"/>
  <c r="W30" i="34"/>
  <c r="AC30" i="34"/>
  <c r="AB30" i="34"/>
  <c r="U30" i="34"/>
  <c r="AC12" i="34"/>
  <c r="W12" i="34"/>
  <c r="H29" i="33"/>
  <c r="J13" i="33"/>
  <c r="AB39" i="34"/>
  <c r="AB19" i="33"/>
  <c r="U19" i="33"/>
  <c r="S11" i="33"/>
  <c r="AA11" i="33"/>
  <c r="AB40" i="21"/>
  <c r="U40" i="21"/>
  <c r="U37" i="21"/>
  <c r="AB37" i="21"/>
  <c r="AB17" i="21"/>
  <c r="U17" i="21"/>
  <c r="W35" i="34"/>
  <c r="AC35" i="34"/>
  <c r="W40" i="34"/>
  <c r="AC40" i="34"/>
  <c r="AB17" i="37"/>
  <c r="AA30" i="33"/>
  <c r="AA36" i="35"/>
  <c r="AB15" i="37"/>
  <c r="AA12" i="37"/>
  <c r="S12" i="37"/>
  <c r="AC12" i="37"/>
  <c r="W12" i="37"/>
  <c r="W37" i="21"/>
  <c r="AC37" i="21"/>
  <c r="S39" i="33"/>
  <c r="AC33" i="36"/>
  <c r="W23" i="37"/>
  <c r="AC23" i="37"/>
  <c r="S23" i="37"/>
  <c r="AA23" i="37"/>
  <c r="S12" i="21"/>
  <c r="AC14" i="21"/>
  <c r="AB30" i="33"/>
  <c r="U30" i="33"/>
  <c r="W29" i="33"/>
  <c r="S33" i="35"/>
  <c r="AA33" i="35"/>
  <c r="U30" i="21"/>
  <c r="AB30" i="21"/>
  <c r="W10" i="35"/>
  <c r="AC10" i="35"/>
  <c r="AA37" i="34"/>
  <c r="S37" i="34"/>
  <c r="W34" i="37"/>
  <c r="AC34" i="37"/>
  <c r="U16" i="35"/>
  <c r="AB16" i="35"/>
  <c r="AC35" i="21"/>
  <c r="AA38" i="21"/>
  <c r="AB39" i="37"/>
  <c r="U39" i="37"/>
  <c r="W33" i="33"/>
  <c r="S36" i="34"/>
  <c r="AA36" i="34"/>
  <c r="U12" i="21"/>
  <c r="AB12" i="21"/>
  <c r="AC8" i="21"/>
  <c r="W8" i="21"/>
  <c r="W40" i="21"/>
  <c r="AC40" i="21"/>
  <c r="S36" i="21"/>
  <c r="AA36" i="21"/>
  <c r="B47" i="46"/>
  <c r="C19" i="39"/>
  <c r="B70" i="46"/>
  <c r="B59" i="46"/>
  <c r="B73" i="46"/>
  <c r="C29" i="39"/>
  <c r="B64" i="46"/>
  <c r="F9" i="21"/>
  <c r="H9" i="21"/>
  <c r="F9" i="33"/>
  <c r="S12" i="33"/>
  <c r="AA12" i="33"/>
  <c r="W12" i="33"/>
  <c r="AC12" i="33"/>
  <c r="AB35" i="33"/>
  <c r="U35" i="33"/>
  <c r="AA38" i="33"/>
  <c r="S38" i="33"/>
  <c r="AC38" i="33"/>
  <c r="W38" i="33"/>
  <c r="U27" i="33"/>
  <c r="AB27" i="33"/>
  <c r="J26" i="33"/>
  <c r="F26" i="33"/>
  <c r="H26" i="33"/>
  <c r="S40" i="34"/>
  <c r="AA40" i="34"/>
  <c r="AA43" i="34"/>
  <c r="S43" i="34"/>
  <c r="AB44" i="34"/>
  <c r="U44" i="34"/>
  <c r="J9" i="34"/>
  <c r="H9" i="34"/>
  <c r="F9" i="34"/>
  <c r="F28" i="34"/>
  <c r="J28" i="34"/>
  <c r="H28" i="34"/>
  <c r="U33" i="34"/>
  <c r="AB33" i="34"/>
  <c r="W9" i="35"/>
  <c r="AC9" i="35"/>
  <c r="AB31" i="35"/>
  <c r="F13" i="35"/>
  <c r="J13" i="35"/>
  <c r="H13" i="35"/>
  <c r="H23" i="35"/>
  <c r="J23" i="35"/>
  <c r="H36" i="35"/>
  <c r="J36" i="35"/>
  <c r="AA27" i="35"/>
  <c r="S27" i="35"/>
  <c r="J9" i="36"/>
  <c r="H9" i="36"/>
  <c r="F9" i="36"/>
  <c r="U14" i="37"/>
  <c r="AB14" i="37"/>
  <c r="AC41" i="21"/>
  <c r="W41" i="21"/>
  <c r="S11" i="1"/>
  <c r="F3" i="35"/>
  <c r="N108" i="46"/>
  <c r="N100" i="46"/>
  <c r="J109" i="46"/>
  <c r="H109" i="46"/>
  <c r="F100" i="46"/>
  <c r="F108" i="46"/>
  <c r="F109" i="46"/>
  <c r="D108" i="46"/>
  <c r="D109" i="46"/>
  <c r="D100" i="46"/>
  <c r="AA21" i="34"/>
  <c r="S21" i="34"/>
  <c r="V17" i="59"/>
  <c r="B12" i="59"/>
  <c r="B11" i="59"/>
  <c r="B10" i="59"/>
  <c r="B9" i="59"/>
  <c r="S13" i="59"/>
  <c r="BL561" i="3"/>
  <c r="AZ561" i="3"/>
  <c r="BA560" i="3"/>
  <c r="AZ560" i="3"/>
  <c r="BL545" i="3"/>
  <c r="AZ545" i="3"/>
  <c r="BA544" i="3"/>
  <c r="AZ544" i="3"/>
  <c r="BL529" i="3"/>
  <c r="AZ529" i="3"/>
  <c r="BA528" i="3"/>
  <c r="AZ528" i="3"/>
  <c r="BL513" i="3"/>
  <c r="AZ513" i="3"/>
  <c r="BA512" i="3"/>
  <c r="AZ512" i="3"/>
  <c r="BL497" i="3"/>
  <c r="AZ497" i="3"/>
  <c r="BA496" i="3"/>
  <c r="AZ496" i="3"/>
  <c r="BL481" i="3"/>
  <c r="AZ481" i="3"/>
  <c r="BA480" i="3"/>
  <c r="AZ480" i="3"/>
  <c r="BL465" i="3"/>
  <c r="AZ465" i="3"/>
  <c r="BA464" i="3"/>
  <c r="AZ464" i="3"/>
  <c r="BL449" i="3"/>
  <c r="AZ449" i="3"/>
  <c r="BA448" i="3"/>
  <c r="AZ448" i="3"/>
  <c r="BL433" i="3"/>
  <c r="AZ433" i="3"/>
  <c r="BA432" i="3"/>
  <c r="AZ432" i="3"/>
  <c r="BL417" i="3"/>
  <c r="AZ417" i="3"/>
  <c r="BA416" i="3"/>
  <c r="AZ416" i="3"/>
  <c r="BL401" i="3"/>
  <c r="AZ401" i="3"/>
  <c r="BA400" i="3"/>
  <c r="AZ400" i="3"/>
  <c r="BL385" i="3"/>
  <c r="BT5" i="3"/>
  <c r="BB5" i="3"/>
  <c r="BK5" i="3"/>
  <c r="AZ385" i="3"/>
  <c r="BA384" i="3"/>
  <c r="AZ384" i="3"/>
  <c r="BL373" i="3"/>
  <c r="AZ373" i="3"/>
  <c r="BA372" i="3"/>
  <c r="AZ372" i="3"/>
  <c r="BL357" i="3"/>
  <c r="AZ357" i="3"/>
  <c r="BA356" i="3"/>
  <c r="AZ356" i="3"/>
  <c r="BL341" i="3"/>
  <c r="AZ341" i="3"/>
  <c r="BA340" i="3"/>
  <c r="AZ340" i="3"/>
  <c r="BL325" i="3"/>
  <c r="AZ325" i="3"/>
  <c r="BA324" i="3"/>
  <c r="AZ324" i="3"/>
  <c r="BL309" i="3"/>
  <c r="AZ309" i="3"/>
  <c r="BA308" i="3"/>
  <c r="AZ308" i="3"/>
  <c r="BL293" i="3"/>
  <c r="AZ293" i="3"/>
  <c r="BA292" i="3"/>
  <c r="AZ292" i="3"/>
  <c r="BL277" i="3"/>
  <c r="AZ277" i="3"/>
  <c r="BA276" i="3"/>
  <c r="AZ276" i="3"/>
  <c r="BL261" i="3"/>
  <c r="AZ261" i="3"/>
  <c r="BA260" i="3"/>
  <c r="AZ260" i="3"/>
  <c r="BL245" i="3"/>
  <c r="AZ245" i="3"/>
  <c r="BA244" i="3"/>
  <c r="AZ244" i="3"/>
  <c r="BL229" i="3"/>
  <c r="AZ229" i="3"/>
  <c r="BA228" i="3"/>
  <c r="AZ228" i="3"/>
  <c r="BL213" i="3"/>
  <c r="AZ213" i="3"/>
  <c r="BA212" i="3"/>
  <c r="AZ212" i="3"/>
  <c r="BL197" i="3"/>
  <c r="AZ197" i="3"/>
  <c r="BA196" i="3"/>
  <c r="AZ196" i="3"/>
  <c r="BL181" i="3"/>
  <c r="AZ181" i="3"/>
  <c r="BA180" i="3"/>
  <c r="AZ180" i="3"/>
  <c r="BL165" i="3"/>
  <c r="AZ165" i="3"/>
  <c r="BA164" i="3"/>
  <c r="AZ164" i="3"/>
  <c r="BL149" i="3"/>
  <c r="AZ149" i="3"/>
  <c r="BA148" i="3"/>
  <c r="AZ148" i="3"/>
  <c r="BL133" i="3"/>
  <c r="AZ133" i="3"/>
  <c r="BA132" i="3"/>
  <c r="AZ132" i="3"/>
  <c r="BL117" i="3"/>
  <c r="AZ117" i="3"/>
  <c r="BA116" i="3"/>
  <c r="AZ116" i="3"/>
  <c r="BL101" i="3"/>
  <c r="AZ101" i="3"/>
  <c r="BA100" i="3"/>
  <c r="AZ100" i="3"/>
  <c r="BL85" i="3"/>
  <c r="AZ85" i="3"/>
  <c r="BA84" i="3"/>
  <c r="AZ84" i="3"/>
  <c r="BL69" i="3"/>
  <c r="AZ69" i="3"/>
  <c r="BA68" i="3"/>
  <c r="AZ68" i="3"/>
  <c r="BQ5" i="3"/>
  <c r="BM5" i="3"/>
  <c r="AA12" i="35"/>
  <c r="S12" i="35"/>
  <c r="F31" i="33"/>
  <c r="J31" i="33"/>
  <c r="H31" i="33"/>
  <c r="J25" i="35"/>
  <c r="F25" i="35"/>
  <c r="H25" i="35"/>
  <c r="J35" i="35"/>
  <c r="F35" i="35"/>
  <c r="H35" i="35"/>
  <c r="AC22" i="35"/>
  <c r="W22" i="35"/>
  <c r="J24" i="36"/>
  <c r="H24" i="36"/>
  <c r="F24" i="36"/>
  <c r="H34" i="36"/>
  <c r="J34" i="36"/>
  <c r="F34" i="36"/>
  <c r="S31" i="36"/>
  <c r="AA31" i="36"/>
  <c r="W31" i="36"/>
  <c r="AC31" i="36"/>
  <c r="AA25" i="37"/>
  <c r="S25" i="37"/>
  <c r="F95" i="39"/>
  <c r="G95" i="39"/>
  <c r="J21" i="39"/>
  <c r="F16" i="40"/>
  <c r="J16" i="40"/>
  <c r="H16" i="40"/>
  <c r="H33" i="40"/>
  <c r="F33" i="40"/>
  <c r="J33" i="40"/>
  <c r="AC42" i="39"/>
  <c r="W42" i="39"/>
  <c r="AB11" i="39"/>
  <c r="U11" i="39"/>
  <c r="J32" i="40"/>
  <c r="H32" i="40"/>
  <c r="F32" i="40"/>
  <c r="S22" i="31"/>
  <c r="P22" i="46"/>
  <c r="P25" i="46"/>
  <c r="B73" i="39"/>
  <c r="P21" i="46"/>
  <c r="K145" i="21"/>
  <c r="K141" i="21"/>
  <c r="K144" i="21"/>
  <c r="S13" i="1"/>
  <c r="B13" i="1"/>
  <c r="E13" i="1"/>
  <c r="K13" i="1"/>
  <c r="M13" i="1"/>
  <c r="R13" i="1"/>
  <c r="B65" i="46"/>
  <c r="B54" i="46"/>
  <c r="C31" i="39"/>
  <c r="L16" i="4"/>
  <c r="T16" i="4"/>
  <c r="R16" i="4"/>
  <c r="K17" i="4"/>
  <c r="A22" i="51"/>
  <c r="B16" i="63"/>
  <c r="C29" i="59"/>
  <c r="D28" i="59"/>
  <c r="P60" i="59"/>
  <c r="E59" i="59"/>
  <c r="T65" i="59"/>
  <c r="C64" i="59"/>
  <c r="T73" i="59"/>
  <c r="C72" i="59"/>
  <c r="D73" i="59"/>
  <c r="K41" i="9"/>
  <c r="C46" i="9"/>
  <c r="Z10" i="46"/>
  <c r="Z12" i="46"/>
  <c r="Z13" i="46"/>
  <c r="AC10" i="46"/>
  <c r="AC12" i="46"/>
  <c r="AC13" i="46"/>
  <c r="J52" i="44"/>
  <c r="BA572" i="3"/>
  <c r="AZ572" i="3"/>
  <c r="BL565" i="3"/>
  <c r="AZ565" i="3"/>
  <c r="BA564" i="3"/>
  <c r="AZ564" i="3"/>
  <c r="BL557" i="3"/>
  <c r="AZ557" i="3"/>
  <c r="BA556" i="3"/>
  <c r="AZ556" i="3"/>
  <c r="BL549" i="3"/>
  <c r="AZ549" i="3"/>
  <c r="BA548" i="3"/>
  <c r="AZ548" i="3"/>
  <c r="BL541" i="3"/>
  <c r="AZ541" i="3"/>
  <c r="BA540" i="3"/>
  <c r="AZ540" i="3"/>
  <c r="BL533" i="3"/>
  <c r="AZ533" i="3"/>
  <c r="BA532" i="3"/>
  <c r="AZ532" i="3"/>
  <c r="BL525" i="3"/>
  <c r="AZ525" i="3"/>
  <c r="BA524" i="3"/>
  <c r="AZ524" i="3"/>
  <c r="BL517" i="3"/>
  <c r="AZ517" i="3"/>
  <c r="BA516" i="3"/>
  <c r="AZ516" i="3"/>
  <c r="BL509" i="3"/>
  <c r="AZ509" i="3"/>
  <c r="BA508" i="3"/>
  <c r="AZ508" i="3"/>
  <c r="BL501" i="3"/>
  <c r="AZ501" i="3"/>
  <c r="BA500" i="3"/>
  <c r="AZ500" i="3"/>
  <c r="BL493" i="3"/>
  <c r="AZ493" i="3"/>
  <c r="BA492" i="3"/>
  <c r="AZ492" i="3"/>
  <c r="BL485" i="3"/>
  <c r="AZ485" i="3"/>
  <c r="BA484" i="3"/>
  <c r="AZ484" i="3"/>
  <c r="BL477" i="3"/>
  <c r="AZ477" i="3"/>
  <c r="BA476" i="3"/>
  <c r="AZ476" i="3"/>
  <c r="BL469" i="3"/>
  <c r="AZ469" i="3"/>
  <c r="BA468" i="3"/>
  <c r="AZ468" i="3"/>
  <c r="BL461" i="3"/>
  <c r="AZ461" i="3"/>
  <c r="BA460" i="3"/>
  <c r="AZ460" i="3"/>
  <c r="BL453" i="3"/>
  <c r="AZ453" i="3"/>
  <c r="BA452" i="3"/>
  <c r="AZ452" i="3"/>
  <c r="BL445" i="3"/>
  <c r="AZ445" i="3"/>
  <c r="BA444" i="3"/>
  <c r="AZ444" i="3"/>
  <c r="BL437" i="3"/>
  <c r="AZ437" i="3"/>
  <c r="BA436" i="3"/>
  <c r="AZ436" i="3"/>
  <c r="BL429" i="3"/>
  <c r="AZ429" i="3"/>
  <c r="BA428" i="3"/>
  <c r="AZ428" i="3"/>
  <c r="BL421" i="3"/>
  <c r="AZ421" i="3"/>
  <c r="BA420" i="3"/>
  <c r="AZ420" i="3"/>
  <c r="BL413" i="3"/>
  <c r="AZ413" i="3"/>
  <c r="BA412" i="3"/>
  <c r="AZ412" i="3"/>
  <c r="BL405" i="3"/>
  <c r="AZ405" i="3"/>
  <c r="BA404" i="3"/>
  <c r="AZ404" i="3"/>
  <c r="BL397" i="3"/>
  <c r="AZ397" i="3"/>
  <c r="BA396" i="3"/>
  <c r="AZ396" i="3"/>
  <c r="BL389" i="3"/>
  <c r="AZ389" i="3"/>
  <c r="BA388" i="3"/>
  <c r="AZ388" i="3"/>
  <c r="BL381" i="3"/>
  <c r="AZ381" i="3"/>
  <c r="BA380" i="3"/>
  <c r="AZ380" i="3"/>
  <c r="BL365" i="3"/>
  <c r="AZ365" i="3"/>
  <c r="BA364" i="3"/>
  <c r="AZ364" i="3"/>
  <c r="BL349" i="3"/>
  <c r="AZ349" i="3"/>
  <c r="BA348" i="3"/>
  <c r="AZ348" i="3"/>
  <c r="BL333" i="3"/>
  <c r="AZ333" i="3"/>
  <c r="BA332" i="3"/>
  <c r="AZ332" i="3"/>
  <c r="BL317" i="3"/>
  <c r="AZ317" i="3"/>
  <c r="BA316" i="3"/>
  <c r="AZ316" i="3"/>
  <c r="BL301" i="3"/>
  <c r="AZ301" i="3"/>
  <c r="BA300" i="3"/>
  <c r="AZ300" i="3"/>
  <c r="BL285" i="3"/>
  <c r="AZ285" i="3"/>
  <c r="BA284" i="3"/>
  <c r="AZ284" i="3"/>
  <c r="BL269" i="3"/>
  <c r="AZ269" i="3"/>
  <c r="BA268" i="3"/>
  <c r="AZ268" i="3"/>
  <c r="BL253" i="3"/>
  <c r="AZ253" i="3"/>
  <c r="BA252" i="3"/>
  <c r="AZ252" i="3"/>
  <c r="BL237" i="3"/>
  <c r="AZ237" i="3"/>
  <c r="BA236" i="3"/>
  <c r="AZ236" i="3"/>
  <c r="BL221" i="3"/>
  <c r="AZ221" i="3"/>
  <c r="BA220" i="3"/>
  <c r="AZ220" i="3"/>
  <c r="BL205" i="3"/>
  <c r="AZ205" i="3"/>
  <c r="BA204" i="3"/>
  <c r="AZ204" i="3"/>
  <c r="BL189" i="3"/>
  <c r="AZ189" i="3"/>
  <c r="BA188" i="3"/>
  <c r="AZ188" i="3"/>
  <c r="BL173" i="3"/>
  <c r="AZ173" i="3"/>
  <c r="BA172" i="3"/>
  <c r="AZ172" i="3"/>
  <c r="BL157" i="3"/>
  <c r="AZ157" i="3"/>
  <c r="BA156" i="3"/>
  <c r="AZ156" i="3"/>
  <c r="BL141" i="3"/>
  <c r="AZ141" i="3"/>
  <c r="BA140" i="3"/>
  <c r="AZ140" i="3"/>
  <c r="BL125" i="3"/>
  <c r="AZ125" i="3"/>
  <c r="BA124" i="3"/>
  <c r="AZ124" i="3"/>
  <c r="BL109" i="3"/>
  <c r="AZ109" i="3"/>
  <c r="BA108" i="3"/>
  <c r="AZ108" i="3"/>
  <c r="BL93" i="3"/>
  <c r="AZ93" i="3"/>
  <c r="BA92" i="3"/>
  <c r="AZ92" i="3"/>
  <c r="BL77" i="3"/>
  <c r="AZ77" i="3"/>
  <c r="BA76" i="3"/>
  <c r="AZ76" i="3"/>
  <c r="BL61" i="3"/>
  <c r="AZ61" i="3"/>
  <c r="BI5" i="3"/>
  <c r="BE5" i="3"/>
  <c r="BA60" i="3"/>
  <c r="AZ60" i="3"/>
  <c r="BL53" i="3"/>
  <c r="AZ53" i="3"/>
  <c r="BA52" i="3"/>
  <c r="AZ52" i="3"/>
  <c r="BL45" i="3"/>
  <c r="AZ45" i="3"/>
  <c r="BA44" i="3"/>
  <c r="AZ44" i="3"/>
  <c r="BL37" i="3"/>
  <c r="AZ37" i="3"/>
  <c r="BA36" i="3"/>
  <c r="AZ36" i="3"/>
  <c r="BL29" i="3"/>
  <c r="AZ29" i="3"/>
  <c r="BA28" i="3"/>
  <c r="AZ28" i="3"/>
  <c r="BL21" i="3"/>
  <c r="AZ21" i="3"/>
  <c r="BA20" i="3"/>
  <c r="AZ20" i="3"/>
  <c r="F34" i="69"/>
  <c r="F34" i="68"/>
  <c r="M20" i="68"/>
  <c r="F34" i="15"/>
  <c r="C2" i="65"/>
  <c r="AB10" i="39"/>
  <c r="U10" i="39"/>
  <c r="S10" i="1"/>
  <c r="R10" i="1"/>
  <c r="K8" i="1"/>
  <c r="M8" i="1"/>
  <c r="S12" i="1"/>
  <c r="R12" i="1"/>
  <c r="K12" i="1"/>
  <c r="M12" i="1"/>
  <c r="G7" i="1"/>
  <c r="E26" i="57"/>
  <c r="D22" i="15"/>
  <c r="D23" i="15"/>
  <c r="B85" i="46"/>
  <c r="C27" i="40"/>
  <c r="AA27" i="40"/>
  <c r="S27" i="40"/>
  <c r="AA18" i="35"/>
  <c r="S18" i="35"/>
  <c r="C40" i="59"/>
  <c r="D40" i="59"/>
  <c r="D39" i="59"/>
  <c r="Q59" i="59"/>
  <c r="Q58" i="59"/>
  <c r="O61" i="59"/>
  <c r="C60" i="59"/>
  <c r="D77" i="59"/>
  <c r="C76" i="59"/>
  <c r="D21" i="59"/>
  <c r="T21" i="59"/>
  <c r="C20" i="59"/>
  <c r="E16" i="59"/>
  <c r="E15" i="59"/>
  <c r="E14" i="59"/>
  <c r="E13" i="59"/>
  <c r="U17" i="59"/>
  <c r="J51" i="69"/>
  <c r="C7" i="36"/>
  <c r="C46" i="36"/>
  <c r="C7" i="37"/>
  <c r="C52" i="37"/>
  <c r="C7" i="33"/>
  <c r="C58" i="33"/>
  <c r="C7" i="21"/>
  <c r="C58" i="21"/>
  <c r="BL571" i="3"/>
  <c r="AZ571" i="3"/>
  <c r="BA570" i="3"/>
  <c r="AZ570" i="3"/>
  <c r="BL567" i="3"/>
  <c r="AZ567" i="3"/>
  <c r="BA566" i="3"/>
  <c r="AZ566" i="3"/>
  <c r="BL563" i="3"/>
  <c r="AZ563" i="3"/>
  <c r="BA562" i="3"/>
  <c r="AZ562" i="3"/>
  <c r="BL559" i="3"/>
  <c r="AZ559" i="3"/>
  <c r="BA558" i="3"/>
  <c r="AZ558" i="3"/>
  <c r="BL555" i="3"/>
  <c r="AZ555" i="3"/>
  <c r="BA554" i="3"/>
  <c r="AZ554" i="3"/>
  <c r="BL551" i="3"/>
  <c r="AZ551" i="3"/>
  <c r="BA550" i="3"/>
  <c r="AZ550" i="3"/>
  <c r="BL547" i="3"/>
  <c r="AZ547" i="3"/>
  <c r="BA546" i="3"/>
  <c r="AZ546" i="3"/>
  <c r="BL543" i="3"/>
  <c r="AZ543" i="3"/>
  <c r="BA542" i="3"/>
  <c r="AZ542" i="3"/>
  <c r="BL539" i="3"/>
  <c r="AZ539" i="3"/>
  <c r="BA538" i="3"/>
  <c r="AZ538" i="3"/>
  <c r="BL535" i="3"/>
  <c r="AZ535" i="3"/>
  <c r="BA534" i="3"/>
  <c r="AZ534" i="3"/>
  <c r="BL531" i="3"/>
  <c r="AZ531" i="3"/>
  <c r="BA530" i="3"/>
  <c r="AZ530" i="3"/>
  <c r="BL527" i="3"/>
  <c r="AZ527" i="3"/>
  <c r="BA526" i="3"/>
  <c r="AZ526" i="3"/>
  <c r="BL523" i="3"/>
  <c r="AZ523" i="3"/>
  <c r="BA522" i="3"/>
  <c r="AZ522" i="3"/>
  <c r="BL519" i="3"/>
  <c r="AZ519" i="3"/>
  <c r="BA518" i="3"/>
  <c r="AZ518" i="3"/>
  <c r="BL515" i="3"/>
  <c r="AZ515" i="3"/>
  <c r="BA514" i="3"/>
  <c r="AZ514" i="3"/>
  <c r="BL511" i="3"/>
  <c r="AZ511" i="3"/>
  <c r="BA510" i="3"/>
  <c r="AZ510" i="3"/>
  <c r="BL507" i="3"/>
  <c r="AZ507" i="3"/>
  <c r="BA506" i="3"/>
  <c r="AZ506" i="3"/>
  <c r="BL503" i="3"/>
  <c r="AZ503" i="3"/>
  <c r="BA502" i="3"/>
  <c r="AZ502" i="3"/>
  <c r="BL499" i="3"/>
  <c r="AZ499" i="3"/>
  <c r="BA498" i="3"/>
  <c r="AZ498" i="3"/>
  <c r="BL495" i="3"/>
  <c r="AZ495" i="3"/>
  <c r="BA494" i="3"/>
  <c r="AZ494" i="3"/>
  <c r="BL491" i="3"/>
  <c r="AZ491" i="3"/>
  <c r="BA490" i="3"/>
  <c r="AZ490" i="3"/>
  <c r="BL487" i="3"/>
  <c r="AZ487" i="3"/>
  <c r="BA486" i="3"/>
  <c r="AZ486" i="3"/>
  <c r="BL483" i="3"/>
  <c r="AZ483" i="3"/>
  <c r="BA482" i="3"/>
  <c r="AZ482" i="3"/>
  <c r="BL479" i="3"/>
  <c r="AZ479" i="3"/>
  <c r="BA478" i="3"/>
  <c r="AZ478" i="3"/>
  <c r="BL475" i="3"/>
  <c r="AZ475" i="3"/>
  <c r="BA474" i="3"/>
  <c r="AZ474" i="3"/>
  <c r="BL471" i="3"/>
  <c r="AZ471" i="3"/>
  <c r="BA470" i="3"/>
  <c r="AZ470" i="3"/>
  <c r="BL467" i="3"/>
  <c r="AZ467" i="3"/>
  <c r="BA466" i="3"/>
  <c r="AZ466" i="3"/>
  <c r="BL463" i="3"/>
  <c r="AZ463" i="3"/>
  <c r="BA462" i="3"/>
  <c r="AZ462" i="3"/>
  <c r="BL459" i="3"/>
  <c r="AZ459" i="3"/>
  <c r="BA458" i="3"/>
  <c r="AZ458" i="3"/>
  <c r="BL455" i="3"/>
  <c r="AZ455" i="3"/>
  <c r="BA454" i="3"/>
  <c r="AZ454" i="3"/>
  <c r="BL451" i="3"/>
  <c r="AZ451" i="3"/>
  <c r="BA450" i="3"/>
  <c r="AZ450" i="3"/>
  <c r="BL447" i="3"/>
  <c r="AZ447" i="3"/>
  <c r="BA446" i="3"/>
  <c r="AZ446" i="3"/>
  <c r="BL443" i="3"/>
  <c r="AZ443" i="3"/>
  <c r="BA442" i="3"/>
  <c r="AZ442" i="3"/>
  <c r="BL439" i="3"/>
  <c r="AZ439" i="3"/>
  <c r="BA438" i="3"/>
  <c r="AZ438" i="3"/>
  <c r="BL435" i="3"/>
  <c r="AZ435" i="3"/>
  <c r="BA434" i="3"/>
  <c r="AZ434" i="3"/>
  <c r="BL431" i="3"/>
  <c r="AZ431" i="3"/>
  <c r="BA430" i="3"/>
  <c r="AZ430" i="3"/>
  <c r="BL427" i="3"/>
  <c r="AZ427" i="3"/>
  <c r="BA426" i="3"/>
  <c r="AZ426" i="3"/>
  <c r="BL423" i="3"/>
  <c r="AZ423" i="3"/>
  <c r="BA422" i="3"/>
  <c r="AZ422" i="3"/>
  <c r="BL419" i="3"/>
  <c r="AZ419" i="3"/>
  <c r="BA418" i="3"/>
  <c r="AZ418" i="3"/>
  <c r="BL415" i="3"/>
  <c r="AZ415" i="3"/>
  <c r="BA414" i="3"/>
  <c r="AZ414" i="3"/>
  <c r="BL411" i="3"/>
  <c r="AZ411" i="3"/>
  <c r="BA410" i="3"/>
  <c r="AZ410" i="3"/>
  <c r="BL407" i="3"/>
  <c r="AZ407" i="3"/>
  <c r="BA406" i="3"/>
  <c r="AZ406" i="3"/>
  <c r="BL403" i="3"/>
  <c r="AZ403" i="3"/>
  <c r="BA402" i="3"/>
  <c r="AZ402" i="3"/>
  <c r="BL399" i="3"/>
  <c r="AZ399" i="3"/>
  <c r="BA398" i="3"/>
  <c r="AZ398" i="3"/>
  <c r="BL395" i="3"/>
  <c r="AZ395" i="3"/>
  <c r="BA394" i="3"/>
  <c r="AZ394" i="3"/>
  <c r="BL391" i="3"/>
  <c r="AZ391" i="3"/>
  <c r="BA390" i="3"/>
  <c r="AZ390" i="3"/>
  <c r="BL387" i="3"/>
  <c r="AZ387" i="3"/>
  <c r="BA386" i="3"/>
  <c r="AZ386" i="3"/>
  <c r="BL383" i="3"/>
  <c r="AZ383" i="3"/>
  <c r="BA382" i="3"/>
  <c r="AZ382" i="3"/>
  <c r="BL377" i="3"/>
  <c r="AZ377" i="3"/>
  <c r="BA376" i="3"/>
  <c r="AZ376" i="3"/>
  <c r="BL369" i="3"/>
  <c r="AZ369" i="3"/>
  <c r="BA368" i="3"/>
  <c r="AZ368" i="3"/>
  <c r="BL361" i="3"/>
  <c r="AZ361" i="3"/>
  <c r="BA360" i="3"/>
  <c r="AZ360" i="3"/>
  <c r="BL353" i="3"/>
  <c r="AZ353" i="3"/>
  <c r="BA352" i="3"/>
  <c r="AZ352" i="3"/>
  <c r="BL345" i="3"/>
  <c r="AZ345" i="3"/>
  <c r="BA344" i="3"/>
  <c r="AZ344" i="3"/>
  <c r="BL337" i="3"/>
  <c r="AZ337" i="3"/>
  <c r="BA336" i="3"/>
  <c r="AZ336" i="3"/>
  <c r="BL329" i="3"/>
  <c r="AZ329" i="3"/>
  <c r="BA328" i="3"/>
  <c r="AZ328" i="3"/>
  <c r="BL321" i="3"/>
  <c r="AZ321" i="3"/>
  <c r="BA320" i="3"/>
  <c r="AZ320" i="3"/>
  <c r="BL313" i="3"/>
  <c r="AZ313" i="3"/>
  <c r="BA312" i="3"/>
  <c r="AZ312" i="3"/>
  <c r="BL305" i="3"/>
  <c r="AZ305" i="3"/>
  <c r="BA304" i="3"/>
  <c r="AZ304" i="3"/>
  <c r="BL297" i="3"/>
  <c r="AZ297" i="3"/>
  <c r="BA296" i="3"/>
  <c r="AZ296" i="3"/>
  <c r="BL289" i="3"/>
  <c r="AZ289" i="3"/>
  <c r="BA288" i="3"/>
  <c r="AZ288" i="3"/>
  <c r="BL281" i="3"/>
  <c r="AZ281" i="3"/>
  <c r="BA280" i="3"/>
  <c r="AZ280" i="3"/>
  <c r="BL273" i="3"/>
  <c r="AZ273" i="3"/>
  <c r="BA272" i="3"/>
  <c r="AZ272" i="3"/>
  <c r="BL265" i="3"/>
  <c r="AZ265" i="3"/>
  <c r="BA264" i="3"/>
  <c r="AZ264" i="3"/>
  <c r="BL257" i="3"/>
  <c r="AZ257" i="3"/>
  <c r="BA256" i="3"/>
  <c r="AZ256" i="3"/>
  <c r="BL249" i="3"/>
  <c r="AZ249" i="3"/>
  <c r="BA248" i="3"/>
  <c r="AZ248" i="3"/>
  <c r="BL241" i="3"/>
  <c r="AZ241" i="3"/>
  <c r="BA240" i="3"/>
  <c r="AZ240" i="3"/>
  <c r="BL233" i="3"/>
  <c r="AZ233" i="3"/>
  <c r="BA232" i="3"/>
  <c r="AZ232" i="3"/>
  <c r="BL225" i="3"/>
  <c r="AZ225" i="3"/>
  <c r="BA224" i="3"/>
  <c r="AZ224" i="3"/>
  <c r="BL217" i="3"/>
  <c r="AZ217" i="3"/>
  <c r="BA216" i="3"/>
  <c r="AZ216" i="3"/>
  <c r="BL209" i="3"/>
  <c r="AZ209" i="3"/>
  <c r="BA208" i="3"/>
  <c r="AZ208" i="3"/>
  <c r="BL201" i="3"/>
  <c r="AZ201" i="3"/>
  <c r="BA200" i="3"/>
  <c r="AZ200" i="3"/>
  <c r="BL193" i="3"/>
  <c r="AZ193" i="3"/>
  <c r="BA192" i="3"/>
  <c r="AZ192" i="3"/>
  <c r="BL185" i="3"/>
  <c r="AZ185" i="3"/>
  <c r="BA184" i="3"/>
  <c r="AZ184" i="3"/>
  <c r="BL177" i="3"/>
  <c r="AZ177" i="3"/>
  <c r="BA176" i="3"/>
  <c r="AZ176" i="3"/>
  <c r="BL169" i="3"/>
  <c r="AZ169" i="3"/>
  <c r="BA168" i="3"/>
  <c r="AZ168" i="3"/>
  <c r="BL161" i="3"/>
  <c r="AZ161" i="3"/>
  <c r="BA160" i="3"/>
  <c r="AZ160" i="3"/>
  <c r="BL153" i="3"/>
  <c r="AZ153" i="3"/>
  <c r="BA152" i="3"/>
  <c r="AZ152" i="3"/>
  <c r="BL145" i="3"/>
  <c r="AZ145" i="3"/>
  <c r="BA144" i="3"/>
  <c r="AZ144" i="3"/>
  <c r="BL137" i="3"/>
  <c r="AZ137" i="3"/>
  <c r="BA136" i="3"/>
  <c r="AZ136" i="3"/>
  <c r="BL129" i="3"/>
  <c r="AZ129" i="3"/>
  <c r="BA128" i="3"/>
  <c r="AZ128" i="3"/>
  <c r="BL121" i="3"/>
  <c r="AZ121" i="3"/>
  <c r="BA120" i="3"/>
  <c r="AZ120" i="3"/>
  <c r="BL113" i="3"/>
  <c r="AZ113" i="3"/>
  <c r="BA112" i="3"/>
  <c r="AZ112" i="3"/>
  <c r="BL105" i="3"/>
  <c r="AZ105" i="3"/>
  <c r="BA104" i="3"/>
  <c r="AZ104" i="3"/>
  <c r="BL97" i="3"/>
  <c r="AZ97" i="3"/>
  <c r="BA96" i="3"/>
  <c r="AZ96" i="3"/>
  <c r="BL89" i="3"/>
  <c r="AZ89" i="3"/>
  <c r="BA88" i="3"/>
  <c r="AZ88" i="3"/>
  <c r="BL81" i="3"/>
  <c r="AZ81" i="3"/>
  <c r="BA80" i="3"/>
  <c r="AZ80" i="3"/>
  <c r="BL73" i="3"/>
  <c r="AZ73" i="3"/>
  <c r="BA72" i="3"/>
  <c r="AZ72" i="3"/>
  <c r="BL65" i="3"/>
  <c r="AZ65" i="3"/>
  <c r="BA64" i="3"/>
  <c r="AZ64" i="3"/>
  <c r="BL57" i="3"/>
  <c r="AZ57" i="3"/>
  <c r="BA56" i="3"/>
  <c r="AZ56" i="3"/>
  <c r="BL49" i="3"/>
  <c r="AZ49" i="3"/>
  <c r="BA48" i="3"/>
  <c r="AZ48" i="3"/>
  <c r="BL41" i="3"/>
  <c r="AZ41" i="3"/>
  <c r="BA40" i="3"/>
  <c r="AZ40" i="3"/>
  <c r="BL33" i="3"/>
  <c r="AZ33" i="3"/>
  <c r="BA32" i="3"/>
  <c r="AZ32" i="3"/>
  <c r="BL25" i="3"/>
  <c r="AZ25" i="3"/>
  <c r="BA24" i="3"/>
  <c r="AZ24" i="3"/>
  <c r="BP5" i="3"/>
  <c r="BL17" i="3"/>
  <c r="BN5" i="3"/>
  <c r="AZ17" i="3"/>
  <c r="BJ5" i="3"/>
  <c r="BH5" i="3"/>
  <c r="BF5" i="3"/>
  <c r="BD5" i="3"/>
  <c r="BA16" i="3"/>
  <c r="AZ16" i="3"/>
  <c r="BS5" i="3"/>
  <c r="G14" i="3"/>
  <c r="AC5" i="3"/>
  <c r="G5" i="3"/>
  <c r="B3" i="3"/>
  <c r="E5" i="6"/>
  <c r="Y29" i="59"/>
  <c r="Z29" i="59"/>
  <c r="Y27" i="59"/>
  <c r="Z27" i="59"/>
  <c r="Y25" i="59"/>
  <c r="Z25" i="59"/>
  <c r="Y23" i="59"/>
  <c r="Z23" i="59"/>
  <c r="C24" i="59"/>
  <c r="Y6" i="59"/>
  <c r="Z6" i="59"/>
  <c r="Y7" i="59"/>
  <c r="Z7" i="59"/>
  <c r="AA29" i="59"/>
  <c r="AA27" i="59"/>
  <c r="AA25" i="59"/>
  <c r="AA23" i="59"/>
  <c r="AA21" i="59"/>
  <c r="AA19" i="59"/>
  <c r="AA16" i="59"/>
  <c r="AA14" i="59"/>
  <c r="AA10" i="59"/>
  <c r="AA11" i="59"/>
  <c r="AA8" i="59"/>
  <c r="AA3" i="59"/>
  <c r="C19" i="46"/>
  <c r="AB28" i="59"/>
  <c r="AB26" i="59"/>
  <c r="AB24" i="59"/>
  <c r="AB22" i="59"/>
  <c r="AB19" i="59"/>
  <c r="AB17" i="59"/>
  <c r="AB6" i="59"/>
  <c r="AB7" i="59"/>
  <c r="AB3" i="59"/>
  <c r="C42" i="1"/>
  <c r="G1" i="15"/>
  <c r="G1" i="68"/>
  <c r="K6" i="1"/>
  <c r="G1" i="69"/>
  <c r="K7" i="1"/>
  <c r="M7" i="1"/>
  <c r="BL379" i="3"/>
  <c r="AZ379" i="3"/>
  <c r="BA378" i="3"/>
  <c r="AZ378" i="3"/>
  <c r="BL375" i="3"/>
  <c r="AZ375" i="3"/>
  <c r="BA374" i="3"/>
  <c r="AZ374" i="3"/>
  <c r="BL371" i="3"/>
  <c r="AZ371" i="3"/>
  <c r="BA370" i="3"/>
  <c r="AZ370" i="3"/>
  <c r="BL367" i="3"/>
  <c r="AZ367" i="3"/>
  <c r="BA366" i="3"/>
  <c r="AZ366" i="3"/>
  <c r="BL363" i="3"/>
  <c r="AZ363" i="3"/>
  <c r="BA362" i="3"/>
  <c r="AZ362" i="3"/>
  <c r="BL359" i="3"/>
  <c r="AZ359" i="3"/>
  <c r="BA358" i="3"/>
  <c r="AZ358" i="3"/>
  <c r="BL355" i="3"/>
  <c r="AZ355" i="3"/>
  <c r="BA354" i="3"/>
  <c r="AZ354" i="3"/>
  <c r="BL351" i="3"/>
  <c r="AZ351" i="3"/>
  <c r="BA350" i="3"/>
  <c r="AZ350" i="3"/>
  <c r="BL347" i="3"/>
  <c r="AZ347" i="3"/>
  <c r="BA346" i="3"/>
  <c r="AZ346" i="3"/>
  <c r="BL343" i="3"/>
  <c r="AZ343" i="3"/>
  <c r="BA342" i="3"/>
  <c r="AZ342" i="3"/>
  <c r="BL339" i="3"/>
  <c r="AZ339" i="3"/>
  <c r="BA338" i="3"/>
  <c r="AZ338" i="3"/>
  <c r="BL335" i="3"/>
  <c r="AZ335" i="3"/>
  <c r="BA334" i="3"/>
  <c r="AZ334" i="3"/>
  <c r="BL331" i="3"/>
  <c r="AZ331" i="3"/>
  <c r="BA330" i="3"/>
  <c r="AZ330" i="3"/>
  <c r="BL327" i="3"/>
  <c r="AZ327" i="3"/>
  <c r="BA326" i="3"/>
  <c r="AZ326" i="3"/>
  <c r="BL323" i="3"/>
  <c r="AZ323" i="3"/>
  <c r="BA322" i="3"/>
  <c r="AZ322" i="3"/>
  <c r="BL319" i="3"/>
  <c r="AZ319" i="3"/>
  <c r="BA318" i="3"/>
  <c r="AZ318" i="3"/>
  <c r="BL315" i="3"/>
  <c r="AZ315" i="3"/>
  <c r="BA314" i="3"/>
  <c r="AZ314" i="3"/>
  <c r="BL311" i="3"/>
  <c r="AZ311" i="3"/>
  <c r="BA310" i="3"/>
  <c r="AZ310" i="3"/>
  <c r="BL307" i="3"/>
  <c r="AZ307" i="3"/>
  <c r="BA306" i="3"/>
  <c r="AZ306" i="3"/>
  <c r="BL303" i="3"/>
  <c r="AZ303" i="3"/>
  <c r="BA302" i="3"/>
  <c r="AZ302" i="3"/>
  <c r="BL299" i="3"/>
  <c r="AZ299" i="3"/>
  <c r="BA298" i="3"/>
  <c r="AZ298" i="3"/>
  <c r="BL295" i="3"/>
  <c r="AZ295" i="3"/>
  <c r="BA294" i="3"/>
  <c r="AZ294" i="3"/>
  <c r="BL291" i="3"/>
  <c r="AZ291" i="3"/>
  <c r="BA290" i="3"/>
  <c r="AZ290" i="3"/>
  <c r="BL287" i="3"/>
  <c r="AZ287" i="3"/>
  <c r="BA286" i="3"/>
  <c r="AZ286" i="3"/>
  <c r="BL283" i="3"/>
  <c r="AZ283" i="3"/>
  <c r="BA282" i="3"/>
  <c r="AZ282" i="3"/>
  <c r="BL279" i="3"/>
  <c r="AZ279" i="3"/>
  <c r="BA278" i="3"/>
  <c r="AZ278" i="3"/>
  <c r="BL275" i="3"/>
  <c r="AZ275" i="3"/>
  <c r="BA274" i="3"/>
  <c r="AZ274" i="3"/>
  <c r="BL271" i="3"/>
  <c r="AZ271" i="3"/>
  <c r="BA270" i="3"/>
  <c r="AZ270" i="3"/>
  <c r="BL267" i="3"/>
  <c r="AZ267" i="3"/>
  <c r="BA266" i="3"/>
  <c r="AZ266" i="3"/>
  <c r="BL263" i="3"/>
  <c r="AZ263" i="3"/>
  <c r="BA262" i="3"/>
  <c r="AZ262" i="3"/>
  <c r="BL259" i="3"/>
  <c r="AZ259" i="3"/>
  <c r="BA258" i="3"/>
  <c r="AZ258" i="3"/>
  <c r="BL255" i="3"/>
  <c r="AZ255" i="3"/>
  <c r="BA254" i="3"/>
  <c r="AZ254" i="3"/>
  <c r="BL251" i="3"/>
  <c r="AZ251" i="3"/>
  <c r="BA250" i="3"/>
  <c r="AZ250" i="3"/>
  <c r="BL247" i="3"/>
  <c r="AZ247" i="3"/>
  <c r="BA246" i="3"/>
  <c r="AZ246" i="3"/>
  <c r="BL243" i="3"/>
  <c r="AZ243" i="3"/>
  <c r="BA242" i="3"/>
  <c r="AZ242" i="3"/>
  <c r="BL239" i="3"/>
  <c r="AZ239" i="3"/>
  <c r="BA238" i="3"/>
  <c r="AZ238" i="3"/>
  <c r="BL235" i="3"/>
  <c r="AZ235" i="3"/>
  <c r="BA234" i="3"/>
  <c r="AZ234" i="3"/>
  <c r="BL231" i="3"/>
  <c r="AZ231" i="3"/>
  <c r="BA230" i="3"/>
  <c r="AZ230" i="3"/>
  <c r="BL227" i="3"/>
  <c r="AZ227" i="3"/>
  <c r="BA226" i="3"/>
  <c r="AZ226" i="3"/>
  <c r="BL223" i="3"/>
  <c r="AZ223" i="3"/>
  <c r="BA222" i="3"/>
  <c r="AZ222" i="3"/>
  <c r="BL219" i="3"/>
  <c r="AZ219" i="3"/>
  <c r="BA218" i="3"/>
  <c r="AZ218" i="3"/>
  <c r="BL215" i="3"/>
  <c r="AZ215" i="3"/>
  <c r="BA214" i="3"/>
  <c r="AZ214" i="3"/>
  <c r="BL211" i="3"/>
  <c r="AZ211" i="3"/>
  <c r="BA210" i="3"/>
  <c r="AZ210" i="3"/>
  <c r="BL207" i="3"/>
  <c r="AZ207" i="3"/>
  <c r="BA206" i="3"/>
  <c r="AZ206" i="3"/>
  <c r="BL203" i="3"/>
  <c r="AZ203" i="3"/>
  <c r="BA202" i="3"/>
  <c r="AZ202" i="3"/>
  <c r="BL199" i="3"/>
  <c r="AZ199" i="3"/>
  <c r="BA198" i="3"/>
  <c r="AZ198" i="3"/>
  <c r="BL195" i="3"/>
  <c r="AZ195" i="3"/>
  <c r="BA194" i="3"/>
  <c r="AZ194" i="3"/>
  <c r="BL191" i="3"/>
  <c r="AZ191" i="3"/>
  <c r="BA190" i="3"/>
  <c r="AZ190" i="3"/>
  <c r="BL187" i="3"/>
  <c r="AZ187" i="3"/>
  <c r="BA186" i="3"/>
  <c r="AZ186" i="3"/>
  <c r="BL183" i="3"/>
  <c r="AZ183" i="3"/>
  <c r="BA182" i="3"/>
  <c r="AZ182" i="3"/>
  <c r="BL179" i="3"/>
  <c r="AZ179" i="3"/>
  <c r="BA178" i="3"/>
  <c r="AZ178" i="3"/>
  <c r="BL175" i="3"/>
  <c r="AZ175" i="3"/>
  <c r="BA174" i="3"/>
  <c r="AZ174" i="3"/>
  <c r="BL171" i="3"/>
  <c r="AZ171" i="3"/>
  <c r="BA170" i="3"/>
  <c r="AZ170" i="3"/>
  <c r="BL167" i="3"/>
  <c r="AZ167" i="3"/>
  <c r="BA166" i="3"/>
  <c r="AZ166" i="3"/>
  <c r="BL163" i="3"/>
  <c r="AZ163" i="3"/>
  <c r="BA162" i="3"/>
  <c r="AZ162" i="3"/>
  <c r="BL159" i="3"/>
  <c r="AZ159" i="3"/>
  <c r="BA158" i="3"/>
  <c r="AZ158" i="3"/>
  <c r="BL155" i="3"/>
  <c r="AZ155" i="3"/>
  <c r="BA154" i="3"/>
  <c r="AZ154" i="3"/>
  <c r="BL151" i="3"/>
  <c r="AZ151" i="3"/>
  <c r="BA150" i="3"/>
  <c r="AZ150" i="3"/>
  <c r="BL147" i="3"/>
  <c r="AZ147" i="3"/>
  <c r="BA146" i="3"/>
  <c r="AZ146" i="3"/>
  <c r="BL143" i="3"/>
  <c r="AZ143"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A114" i="3"/>
  <c r="AZ114" i="3"/>
  <c r="BL111" i="3"/>
  <c r="AZ111" i="3"/>
  <c r="BA110" i="3"/>
  <c r="AZ110" i="3"/>
  <c r="BL107" i="3"/>
  <c r="AZ107" i="3"/>
  <c r="BA106" i="3"/>
  <c r="AZ106" i="3"/>
  <c r="BL103" i="3"/>
  <c r="AZ103" i="3"/>
  <c r="BA102" i="3"/>
  <c r="AZ102" i="3"/>
  <c r="BL99" i="3"/>
  <c r="AZ99" i="3"/>
  <c r="BA98" i="3"/>
  <c r="AZ98" i="3"/>
  <c r="BL95" i="3"/>
  <c r="AZ95" i="3"/>
  <c r="BA94" i="3"/>
  <c r="AZ94" i="3"/>
  <c r="BL91" i="3"/>
  <c r="AZ91" i="3"/>
  <c r="BA90" i="3"/>
  <c r="AZ90" i="3"/>
  <c r="BL87" i="3"/>
  <c r="AZ87" i="3"/>
  <c r="BA86" i="3"/>
  <c r="AZ86" i="3"/>
  <c r="BL83" i="3"/>
  <c r="AZ83" i="3"/>
  <c r="BA82" i="3"/>
  <c r="AZ82" i="3"/>
  <c r="BL79" i="3"/>
  <c r="AZ79" i="3"/>
  <c r="BA78" i="3"/>
  <c r="AZ78" i="3"/>
  <c r="BL75" i="3"/>
  <c r="AZ75" i="3"/>
  <c r="BA74" i="3"/>
  <c r="AZ74" i="3"/>
  <c r="BL71" i="3"/>
  <c r="AZ71" i="3"/>
  <c r="BA70" i="3"/>
  <c r="AZ70" i="3"/>
  <c r="BL67" i="3"/>
  <c r="AZ67" i="3"/>
  <c r="BA66" i="3"/>
  <c r="AZ66" i="3"/>
  <c r="BL63" i="3"/>
  <c r="AZ63" i="3"/>
  <c r="BA62" i="3"/>
  <c r="AZ62" i="3"/>
  <c r="BL59" i="3"/>
  <c r="AZ59" i="3"/>
  <c r="BA58" i="3"/>
  <c r="AZ58" i="3"/>
  <c r="BL55" i="3"/>
  <c r="AZ55" i="3"/>
  <c r="BA54" i="3"/>
  <c r="AZ54" i="3"/>
  <c r="BL51" i="3"/>
  <c r="AZ51" i="3"/>
  <c r="BA50" i="3"/>
  <c r="AZ50" i="3"/>
  <c r="BL47" i="3"/>
  <c r="AZ47" i="3"/>
  <c r="BA46" i="3"/>
  <c r="AZ46" i="3"/>
  <c r="BL43" i="3"/>
  <c r="AZ43" i="3"/>
  <c r="BA42" i="3"/>
  <c r="AZ42" i="3"/>
  <c r="BL39" i="3"/>
  <c r="AZ39" i="3"/>
  <c r="BA38" i="3"/>
  <c r="AZ38" i="3"/>
  <c r="BL35" i="3"/>
  <c r="AZ35" i="3"/>
  <c r="BA34" i="3"/>
  <c r="AZ34" i="3"/>
  <c r="BL31" i="3"/>
  <c r="AZ31" i="3"/>
  <c r="BA30" i="3"/>
  <c r="AZ30" i="3"/>
  <c r="BL27" i="3"/>
  <c r="AZ27" i="3"/>
  <c r="BA26" i="3"/>
  <c r="AZ26" i="3"/>
  <c r="BL23" i="3"/>
  <c r="AZ23" i="3"/>
  <c r="BA22" i="3"/>
  <c r="AZ22" i="3"/>
  <c r="BL19" i="3"/>
  <c r="AZ19" i="3"/>
  <c r="BA18" i="3"/>
  <c r="AZ18" i="3"/>
  <c r="BL15" i="3"/>
  <c r="AZ15" i="3"/>
  <c r="BA14" i="3"/>
  <c r="AZ14" i="3"/>
  <c r="BL13" i="3"/>
  <c r="BR5" i="3"/>
  <c r="BA13" i="3"/>
  <c r="X5" i="59"/>
  <c r="U25" i="1"/>
  <c r="D24" i="69"/>
  <c r="D22" i="69"/>
  <c r="J51" i="68"/>
  <c r="BC5" i="3"/>
  <c r="I5" i="65"/>
  <c r="I4" i="65"/>
  <c r="J5" i="65"/>
  <c r="J6" i="65"/>
  <c r="M24" i="44"/>
  <c r="F11" i="44"/>
  <c r="F45" i="44"/>
  <c r="M10" i="44"/>
  <c r="J17" i="44"/>
  <c r="F10" i="44"/>
  <c r="M28" i="44"/>
  <c r="F40" i="44"/>
  <c r="F28" i="44"/>
  <c r="N3" i="65"/>
  <c r="N4" i="65"/>
  <c r="I6" i="65"/>
  <c r="J3" i="65"/>
  <c r="J4" i="65"/>
  <c r="J7" i="65"/>
  <c r="F8" i="44"/>
  <c r="F15" i="44"/>
  <c r="F38" i="44"/>
  <c r="F43" i="44"/>
  <c r="M26" i="44"/>
  <c r="M11" i="44"/>
  <c r="C19" i="44"/>
  <c r="F39" i="44"/>
  <c r="M31" i="44"/>
  <c r="C18" i="44"/>
  <c r="N6" i="65"/>
  <c r="Q73" i="44"/>
  <c r="C8" i="44"/>
  <c r="J1" i="65"/>
  <c r="C4" i="65"/>
  <c r="B39" i="1"/>
  <c r="C29" i="44"/>
  <c r="J8" i="44"/>
  <c r="E20" i="46"/>
  <c r="G28" i="6"/>
  <c r="O7" i="1"/>
  <c r="P7" i="1"/>
  <c r="C15" i="43"/>
  <c r="C95" i="9"/>
  <c r="C92" i="9"/>
  <c r="C15" i="12"/>
  <c r="C25" i="12"/>
  <c r="C25" i="59"/>
  <c r="D24" i="59"/>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95"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299" i="3"/>
  <c r="E327" i="3"/>
  <c r="E548" i="3"/>
  <c r="Z6" i="3"/>
  <c r="E454" i="3"/>
  <c r="E520" i="3"/>
  <c r="AK6" i="3"/>
  <c r="E297" i="3"/>
  <c r="E411" i="3"/>
  <c r="E250"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66" i="3"/>
  <c r="E215" i="3"/>
  <c r="I6" i="3"/>
  <c r="H6" i="3"/>
  <c r="E103" i="3"/>
  <c r="E200" i="3"/>
  <c r="E62" i="3"/>
  <c r="E389" i="3"/>
  <c r="E230" i="3"/>
  <c r="E143" i="3"/>
  <c r="E14" i="3"/>
  <c r="G29" i="6"/>
  <c r="D58" i="21"/>
  <c r="E58" i="21"/>
  <c r="F58" i="21"/>
  <c r="G58" i="21"/>
  <c r="H58" i="21"/>
  <c r="I58" i="21"/>
  <c r="J58" i="21"/>
  <c r="K58" i="21"/>
  <c r="L58" i="21"/>
  <c r="M58" i="21"/>
  <c r="N58" i="21"/>
  <c r="O58" i="21"/>
  <c r="F7" i="21"/>
  <c r="J7" i="21"/>
  <c r="H7" i="21"/>
  <c r="D52" i="37"/>
  <c r="E52" i="37"/>
  <c r="F52" i="37"/>
  <c r="G52" i="37"/>
  <c r="H52" i="37"/>
  <c r="I52" i="37"/>
  <c r="J52" i="37"/>
  <c r="K52" i="37"/>
  <c r="L52" i="37"/>
  <c r="M52" i="37"/>
  <c r="N52" i="37"/>
  <c r="O52" i="37"/>
  <c r="F7" i="37"/>
  <c r="J7" i="37"/>
  <c r="H7" i="37"/>
  <c r="D20" i="59"/>
  <c r="C19" i="59"/>
  <c r="D19" i="59"/>
  <c r="O12" i="1"/>
  <c r="P12" i="1"/>
  <c r="O8" i="1"/>
  <c r="P8" i="1"/>
  <c r="I1" i="65"/>
  <c r="F61" i="69"/>
  <c r="I55" i="44"/>
  <c r="J61" i="44"/>
  <c r="Q50" i="44"/>
  <c r="J58" i="44"/>
  <c r="J56" i="44"/>
  <c r="J59" i="44"/>
  <c r="Q52" i="44"/>
  <c r="J60" i="44"/>
  <c r="C71" i="59"/>
  <c r="D71" i="59"/>
  <c r="D72" i="59"/>
  <c r="D64" i="59"/>
  <c r="C63" i="59"/>
  <c r="D63" i="59"/>
  <c r="P58" i="59"/>
  <c r="P59" i="59"/>
  <c r="O13" i="1"/>
  <c r="P13" i="1"/>
  <c r="AA32" i="40"/>
  <c r="S32" i="40"/>
  <c r="W32" i="40"/>
  <c r="AC32" i="40"/>
  <c r="AA33" i="40"/>
  <c r="S33" i="40"/>
  <c r="AB16" i="40"/>
  <c r="U16" i="40"/>
  <c r="AA16" i="40"/>
  <c r="S16" i="40"/>
  <c r="W34" i="36"/>
  <c r="AC34" i="36"/>
  <c r="S24" i="36"/>
  <c r="AA24" i="36"/>
  <c r="W24" i="36"/>
  <c r="AC24" i="36"/>
  <c r="AA35" i="35"/>
  <c r="S35" i="35"/>
  <c r="U25" i="35"/>
  <c r="AB25" i="35"/>
  <c r="AC25" i="35"/>
  <c r="W25" i="35"/>
  <c r="W31" i="33"/>
  <c r="AC31" i="33"/>
  <c r="F28" i="6"/>
  <c r="E11" i="6"/>
  <c r="E12" i="6"/>
  <c r="E13" i="6"/>
  <c r="E14" i="6"/>
  <c r="E15" i="6"/>
  <c r="E10" i="6"/>
  <c r="U9" i="36"/>
  <c r="AB9" i="36"/>
  <c r="W36" i="35"/>
  <c r="AC36" i="35"/>
  <c r="AC23" i="35"/>
  <c r="W23" i="35"/>
  <c r="AB13" i="35"/>
  <c r="U13" i="35"/>
  <c r="S13" i="35"/>
  <c r="AA13" i="35"/>
  <c r="U28" i="34"/>
  <c r="AB28" i="34"/>
  <c r="AA28" i="34"/>
  <c r="S28" i="34"/>
  <c r="U9" i="34"/>
  <c r="AB9" i="34"/>
  <c r="S26" i="33"/>
  <c r="AA26" i="33"/>
  <c r="AA9" i="33"/>
  <c r="S9" i="33"/>
  <c r="AA9" i="21"/>
  <c r="S9" i="21"/>
  <c r="AB29" i="33"/>
  <c r="U29" i="33"/>
  <c r="AB29" i="39"/>
  <c r="U29" i="39"/>
  <c r="AA29" i="39"/>
  <c r="S29" i="39"/>
  <c r="C31" i="43"/>
  <c r="C28" i="69"/>
  <c r="N104" i="46"/>
  <c r="N103" i="46"/>
  <c r="N105" i="46"/>
  <c r="N102" i="46"/>
  <c r="N107" i="46"/>
  <c r="N106" i="46"/>
  <c r="I109" i="46"/>
  <c r="I105" i="46"/>
  <c r="I102" i="46"/>
  <c r="I106" i="46"/>
  <c r="I104" i="46"/>
  <c r="I103" i="46"/>
  <c r="I107" i="46"/>
  <c r="F102" i="46"/>
  <c r="F103" i="46"/>
  <c r="F104" i="46"/>
  <c r="F106" i="46"/>
  <c r="F107" i="46"/>
  <c r="F105" i="46"/>
  <c r="H103" i="46"/>
  <c r="H107" i="46"/>
  <c r="H106" i="46"/>
  <c r="H102" i="46"/>
  <c r="H105" i="46"/>
  <c r="H104" i="46"/>
  <c r="G67" i="40"/>
  <c r="H65" i="40"/>
  <c r="E48" i="35"/>
  <c r="C15" i="59"/>
  <c r="D16" i="59"/>
  <c r="T45" i="59"/>
  <c r="D45" i="59"/>
  <c r="W26" i="35"/>
  <c r="AC26" i="35"/>
  <c r="AA45" i="21"/>
  <c r="S45" i="21"/>
  <c r="AA31" i="21"/>
  <c r="S31" i="21"/>
  <c r="W31" i="21"/>
  <c r="AC31" i="21"/>
  <c r="AB29" i="21"/>
  <c r="U29" i="21"/>
  <c r="S27" i="21"/>
  <c r="AA27" i="21"/>
  <c r="U27" i="21"/>
  <c r="AB27" i="21"/>
  <c r="W13" i="21"/>
  <c r="AC13" i="21"/>
  <c r="C28" i="15"/>
  <c r="T7" i="46"/>
  <c r="V7" i="46"/>
  <c r="T4" i="46"/>
  <c r="V4" i="46"/>
  <c r="T14" i="46"/>
  <c r="V14" i="46"/>
  <c r="T3" i="46"/>
  <c r="V3" i="46"/>
  <c r="T13" i="46"/>
  <c r="V13" i="46"/>
  <c r="T5" i="46"/>
  <c r="V5" i="46"/>
  <c r="T11" i="46"/>
  <c r="V11" i="46"/>
  <c r="T16" i="46"/>
  <c r="V16" i="46"/>
  <c r="T8" i="46"/>
  <c r="V8" i="46"/>
  <c r="T9" i="46"/>
  <c r="V9" i="46"/>
  <c r="T2" i="46"/>
  <c r="V2" i="46"/>
  <c r="T6" i="46"/>
  <c r="V6" i="46"/>
  <c r="C29" i="46"/>
  <c r="T10" i="46"/>
  <c r="V10" i="46"/>
  <c r="T15" i="46"/>
  <c r="V15" i="46"/>
  <c r="T12" i="46"/>
  <c r="V12" i="46"/>
  <c r="L60" i="44"/>
  <c r="X20" i="1"/>
  <c r="X21" i="1"/>
  <c r="X22" i="1"/>
  <c r="X23" i="1"/>
  <c r="X24" i="1"/>
  <c r="AZ13" i="3"/>
  <c r="BA5" i="3"/>
  <c r="BL5" i="3"/>
  <c r="M6" i="1"/>
  <c r="AP16" i="1"/>
  <c r="F22" i="11"/>
  <c r="H16" i="1"/>
  <c r="Q16" i="1"/>
  <c r="D12" i="11"/>
  <c r="C12" i="11"/>
  <c r="D21" i="12"/>
  <c r="C21" i="12"/>
  <c r="D58" i="33"/>
  <c r="E58" i="33"/>
  <c r="F58" i="33"/>
  <c r="G58" i="33"/>
  <c r="H58" i="33"/>
  <c r="I58" i="33"/>
  <c r="J58" i="33"/>
  <c r="K58" i="33"/>
  <c r="L58" i="33"/>
  <c r="M58" i="33"/>
  <c r="N58" i="33"/>
  <c r="O58" i="33"/>
  <c r="F7" i="33"/>
  <c r="J7" i="33"/>
  <c r="H7" i="33"/>
  <c r="D46" i="36"/>
  <c r="E46" i="36"/>
  <c r="F46" i="36"/>
  <c r="G46" i="36"/>
  <c r="H46" i="36"/>
  <c r="I46" i="36"/>
  <c r="J46" i="36"/>
  <c r="K46" i="36"/>
  <c r="L46" i="36"/>
  <c r="M46" i="36"/>
  <c r="N46" i="36"/>
  <c r="O46" i="36"/>
  <c r="F7" i="36"/>
  <c r="H7" i="36"/>
  <c r="J7" i="36"/>
  <c r="E12" i="59"/>
  <c r="E11" i="59"/>
  <c r="E10" i="59"/>
  <c r="E9" i="59"/>
  <c r="U13" i="59"/>
  <c r="D76" i="59"/>
  <c r="C75" i="59"/>
  <c r="D75" i="59"/>
  <c r="O60" i="59"/>
  <c r="D60" i="59"/>
  <c r="C59" i="59"/>
  <c r="G16" i="1"/>
  <c r="F61" i="15"/>
  <c r="F61" i="68"/>
  <c r="E8" i="6"/>
  <c r="O41" i="9"/>
  <c r="R8" i="54"/>
  <c r="B54" i="63"/>
  <c r="F46" i="9"/>
  <c r="K33" i="9"/>
  <c r="K34" i="9"/>
  <c r="E46" i="9"/>
  <c r="I14" i="66"/>
  <c r="B8" i="66"/>
  <c r="T29" i="59"/>
  <c r="D29" i="59"/>
  <c r="B20" i="31"/>
  <c r="R22" i="31"/>
  <c r="B21" i="31"/>
  <c r="AB32" i="40"/>
  <c r="U32" i="40"/>
  <c r="AC33" i="40"/>
  <c r="W33" i="40"/>
  <c r="U33" i="40"/>
  <c r="AB33" i="40"/>
  <c r="AC16" i="40"/>
  <c r="W16" i="40"/>
  <c r="AC21" i="39"/>
  <c r="W21" i="39"/>
  <c r="S34" i="36"/>
  <c r="AA34" i="36"/>
  <c r="U34" i="36"/>
  <c r="AB34" i="36"/>
  <c r="U24" i="36"/>
  <c r="AB24" i="36"/>
  <c r="AB35" i="35"/>
  <c r="U35" i="35"/>
  <c r="AC35" i="35"/>
  <c r="W35" i="35"/>
  <c r="S25" i="35"/>
  <c r="AA25" i="35"/>
  <c r="AB31" i="33"/>
  <c r="U31" i="33"/>
  <c r="S31" i="33"/>
  <c r="AA31" i="33"/>
  <c r="F29" i="6"/>
  <c r="E29" i="6"/>
  <c r="S9" i="59"/>
  <c r="B8" i="59"/>
  <c r="B7" i="59"/>
  <c r="B6" i="59"/>
  <c r="B5" i="59"/>
  <c r="N109" i="46"/>
  <c r="S9" i="36"/>
  <c r="AA9" i="36"/>
  <c r="W9" i="36"/>
  <c r="AC9" i="36"/>
  <c r="U36" i="35"/>
  <c r="AB36" i="35"/>
  <c r="U23" i="35"/>
  <c r="AB23" i="35"/>
  <c r="W13" i="35"/>
  <c r="AC13" i="35"/>
  <c r="W28" i="34"/>
  <c r="AC28" i="34"/>
  <c r="S9" i="34"/>
  <c r="AA9" i="34"/>
  <c r="AC9" i="34"/>
  <c r="W9" i="34"/>
  <c r="U26" i="33"/>
  <c r="AB26" i="33"/>
  <c r="W26" i="33"/>
  <c r="AC26" i="33"/>
  <c r="AB9" i="21"/>
  <c r="U9" i="21"/>
  <c r="W13" i="33"/>
  <c r="AC13" i="33"/>
  <c r="W29" i="39"/>
  <c r="AC29" i="39"/>
  <c r="C27" i="43"/>
  <c r="C28" i="68"/>
  <c r="C30" i="44"/>
  <c r="J106" i="46"/>
  <c r="J104" i="46"/>
  <c r="J105" i="46"/>
  <c r="J107" i="46"/>
  <c r="J103" i="46"/>
  <c r="J102" i="46"/>
  <c r="M104" i="46"/>
  <c r="M109" i="46"/>
  <c r="M106" i="46"/>
  <c r="M105" i="46"/>
  <c r="M107" i="46"/>
  <c r="M103" i="46"/>
  <c r="M102" i="46"/>
  <c r="D107" i="46"/>
  <c r="D102" i="46"/>
  <c r="D105" i="46"/>
  <c r="D104" i="46"/>
  <c r="D106" i="46"/>
  <c r="D103" i="46"/>
  <c r="C7" i="46"/>
  <c r="J70" i="39"/>
  <c r="I72" i="39"/>
  <c r="F59" i="34"/>
  <c r="V9" i="59"/>
  <c r="F8" i="59"/>
  <c r="F7" i="59"/>
  <c r="F6" i="59"/>
  <c r="F5" i="59"/>
  <c r="V5" i="59"/>
  <c r="T53" i="59"/>
  <c r="D53" i="59"/>
  <c r="U26" i="35"/>
  <c r="AB26" i="35"/>
  <c r="U45" i="21"/>
  <c r="AB45" i="21"/>
  <c r="AC45" i="21"/>
  <c r="W45" i="21"/>
  <c r="AB31" i="21"/>
  <c r="U31" i="21"/>
  <c r="S29" i="21"/>
  <c r="AA29" i="21"/>
  <c r="AC29" i="21"/>
  <c r="W29" i="21"/>
  <c r="AC27" i="21"/>
  <c r="W27" i="21"/>
  <c r="S13" i="21"/>
  <c r="AA13" i="21"/>
  <c r="U13" i="21"/>
  <c r="AB13" i="21"/>
  <c r="C36" i="46"/>
  <c r="C38" i="46"/>
  <c r="C37" i="46"/>
  <c r="C34" i="46"/>
  <c r="C33" i="46"/>
  <c r="C39" i="46"/>
  <c r="C35" i="46"/>
  <c r="D113" i="46"/>
  <c r="Q62" i="44"/>
  <c r="Q75" i="44"/>
  <c r="J54" i="44"/>
  <c r="L47" i="44"/>
  <c r="L57" i="44"/>
  <c r="B4" i="67"/>
  <c r="B3" i="67"/>
  <c r="E3" i="65"/>
  <c r="F6" i="69"/>
  <c r="F36" i="69"/>
  <c r="F37" i="69"/>
  <c r="F42" i="69"/>
  <c r="F9" i="69"/>
  <c r="F43" i="69"/>
  <c r="F40" i="69"/>
  <c r="J36" i="69"/>
  <c r="M27" i="69"/>
  <c r="M22" i="69"/>
  <c r="M23" i="69"/>
  <c r="F8" i="69"/>
  <c r="M28" i="69"/>
  <c r="M26" i="69"/>
  <c r="F9" i="68"/>
  <c r="F16" i="68"/>
  <c r="F36" i="68"/>
  <c r="F37" i="68"/>
  <c r="F42" i="68"/>
  <c r="M6" i="68"/>
  <c r="L47" i="68"/>
  <c r="F26" i="68"/>
  <c r="M8" i="68"/>
  <c r="M27" i="68"/>
  <c r="M22" i="68"/>
  <c r="M23" i="68"/>
  <c r="M9" i="68"/>
  <c r="M28" i="68"/>
  <c r="F7" i="68"/>
  <c r="E2" i="65"/>
  <c r="F7" i="15"/>
  <c r="F43" i="15"/>
  <c r="F13" i="15"/>
  <c r="F38" i="15"/>
  <c r="L48" i="15"/>
  <c r="M9" i="15"/>
  <c r="F40" i="15"/>
  <c r="F9" i="15"/>
  <c r="J15" i="15"/>
  <c r="M29" i="15"/>
  <c r="M22" i="15"/>
  <c r="M27" i="15"/>
  <c r="J36" i="15"/>
  <c r="F7" i="69"/>
  <c r="F13" i="69"/>
  <c r="F38" i="69"/>
  <c r="L48" i="69"/>
  <c r="M6" i="69"/>
  <c r="F26" i="69"/>
  <c r="M8" i="69"/>
  <c r="M29" i="69"/>
  <c r="J15" i="69"/>
  <c r="M24" i="69"/>
  <c r="L47" i="69"/>
  <c r="M9" i="69"/>
  <c r="F16" i="69"/>
  <c r="F6" i="68"/>
  <c r="F43" i="68"/>
  <c r="F13" i="68"/>
  <c r="F38" i="68"/>
  <c r="F8" i="68"/>
  <c r="F40" i="68"/>
  <c r="M29" i="68"/>
  <c r="J15" i="68"/>
  <c r="M24" i="68"/>
  <c r="J36" i="68"/>
  <c r="L48" i="68"/>
  <c r="M26" i="68"/>
  <c r="F8" i="15"/>
  <c r="F16" i="15"/>
  <c r="F36" i="15"/>
  <c r="F37" i="15"/>
  <c r="F42" i="15"/>
  <c r="M8" i="15"/>
  <c r="F6" i="15"/>
  <c r="F26" i="15"/>
  <c r="M6" i="15"/>
  <c r="M26" i="15"/>
  <c r="L47" i="15"/>
  <c r="M23" i="15"/>
  <c r="M28" i="15"/>
  <c r="M24" i="15"/>
  <c r="L59" i="15"/>
  <c r="L58" i="15"/>
  <c r="C27" i="15"/>
  <c r="C6" i="15"/>
  <c r="F64" i="15"/>
  <c r="F63" i="15"/>
  <c r="F50" i="15"/>
  <c r="L57" i="68"/>
  <c r="L60" i="68"/>
  <c r="J53" i="68"/>
  <c r="L56" i="68"/>
  <c r="J57" i="68"/>
  <c r="J55" i="68"/>
  <c r="J58" i="68"/>
  <c r="Q51" i="68"/>
  <c r="J59" i="68"/>
  <c r="J60" i="68"/>
  <c r="Q49" i="68"/>
  <c r="I54" i="68"/>
  <c r="Q72" i="68"/>
  <c r="F67" i="68"/>
  <c r="F50" i="68"/>
  <c r="F65" i="68"/>
  <c r="F70" i="68"/>
  <c r="C6" i="68"/>
  <c r="L58" i="69"/>
  <c r="L59" i="69"/>
  <c r="C27" i="69"/>
  <c r="L57" i="69"/>
  <c r="L56" i="69"/>
  <c r="J53" i="69"/>
  <c r="L60" i="69"/>
  <c r="I54" i="69"/>
  <c r="J60" i="69"/>
  <c r="Q49" i="69"/>
  <c r="J57" i="69"/>
  <c r="J55" i="69"/>
  <c r="J58" i="69"/>
  <c r="Q51" i="69"/>
  <c r="J59" i="69"/>
  <c r="F65" i="69"/>
  <c r="M7" i="69"/>
  <c r="J6" i="69"/>
  <c r="F49" i="69"/>
  <c r="Q72" i="15"/>
  <c r="F67" i="15"/>
  <c r="L57" i="15"/>
  <c r="L60" i="15"/>
  <c r="L56" i="15"/>
  <c r="J60" i="15"/>
  <c r="Q49" i="15"/>
  <c r="I54" i="15"/>
  <c r="J57" i="15"/>
  <c r="J55" i="15"/>
  <c r="J58" i="15"/>
  <c r="Q51" i="15"/>
  <c r="J59" i="15"/>
  <c r="J53" i="15"/>
  <c r="F65" i="15"/>
  <c r="F70" i="15"/>
  <c r="F49" i="15"/>
  <c r="M7" i="15"/>
  <c r="J6" i="15"/>
  <c r="B40" i="1"/>
  <c r="M7" i="68"/>
  <c r="J6" i="68"/>
  <c r="F49" i="68"/>
  <c r="C27" i="68"/>
  <c r="L59" i="68"/>
  <c r="L58" i="68"/>
  <c r="F64" i="68"/>
  <c r="F63" i="68"/>
  <c r="F50" i="69"/>
  <c r="Q72" i="69"/>
  <c r="F67" i="69"/>
  <c r="F70" i="69"/>
  <c r="F64" i="69"/>
  <c r="F63" i="69"/>
  <c r="C6" i="69"/>
  <c r="F17" i="11"/>
  <c r="F1" i="44"/>
  <c r="Q54" i="44"/>
  <c r="G35" i="46"/>
  <c r="I35" i="46"/>
  <c r="E35" i="46"/>
  <c r="E33" i="46"/>
  <c r="G33" i="46"/>
  <c r="I33" i="46"/>
  <c r="G37" i="46"/>
  <c r="I37" i="46"/>
  <c r="E37" i="46"/>
  <c r="G36" i="46"/>
  <c r="I36" i="46"/>
  <c r="E36" i="46"/>
  <c r="G59" i="34"/>
  <c r="H59" i="34"/>
  <c r="I59" i="34"/>
  <c r="J59" i="34"/>
  <c r="K59" i="34"/>
  <c r="L59" i="34"/>
  <c r="M59" i="34"/>
  <c r="N59" i="34"/>
  <c r="O59" i="34"/>
  <c r="F7" i="34"/>
  <c r="H7" i="34"/>
  <c r="S5" i="59"/>
  <c r="K15" i="1"/>
  <c r="F12" i="39"/>
  <c r="J12" i="39"/>
  <c r="J12" i="40"/>
  <c r="F12" i="40"/>
  <c r="H12" i="39"/>
  <c r="H12" i="40"/>
  <c r="AC7" i="36"/>
  <c r="V36" i="36"/>
  <c r="I36" i="36"/>
  <c r="W7" i="36"/>
  <c r="AA7" i="36"/>
  <c r="R36" i="36"/>
  <c r="S7" i="36"/>
  <c r="U7" i="33"/>
  <c r="AB7" i="33"/>
  <c r="T48" i="33"/>
  <c r="G48" i="33"/>
  <c r="AA7" i="33"/>
  <c r="R48" i="33"/>
  <c r="S7" i="33"/>
  <c r="BL6" i="3"/>
  <c r="AZ5" i="3"/>
  <c r="AY13" i="3"/>
  <c r="C14" i="59"/>
  <c r="D15" i="59"/>
  <c r="F48" i="35"/>
  <c r="G48" i="35"/>
  <c r="H48" i="35"/>
  <c r="I48" i="35"/>
  <c r="J48" i="35"/>
  <c r="K48" i="35"/>
  <c r="L48" i="35"/>
  <c r="M48" i="35"/>
  <c r="N48" i="35"/>
  <c r="O48" i="35"/>
  <c r="J7" i="35"/>
  <c r="E61" i="40"/>
  <c r="E66" i="39"/>
  <c r="E64" i="39"/>
  <c r="E59" i="40"/>
  <c r="E28" i="6"/>
  <c r="F30" i="6"/>
  <c r="U7" i="37"/>
  <c r="AB7" i="37"/>
  <c r="T42" i="37"/>
  <c r="G42" i="37"/>
  <c r="S7" i="37"/>
  <c r="AA7" i="37"/>
  <c r="R42" i="37"/>
  <c r="AB7" i="21"/>
  <c r="T48" i="21"/>
  <c r="G48" i="21"/>
  <c r="U7" i="21"/>
  <c r="S7" i="21"/>
  <c r="AA7" i="21"/>
  <c r="R48" i="21"/>
  <c r="M28" i="46"/>
  <c r="O28" i="46"/>
  <c r="N28" i="46"/>
  <c r="P28" i="46"/>
  <c r="J20" i="44"/>
  <c r="F11" i="69"/>
  <c r="M11" i="69"/>
  <c r="J10" i="69"/>
  <c r="F11" i="15"/>
  <c r="C52" i="15"/>
  <c r="M11" i="15"/>
  <c r="J10" i="15"/>
  <c r="F11" i="68"/>
  <c r="C52" i="68"/>
  <c r="M11" i="68"/>
  <c r="J10" i="68"/>
  <c r="M13" i="44"/>
  <c r="J12" i="44"/>
  <c r="J7" i="44"/>
  <c r="F13" i="44"/>
  <c r="C12" i="44"/>
  <c r="C7" i="44"/>
  <c r="C34" i="44"/>
  <c r="E39" i="46"/>
  <c r="G39" i="46"/>
  <c r="I39" i="46"/>
  <c r="G34" i="46"/>
  <c r="I34" i="46"/>
  <c r="E34" i="46"/>
  <c r="E38" i="46"/>
  <c r="G38" i="46"/>
  <c r="I38" i="46"/>
  <c r="J7" i="34"/>
  <c r="F7" i="35"/>
  <c r="K70" i="39"/>
  <c r="J72" i="39"/>
  <c r="D8" i="66"/>
  <c r="F27" i="6"/>
  <c r="F31" i="6"/>
  <c r="E58" i="39"/>
  <c r="E53" i="40"/>
  <c r="E16" i="6"/>
  <c r="O59" i="59"/>
  <c r="O58" i="59"/>
  <c r="D59" i="59"/>
  <c r="U9" i="59"/>
  <c r="E8" i="59"/>
  <c r="E7" i="59"/>
  <c r="E6" i="59"/>
  <c r="E5" i="59"/>
  <c r="U5" i="59"/>
  <c r="AB7" i="36"/>
  <c r="T36" i="36"/>
  <c r="G36" i="36"/>
  <c r="U7" i="36"/>
  <c r="AC7" i="33"/>
  <c r="V48" i="33"/>
  <c r="I48" i="33"/>
  <c r="W7" i="33"/>
  <c r="F33" i="12"/>
  <c r="C34" i="12"/>
  <c r="D33" i="12"/>
  <c r="F24" i="43"/>
  <c r="C26" i="43"/>
  <c r="D24" i="43"/>
  <c r="O6" i="1"/>
  <c r="E27" i="6"/>
  <c r="BA6" i="3"/>
  <c r="V25" i="1"/>
  <c r="Q76" i="44"/>
  <c r="Q63" i="44"/>
  <c r="C30" i="46"/>
  <c r="E30" i="46"/>
  <c r="C27" i="46"/>
  <c r="E29" i="46"/>
  <c r="C26" i="46"/>
  <c r="B2" i="46"/>
  <c r="H7" i="35"/>
  <c r="I65" i="40"/>
  <c r="H67" i="40"/>
  <c r="E62" i="40"/>
  <c r="E67" i="39"/>
  <c r="E60" i="40"/>
  <c r="E65" i="39"/>
  <c r="E58" i="40"/>
  <c r="E63" i="39"/>
  <c r="AC7" i="37"/>
  <c r="V42" i="37"/>
  <c r="I42" i="37"/>
  <c r="W7" i="37"/>
  <c r="W7" i="21"/>
  <c r="AC7" i="21"/>
  <c r="V48" i="21"/>
  <c r="I48" i="21"/>
  <c r="AC6" i="3"/>
  <c r="E6" i="3"/>
  <c r="T25" i="59"/>
  <c r="D25" i="59"/>
  <c r="G30" i="6"/>
  <c r="G31" i="6"/>
  <c r="C16" i="69"/>
  <c r="C16" i="68"/>
  <c r="C16" i="15"/>
  <c r="C48" i="69"/>
  <c r="J28" i="44"/>
  <c r="J31" i="44"/>
  <c r="J26" i="44"/>
  <c r="J5" i="69"/>
  <c r="J18" i="69"/>
  <c r="J5" i="15"/>
  <c r="J18" i="15"/>
  <c r="I52" i="21"/>
  <c r="J52" i="21"/>
  <c r="W7" i="34"/>
  <c r="AC7" i="34"/>
  <c r="V49" i="34"/>
  <c r="I49" i="34"/>
  <c r="C40" i="44"/>
  <c r="C10" i="69"/>
  <c r="C5" i="69"/>
  <c r="C52" i="69"/>
  <c r="R49" i="21"/>
  <c r="E48" i="21"/>
  <c r="R43" i="37"/>
  <c r="E42" i="37"/>
  <c r="G46" i="37"/>
  <c r="H46" i="37"/>
  <c r="G47" i="37"/>
  <c r="H47" i="37"/>
  <c r="K19" i="6"/>
  <c r="K20" i="6"/>
  <c r="K21" i="6"/>
  <c r="K26" i="6"/>
  <c r="M26" i="6"/>
  <c r="I26" i="6"/>
  <c r="K24" i="6"/>
  <c r="M24" i="6"/>
  <c r="I24" i="6"/>
  <c r="K22" i="6"/>
  <c r="M22" i="6"/>
  <c r="I22" i="6"/>
  <c r="E30" i="6"/>
  <c r="K23" i="6"/>
  <c r="M23" i="6"/>
  <c r="I23" i="6"/>
  <c r="K25" i="6"/>
  <c r="M25" i="6"/>
  <c r="I25" i="6"/>
  <c r="K14" i="1"/>
  <c r="W7" i="35"/>
  <c r="AC7" i="35"/>
  <c r="V38" i="35"/>
  <c r="I38" i="35"/>
  <c r="G52" i="33"/>
  <c r="H52" i="33"/>
  <c r="G53" i="33"/>
  <c r="H53" i="33"/>
  <c r="U12" i="40"/>
  <c r="AB12" i="40"/>
  <c r="AA12" i="40"/>
  <c r="S12" i="40"/>
  <c r="W12" i="39"/>
  <c r="AC12" i="39"/>
  <c r="AA7" i="34"/>
  <c r="R49" i="34"/>
  <c r="S7" i="34"/>
  <c r="J18" i="68"/>
  <c r="J5" i="68"/>
  <c r="Q75" i="68"/>
  <c r="Q62" i="68"/>
  <c r="F24" i="69"/>
  <c r="C24" i="69"/>
  <c r="F24" i="68"/>
  <c r="C24" i="68"/>
  <c r="F24" i="15"/>
  <c r="C24" i="15"/>
  <c r="F26" i="44"/>
  <c r="C26" i="44"/>
  <c r="F26" i="12"/>
  <c r="C27" i="12"/>
  <c r="D26" i="12"/>
  <c r="C32" i="12"/>
  <c r="D30" i="12"/>
  <c r="F21" i="43"/>
  <c r="C23" i="43"/>
  <c r="D21" i="43"/>
  <c r="F1" i="15"/>
  <c r="Q53" i="15"/>
  <c r="Q58" i="15"/>
  <c r="Q67" i="15"/>
  <c r="F1" i="69"/>
  <c r="Q53" i="69"/>
  <c r="Q74" i="69"/>
  <c r="Q61" i="69"/>
  <c r="C33" i="68"/>
  <c r="C32" i="68"/>
  <c r="C10" i="68"/>
  <c r="C5" i="68"/>
  <c r="C48" i="68"/>
  <c r="C47" i="68"/>
  <c r="F1" i="68"/>
  <c r="Q53" i="68"/>
  <c r="Q74" i="15"/>
  <c r="Q61" i="15"/>
  <c r="AB7" i="35"/>
  <c r="T38" i="35"/>
  <c r="G38" i="35"/>
  <c r="U7" i="35"/>
  <c r="P6" i="1"/>
  <c r="I52" i="33"/>
  <c r="J52" i="33"/>
  <c r="G41" i="36"/>
  <c r="H41" i="36"/>
  <c r="G40" i="36"/>
  <c r="H40" i="36"/>
  <c r="L70" i="39"/>
  <c r="K72" i="39"/>
  <c r="I46" i="37"/>
  <c r="J46" i="37"/>
  <c r="I47" i="37"/>
  <c r="J47" i="37"/>
  <c r="J65" i="40"/>
  <c r="I67" i="40"/>
  <c r="B3" i="46"/>
  <c r="D4" i="46"/>
  <c r="B4" i="46"/>
  <c r="E31" i="6"/>
  <c r="E68" i="39"/>
  <c r="AA7" i="35"/>
  <c r="R38" i="35"/>
  <c r="S7" i="35"/>
  <c r="G52" i="21"/>
  <c r="H52" i="21"/>
  <c r="G53" i="21"/>
  <c r="H53" i="21"/>
  <c r="C13" i="59"/>
  <c r="D14" i="59"/>
  <c r="E3" i="6"/>
  <c r="BO6" i="3"/>
  <c r="BG6" i="3"/>
  <c r="AY33" i="3"/>
  <c r="AY97" i="3"/>
  <c r="AY161" i="3"/>
  <c r="AY225" i="3"/>
  <c r="AY289" i="3"/>
  <c r="AY353" i="3"/>
  <c r="AY61" i="3"/>
  <c r="AY189" i="3"/>
  <c r="AY317" i="3"/>
  <c r="AY413" i="3"/>
  <c r="AY477" i="3"/>
  <c r="AY541" i="3"/>
  <c r="AY181" i="3"/>
  <c r="AY309" i="3"/>
  <c r="AY449" i="3"/>
  <c r="AY425" i="3"/>
  <c r="AY553" i="3"/>
  <c r="AY81" i="3"/>
  <c r="AY145" i="3"/>
  <c r="AY209" i="3"/>
  <c r="AY273" i="3"/>
  <c r="AY337" i="3"/>
  <c r="AY45" i="3"/>
  <c r="AY157" i="3"/>
  <c r="AY285" i="3"/>
  <c r="AY397" i="3"/>
  <c r="AY461" i="3"/>
  <c r="AY525" i="3"/>
  <c r="AY85" i="3"/>
  <c r="AY213" i="3"/>
  <c r="AY341" i="3"/>
  <c r="AY481" i="3"/>
  <c r="AY393" i="3"/>
  <c r="AY521" i="3"/>
  <c r="AY14" i="3"/>
  <c r="AY22" i="3"/>
  <c r="AY30" i="3"/>
  <c r="AY38" i="3"/>
  <c r="AY46" i="3"/>
  <c r="AY54" i="3"/>
  <c r="AY62" i="3"/>
  <c r="AY70" i="3"/>
  <c r="AY78" i="3"/>
  <c r="AY86" i="3"/>
  <c r="AY94" i="3"/>
  <c r="AY102" i="3"/>
  <c r="AY110" i="3"/>
  <c r="AY118" i="3"/>
  <c r="AY126" i="3"/>
  <c r="AY134" i="3"/>
  <c r="AY142" i="3"/>
  <c r="AY150" i="3"/>
  <c r="AY158" i="3"/>
  <c r="AY166" i="3"/>
  <c r="AY174" i="3"/>
  <c r="AY182" i="3"/>
  <c r="AY190" i="3"/>
  <c r="AY198" i="3"/>
  <c r="AY206" i="3"/>
  <c r="AY214" i="3"/>
  <c r="AY222" i="3"/>
  <c r="AY230" i="3"/>
  <c r="AY238" i="3"/>
  <c r="AY246" i="3"/>
  <c r="AY254" i="3"/>
  <c r="AY262" i="3"/>
  <c r="AY270" i="3"/>
  <c r="AY278" i="3"/>
  <c r="AY286" i="3"/>
  <c r="AY294" i="3"/>
  <c r="AY302" i="3"/>
  <c r="AY310" i="3"/>
  <c r="AY318" i="3"/>
  <c r="AY326" i="3"/>
  <c r="AY334" i="3"/>
  <c r="AY342" i="3"/>
  <c r="AY350" i="3"/>
  <c r="AY358" i="3"/>
  <c r="AY366" i="3"/>
  <c r="AY374" i="3"/>
  <c r="BF6" i="3"/>
  <c r="BP6" i="3"/>
  <c r="AY32" i="3"/>
  <c r="AY48" i="3"/>
  <c r="AY64" i="3"/>
  <c r="AY80" i="3"/>
  <c r="AY96" i="3"/>
  <c r="AY112" i="3"/>
  <c r="AY128" i="3"/>
  <c r="AY144" i="3"/>
  <c r="AY160" i="3"/>
  <c r="AY176" i="3"/>
  <c r="AY192" i="3"/>
  <c r="AY208" i="3"/>
  <c r="AY224" i="3"/>
  <c r="AY240" i="3"/>
  <c r="AY256" i="3"/>
  <c r="AY272" i="3"/>
  <c r="AY288" i="3"/>
  <c r="AY304" i="3"/>
  <c r="AY320" i="3"/>
  <c r="AY336" i="3"/>
  <c r="AY352" i="3"/>
  <c r="AY368" i="3"/>
  <c r="AY382" i="3"/>
  <c r="AY390" i="3"/>
  <c r="AY398" i="3"/>
  <c r="AY406" i="3"/>
  <c r="AY414" i="3"/>
  <c r="AY422" i="3"/>
  <c r="AY430" i="3"/>
  <c r="AY438" i="3"/>
  <c r="AY446" i="3"/>
  <c r="AY454" i="3"/>
  <c r="AY462" i="3"/>
  <c r="AY470" i="3"/>
  <c r="AY478" i="3"/>
  <c r="AY486" i="3"/>
  <c r="AY494" i="3"/>
  <c r="AY502" i="3"/>
  <c r="AY510" i="3"/>
  <c r="AY518" i="3"/>
  <c r="AY526" i="3"/>
  <c r="AY534" i="3"/>
  <c r="AY542" i="3"/>
  <c r="AY550" i="3"/>
  <c r="AY558" i="3"/>
  <c r="AY566" i="3"/>
  <c r="AY21" i="3"/>
  <c r="AY37" i="3"/>
  <c r="AY53" i="3"/>
  <c r="BI6" i="3"/>
  <c r="AY92" i="3"/>
  <c r="AY124" i="3"/>
  <c r="AY156" i="3"/>
  <c r="AY188" i="3"/>
  <c r="AY220" i="3"/>
  <c r="AY252" i="3"/>
  <c r="AY284" i="3"/>
  <c r="AY316" i="3"/>
  <c r="AY348" i="3"/>
  <c r="AY380" i="3"/>
  <c r="AY396" i="3"/>
  <c r="AY412" i="3"/>
  <c r="AY428" i="3"/>
  <c r="AY444" i="3"/>
  <c r="AY460" i="3"/>
  <c r="AY476" i="3"/>
  <c r="AY492" i="3"/>
  <c r="AY508" i="3"/>
  <c r="AY524" i="3"/>
  <c r="AY540" i="3"/>
  <c r="AY556" i="3"/>
  <c r="AY572" i="3"/>
  <c r="BQ6" i="3"/>
  <c r="AY84" i="3"/>
  <c r="AY116" i="3"/>
  <c r="AY148" i="3"/>
  <c r="AY180" i="3"/>
  <c r="AY212" i="3"/>
  <c r="AY244" i="3"/>
  <c r="AY276" i="3"/>
  <c r="AY308" i="3"/>
  <c r="AY340" i="3"/>
  <c r="AY372" i="3"/>
  <c r="AY416" i="3"/>
  <c r="AY448" i="3"/>
  <c r="AY480" i="3"/>
  <c r="AY512" i="3"/>
  <c r="AY544" i="3"/>
  <c r="AY409" i="3"/>
  <c r="AY441" i="3"/>
  <c r="AY473" i="3"/>
  <c r="AY505" i="3"/>
  <c r="AY537" i="3"/>
  <c r="AY569" i="3"/>
  <c r="AY15"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359" i="3"/>
  <c r="AY367" i="3"/>
  <c r="AY375" i="3"/>
  <c r="BD6" i="3"/>
  <c r="AY17" i="3"/>
  <c r="AY40" i="3"/>
  <c r="AY72" i="3"/>
  <c r="AY104" i="3"/>
  <c r="AY136" i="3"/>
  <c r="AY168" i="3"/>
  <c r="AY200" i="3"/>
  <c r="AY232" i="3"/>
  <c r="AY264" i="3"/>
  <c r="AY296" i="3"/>
  <c r="AY328" i="3"/>
  <c r="AY360" i="3"/>
  <c r="AY383" i="3"/>
  <c r="AY391" i="3"/>
  <c r="AY399" i="3"/>
  <c r="AY407" i="3"/>
  <c r="AY415" i="3"/>
  <c r="AY423" i="3"/>
  <c r="AY431" i="3"/>
  <c r="AY439" i="3"/>
  <c r="AY447" i="3"/>
  <c r="AY455" i="3"/>
  <c r="AY463" i="3"/>
  <c r="AY471" i="3"/>
  <c r="AY479" i="3"/>
  <c r="AY487" i="3"/>
  <c r="AY495" i="3"/>
  <c r="AY503" i="3"/>
  <c r="AY511" i="3"/>
  <c r="AY519" i="3"/>
  <c r="AY527" i="3"/>
  <c r="AY535" i="3"/>
  <c r="AY543" i="3"/>
  <c r="AY551" i="3"/>
  <c r="AY559" i="3"/>
  <c r="AY567" i="3"/>
  <c r="AY36" i="3"/>
  <c r="BE6" i="3"/>
  <c r="AY108" i="3"/>
  <c r="AY172" i="3"/>
  <c r="AY236" i="3"/>
  <c r="AY300" i="3"/>
  <c r="AY364" i="3"/>
  <c r="AY404" i="3"/>
  <c r="AY436" i="3"/>
  <c r="AY468" i="3"/>
  <c r="AY500" i="3"/>
  <c r="AY532" i="3"/>
  <c r="AY564" i="3"/>
  <c r="BM6" i="3"/>
  <c r="AY100" i="3"/>
  <c r="AY164" i="3"/>
  <c r="AY228" i="3"/>
  <c r="AY292" i="3"/>
  <c r="AY356" i="3"/>
  <c r="BK6" i="3"/>
  <c r="AY400" i="3"/>
  <c r="AY464" i="3"/>
  <c r="AY528" i="3"/>
  <c r="AY408" i="3"/>
  <c r="AY472" i="3"/>
  <c r="AY536" i="3"/>
  <c r="AY65" i="3"/>
  <c r="AY129" i="3"/>
  <c r="AY193" i="3"/>
  <c r="AY257" i="3"/>
  <c r="AY321" i="3"/>
  <c r="AY29" i="3"/>
  <c r="AY125" i="3"/>
  <c r="AY253" i="3"/>
  <c r="AY381" i="3"/>
  <c r="AY445" i="3"/>
  <c r="AY509" i="3"/>
  <c r="AY117" i="3"/>
  <c r="AY245" i="3"/>
  <c r="AY373" i="3"/>
  <c r="AY513" i="3"/>
  <c r="AY489" i="3"/>
  <c r="AY49" i="3"/>
  <c r="AY113" i="3"/>
  <c r="AY177" i="3"/>
  <c r="AY241" i="3"/>
  <c r="AY305" i="3"/>
  <c r="AY369" i="3"/>
  <c r="AY93" i="3"/>
  <c r="AY221" i="3"/>
  <c r="AY349" i="3"/>
  <c r="AY429" i="3"/>
  <c r="AY493" i="3"/>
  <c r="AY557" i="3"/>
  <c r="AY149" i="3"/>
  <c r="AY277" i="3"/>
  <c r="AY417" i="3"/>
  <c r="AY545" i="3"/>
  <c r="AY457" i="3"/>
  <c r="BC6" i="3"/>
  <c r="BR6" i="3"/>
  <c r="AY18" i="3"/>
  <c r="AY26" i="3"/>
  <c r="AY34" i="3"/>
  <c r="AY42" i="3"/>
  <c r="AY50" i="3"/>
  <c r="AY58" i="3"/>
  <c r="AY66" i="3"/>
  <c r="AY74" i="3"/>
  <c r="AY82" i="3"/>
  <c r="AY90" i="3"/>
  <c r="AY98" i="3"/>
  <c r="AY106" i="3"/>
  <c r="AY114" i="3"/>
  <c r="AY122" i="3"/>
  <c r="AY130" i="3"/>
  <c r="AY138" i="3"/>
  <c r="AY146" i="3"/>
  <c r="AY154" i="3"/>
  <c r="AY162" i="3"/>
  <c r="AY170" i="3"/>
  <c r="AY178" i="3"/>
  <c r="AY186" i="3"/>
  <c r="AY194" i="3"/>
  <c r="AY202" i="3"/>
  <c r="AY210" i="3"/>
  <c r="AY218" i="3"/>
  <c r="AY226" i="3"/>
  <c r="AY234" i="3"/>
  <c r="AY242" i="3"/>
  <c r="AY250" i="3"/>
  <c r="AY258" i="3"/>
  <c r="AY266" i="3"/>
  <c r="AY274" i="3"/>
  <c r="AY282" i="3"/>
  <c r="AY290" i="3"/>
  <c r="AY298" i="3"/>
  <c r="AY306" i="3"/>
  <c r="AY314" i="3"/>
  <c r="AY322" i="3"/>
  <c r="AY330" i="3"/>
  <c r="AY338" i="3"/>
  <c r="AY346" i="3"/>
  <c r="AY354" i="3"/>
  <c r="AY362" i="3"/>
  <c r="AY370" i="3"/>
  <c r="AY378" i="3"/>
  <c r="AY16" i="3"/>
  <c r="BJ6" i="3"/>
  <c r="BN6" i="3"/>
  <c r="AY25" i="3"/>
  <c r="AY41" i="3"/>
  <c r="AY57" i="3"/>
  <c r="AY73" i="3"/>
  <c r="AY89" i="3"/>
  <c r="AY105" i="3"/>
  <c r="AY121" i="3"/>
  <c r="AY137" i="3"/>
  <c r="AY153" i="3"/>
  <c r="AY169" i="3"/>
  <c r="AY185" i="3"/>
  <c r="AY201" i="3"/>
  <c r="AY217" i="3"/>
  <c r="AY233" i="3"/>
  <c r="AY249" i="3"/>
  <c r="AY265" i="3"/>
  <c r="AY281" i="3"/>
  <c r="AY297" i="3"/>
  <c r="AY313" i="3"/>
  <c r="AY329" i="3"/>
  <c r="AY345" i="3"/>
  <c r="AY361" i="3"/>
  <c r="AY377" i="3"/>
  <c r="AY386" i="3"/>
  <c r="AY394" i="3"/>
  <c r="AY402" i="3"/>
  <c r="AY410" i="3"/>
  <c r="AY418" i="3"/>
  <c r="AY426" i="3"/>
  <c r="AY434" i="3"/>
  <c r="AY442" i="3"/>
  <c r="AY450" i="3"/>
  <c r="AY458" i="3"/>
  <c r="AY466" i="3"/>
  <c r="AY474" i="3"/>
  <c r="AY482" i="3"/>
  <c r="AY490" i="3"/>
  <c r="AY498" i="3"/>
  <c r="AY506" i="3"/>
  <c r="AY514" i="3"/>
  <c r="AY522" i="3"/>
  <c r="AY530" i="3"/>
  <c r="AY538" i="3"/>
  <c r="AY546" i="3"/>
  <c r="AY554" i="3"/>
  <c r="AY562" i="3"/>
  <c r="AY570" i="3"/>
  <c r="AY28" i="3"/>
  <c r="AY44" i="3"/>
  <c r="AY60" i="3"/>
  <c r="AY77" i="3"/>
  <c r="AY109" i="3"/>
  <c r="AY141" i="3"/>
  <c r="AY173" i="3"/>
  <c r="AY205" i="3"/>
  <c r="AY237" i="3"/>
  <c r="AY269" i="3"/>
  <c r="AY301" i="3"/>
  <c r="AY333" i="3"/>
  <c r="AY365" i="3"/>
  <c r="AY389" i="3"/>
  <c r="AY405" i="3"/>
  <c r="AY421" i="3"/>
  <c r="AY437" i="3"/>
  <c r="AY453" i="3"/>
  <c r="AY469" i="3"/>
  <c r="AY485" i="3"/>
  <c r="AY501" i="3"/>
  <c r="AY517" i="3"/>
  <c r="AY533" i="3"/>
  <c r="AY549" i="3"/>
  <c r="AY565" i="3"/>
  <c r="AY69" i="3"/>
  <c r="AY101" i="3"/>
  <c r="AY133" i="3"/>
  <c r="AY165" i="3"/>
  <c r="AY197" i="3"/>
  <c r="AY229" i="3"/>
  <c r="AY261" i="3"/>
  <c r="AY293" i="3"/>
  <c r="AY325" i="3"/>
  <c r="AY357" i="3"/>
  <c r="AY385" i="3"/>
  <c r="BB6" i="3"/>
  <c r="AY401" i="3"/>
  <c r="AY433" i="3"/>
  <c r="AY465" i="3"/>
  <c r="AY497" i="3"/>
  <c r="AY529" i="3"/>
  <c r="AY561" i="3"/>
  <c r="AY392" i="3"/>
  <c r="AY424" i="3"/>
  <c r="AY456" i="3"/>
  <c r="AY488" i="3"/>
  <c r="AY520" i="3"/>
  <c r="AY552" i="3"/>
  <c r="AY19" i="3"/>
  <c r="AY27" i="3"/>
  <c r="AY35" i="3"/>
  <c r="AY43" i="3"/>
  <c r="AY51" i="3"/>
  <c r="AY59" i="3"/>
  <c r="AY67" i="3"/>
  <c r="AY75" i="3"/>
  <c r="AY83" i="3"/>
  <c r="AY91" i="3"/>
  <c r="AY99" i="3"/>
  <c r="AY107" i="3"/>
  <c r="AY115" i="3"/>
  <c r="AY123" i="3"/>
  <c r="AY131" i="3"/>
  <c r="AY139" i="3"/>
  <c r="AY147" i="3"/>
  <c r="AY155" i="3"/>
  <c r="AY163" i="3"/>
  <c r="AY171" i="3"/>
  <c r="AY179" i="3"/>
  <c r="AY187" i="3"/>
  <c r="AY195" i="3"/>
  <c r="AY203" i="3"/>
  <c r="AY211" i="3"/>
  <c r="AY219" i="3"/>
  <c r="AY227" i="3"/>
  <c r="AY235" i="3"/>
  <c r="AY243" i="3"/>
  <c r="AY251" i="3"/>
  <c r="AY259" i="3"/>
  <c r="AY267" i="3"/>
  <c r="AY275" i="3"/>
  <c r="AY283" i="3"/>
  <c r="AY291" i="3"/>
  <c r="AY299" i="3"/>
  <c r="AY307" i="3"/>
  <c r="AY315" i="3"/>
  <c r="AY323" i="3"/>
  <c r="AY331" i="3"/>
  <c r="AY339" i="3"/>
  <c r="AY347" i="3"/>
  <c r="AY355" i="3"/>
  <c r="AY363" i="3"/>
  <c r="AY371" i="3"/>
  <c r="AY379" i="3"/>
  <c r="BS6" i="3"/>
  <c r="BH6" i="3"/>
  <c r="AY24" i="3"/>
  <c r="AY56" i="3"/>
  <c r="AY88" i="3"/>
  <c r="AY120" i="3"/>
  <c r="AY152" i="3"/>
  <c r="AY184" i="3"/>
  <c r="AY216" i="3"/>
  <c r="AY248" i="3"/>
  <c r="AY280" i="3"/>
  <c r="AY312" i="3"/>
  <c r="AY344" i="3"/>
  <c r="AY376" i="3"/>
  <c r="AY387" i="3"/>
  <c r="AY395" i="3"/>
  <c r="AY403" i="3"/>
  <c r="AY411" i="3"/>
  <c r="AY419" i="3"/>
  <c r="AY427" i="3"/>
  <c r="AY435" i="3"/>
  <c r="AY443" i="3"/>
  <c r="AY451" i="3"/>
  <c r="AY459" i="3"/>
  <c r="AY467" i="3"/>
  <c r="AY475" i="3"/>
  <c r="AY483" i="3"/>
  <c r="AY491" i="3"/>
  <c r="AY499" i="3"/>
  <c r="AY507" i="3"/>
  <c r="AY515" i="3"/>
  <c r="AY523" i="3"/>
  <c r="AY531" i="3"/>
  <c r="AY539" i="3"/>
  <c r="AY547" i="3"/>
  <c r="AY555" i="3"/>
  <c r="AY563" i="3"/>
  <c r="AY571" i="3"/>
  <c r="AY20" i="3"/>
  <c r="AY52" i="3"/>
  <c r="AY76" i="3"/>
  <c r="AY140" i="3"/>
  <c r="AY204" i="3"/>
  <c r="AY268" i="3"/>
  <c r="AY332" i="3"/>
  <c r="AY388" i="3"/>
  <c r="AY420" i="3"/>
  <c r="AY452" i="3"/>
  <c r="AY484" i="3"/>
  <c r="AY516" i="3"/>
  <c r="AY548" i="3"/>
  <c r="AY68" i="3"/>
  <c r="AY132" i="3"/>
  <c r="AY196" i="3"/>
  <c r="AY260" i="3"/>
  <c r="AY324" i="3"/>
  <c r="AY384" i="3"/>
  <c r="BT6" i="3"/>
  <c r="AY432" i="3"/>
  <c r="AY496" i="3"/>
  <c r="AY560" i="3"/>
  <c r="AY440" i="3"/>
  <c r="AY504" i="3"/>
  <c r="AY568" i="3"/>
  <c r="R49" i="33"/>
  <c r="E48" i="33"/>
  <c r="E36" i="36"/>
  <c r="R37" i="36"/>
  <c r="I40" i="36"/>
  <c r="J40" i="36"/>
  <c r="I41" i="36"/>
  <c r="J41" i="36"/>
  <c r="AB12" i="39"/>
  <c r="U12" i="39"/>
  <c r="AC12" i="40"/>
  <c r="W12" i="40"/>
  <c r="S12" i="39"/>
  <c r="AA12" i="39"/>
  <c r="U7" i="34"/>
  <c r="AB7" i="34"/>
  <c r="T49" i="34"/>
  <c r="G49" i="34"/>
  <c r="C33" i="69"/>
  <c r="C32" i="69"/>
  <c r="Q61" i="68"/>
  <c r="Q74" i="68"/>
  <c r="Q67" i="69"/>
  <c r="Q58" i="69"/>
  <c r="Q75" i="69"/>
  <c r="Q62" i="69"/>
  <c r="Q67" i="68"/>
  <c r="Q58" i="68"/>
  <c r="C48" i="15"/>
  <c r="C47" i="15"/>
  <c r="C10" i="15"/>
  <c r="C5" i="15"/>
  <c r="C32" i="15"/>
  <c r="C33" i="15"/>
  <c r="Q62" i="15"/>
  <c r="Q75" i="15"/>
  <c r="AE7" i="1"/>
  <c r="F41" i="15"/>
  <c r="AE8" i="1"/>
  <c r="F41" i="69"/>
  <c r="AE6" i="1"/>
  <c r="F41" i="68"/>
  <c r="C47" i="69"/>
  <c r="C65" i="69"/>
  <c r="F68" i="68"/>
  <c r="F68" i="69"/>
  <c r="F68" i="15"/>
  <c r="C38" i="68"/>
  <c r="C38" i="69"/>
  <c r="C38" i="15"/>
  <c r="C59" i="15"/>
  <c r="C65" i="15"/>
  <c r="C60" i="15"/>
  <c r="C37" i="36"/>
  <c r="B3" i="36"/>
  <c r="B2" i="36"/>
  <c r="C36" i="36"/>
  <c r="G53" i="34"/>
  <c r="H53" i="34"/>
  <c r="G54" i="34"/>
  <c r="H54" i="34"/>
  <c r="E52" i="33"/>
  <c r="F52" i="33"/>
  <c r="E53" i="33"/>
  <c r="F53" i="33"/>
  <c r="R39" i="35"/>
  <c r="E38" i="35"/>
  <c r="G42" i="35"/>
  <c r="H42" i="35"/>
  <c r="G43" i="35"/>
  <c r="H43" i="35"/>
  <c r="J26" i="68"/>
  <c r="J29" i="68"/>
  <c r="J24" i="68"/>
  <c r="C59" i="69"/>
  <c r="R50" i="34"/>
  <c r="E49" i="34"/>
  <c r="M14" i="1"/>
  <c r="K16" i="1"/>
  <c r="H25" i="6"/>
  <c r="S25" i="6"/>
  <c r="H24" i="6"/>
  <c r="S24" i="6"/>
  <c r="M21" i="6"/>
  <c r="I21" i="6"/>
  <c r="S8" i="1"/>
  <c r="M19" i="6"/>
  <c r="K27" i="6"/>
  <c r="S6" i="1"/>
  <c r="C43" i="37"/>
  <c r="B3" i="37"/>
  <c r="B2" i="37"/>
  <c r="C42" i="37"/>
  <c r="C49" i="21"/>
  <c r="B3" i="21"/>
  <c r="B2" i="21"/>
  <c r="C48" i="21"/>
  <c r="J26" i="15"/>
  <c r="J29" i="15"/>
  <c r="J24" i="15"/>
  <c r="Q67" i="44"/>
  <c r="Q49" i="44"/>
  <c r="Q55" i="44"/>
  <c r="Q58" i="44"/>
  <c r="E40" i="36"/>
  <c r="F40" i="36"/>
  <c r="E41" i="36"/>
  <c r="F41" i="36"/>
  <c r="C48" i="33"/>
  <c r="C49" i="33"/>
  <c r="B3" i="33"/>
  <c r="B2" i="33"/>
  <c r="D16" i="12"/>
  <c r="E6" i="6"/>
  <c r="D45" i="9"/>
  <c r="D16" i="43"/>
  <c r="C16" i="43"/>
  <c r="C21" i="4"/>
  <c r="L38" i="9"/>
  <c r="B14" i="66"/>
  <c r="B1" i="66"/>
  <c r="D9" i="6"/>
  <c r="D23" i="6"/>
  <c r="D21" i="6"/>
  <c r="D20" i="6"/>
  <c r="D24" i="6"/>
  <c r="R24" i="6"/>
  <c r="D25" i="6"/>
  <c r="D19" i="6"/>
  <c r="D22" i="6"/>
  <c r="D26" i="6"/>
  <c r="R26" i="6"/>
  <c r="D5" i="6"/>
  <c r="D46" i="9"/>
  <c r="D12" i="6"/>
  <c r="D10" i="6"/>
  <c r="D15" i="6"/>
  <c r="D13" i="6"/>
  <c r="D11" i="6"/>
  <c r="D8" i="6"/>
  <c r="D29" i="6"/>
  <c r="D14" i="6"/>
  <c r="C12" i="59"/>
  <c r="T13" i="59"/>
  <c r="D13" i="59"/>
  <c r="J67" i="40"/>
  <c r="K65" i="40"/>
  <c r="M70" i="39"/>
  <c r="L72" i="39"/>
  <c r="I53" i="33"/>
  <c r="J53" i="33"/>
  <c r="C65" i="68"/>
  <c r="C59" i="68"/>
  <c r="C60" i="68"/>
  <c r="I42" i="35"/>
  <c r="J42" i="35"/>
  <c r="I43" i="35"/>
  <c r="J43" i="35"/>
  <c r="D28" i="6"/>
  <c r="D30" i="6"/>
  <c r="H23" i="6"/>
  <c r="S23" i="6"/>
  <c r="S22" i="6"/>
  <c r="H22" i="6"/>
  <c r="H26" i="6"/>
  <c r="S26" i="6"/>
  <c r="M20" i="6"/>
  <c r="I20" i="6"/>
  <c r="S7" i="1"/>
  <c r="E47" i="37"/>
  <c r="F47" i="37"/>
  <c r="E46" i="37"/>
  <c r="F46" i="37"/>
  <c r="E52" i="21"/>
  <c r="F52" i="21"/>
  <c r="E53" i="21"/>
  <c r="F53" i="21"/>
  <c r="I53" i="34"/>
  <c r="J53" i="34"/>
  <c r="I54" i="34"/>
  <c r="J54" i="34"/>
  <c r="I53" i="21"/>
  <c r="J53" i="21"/>
  <c r="J26" i="69"/>
  <c r="J29" i="69"/>
  <c r="J24" i="69"/>
  <c r="C17" i="69"/>
  <c r="C17" i="68"/>
  <c r="C17" i="15"/>
  <c r="C60" i="69"/>
  <c r="D16" i="6"/>
  <c r="C7" i="66"/>
  <c r="C8" i="66"/>
  <c r="D22" i="12"/>
  <c r="C22" i="12"/>
  <c r="D13" i="11"/>
  <c r="C13" i="11"/>
  <c r="D6" i="6"/>
  <c r="I19" i="6"/>
  <c r="M27" i="6"/>
  <c r="O14" i="1"/>
  <c r="O16" i="1"/>
  <c r="P14" i="1"/>
  <c r="P16" i="1"/>
  <c r="C13" i="12"/>
  <c r="M16" i="1"/>
  <c r="E54" i="34"/>
  <c r="F54" i="34"/>
  <c r="E53" i="34"/>
  <c r="F53" i="34"/>
  <c r="E42" i="35"/>
  <c r="F42" i="35"/>
  <c r="E43" i="35"/>
  <c r="F43" i="35"/>
  <c r="N70" i="39"/>
  <c r="M72" i="39"/>
  <c r="D27" i="6"/>
  <c r="D31" i="6"/>
  <c r="S16" i="1"/>
  <c r="T13" i="1"/>
  <c r="H21" i="6"/>
  <c r="R21" i="6"/>
  <c r="R8" i="1"/>
  <c r="S21" i="6"/>
  <c r="H20" i="6"/>
  <c r="S20" i="6"/>
  <c r="K67" i="40"/>
  <c r="L65" i="40"/>
  <c r="C11" i="59"/>
  <c r="D12" i="59"/>
  <c r="R22" i="6"/>
  <c r="R25" i="6"/>
  <c r="R20" i="6"/>
  <c r="R7" i="1"/>
  <c r="R23" i="6"/>
  <c r="O5" i="54"/>
  <c r="B45" i="63"/>
  <c r="A20" i="64"/>
  <c r="A6" i="51"/>
  <c r="B7" i="63"/>
  <c r="A20" i="51"/>
  <c r="B15" i="63"/>
  <c r="A6" i="64"/>
  <c r="D19" i="12"/>
  <c r="C19" i="12"/>
  <c r="C16" i="12"/>
  <c r="C50" i="34"/>
  <c r="B3" i="34"/>
  <c r="B2" i="34"/>
  <c r="C49" i="34"/>
  <c r="C38" i="35"/>
  <c r="C39" i="35"/>
  <c r="B3" i="35"/>
  <c r="B2" i="35"/>
  <c r="F35" i="15"/>
  <c r="M21" i="15"/>
  <c r="M21" i="69"/>
  <c r="F35" i="69"/>
  <c r="F62" i="69"/>
  <c r="C61" i="69"/>
  <c r="C58" i="69"/>
  <c r="C34" i="69"/>
  <c r="C31" i="69"/>
  <c r="J20" i="69"/>
  <c r="J20" i="15"/>
  <c r="F62" i="15"/>
  <c r="C61" i="15"/>
  <c r="C58" i="15"/>
  <c r="C34" i="15"/>
  <c r="C31" i="15"/>
  <c r="C10" i="59"/>
  <c r="D11" i="59"/>
  <c r="L67" i="40"/>
  <c r="M65" i="40"/>
  <c r="I6" i="6"/>
  <c r="C13" i="39"/>
  <c r="I5" i="6"/>
  <c r="O70" i="39"/>
  <c r="N72" i="39"/>
  <c r="T10" i="1"/>
  <c r="T6" i="1"/>
  <c r="T12" i="1"/>
  <c r="T7" i="1"/>
  <c r="T11" i="1"/>
  <c r="H19" i="6"/>
  <c r="S19" i="6"/>
  <c r="S27" i="6"/>
  <c r="I27" i="6"/>
  <c r="L16" i="1"/>
  <c r="C13" i="43"/>
  <c r="N16" i="1"/>
  <c r="C29" i="43"/>
  <c r="T9" i="1"/>
  <c r="T8" i="1"/>
  <c r="C14" i="12"/>
  <c r="C17" i="12"/>
  <c r="B29" i="1"/>
  <c r="C20" i="12"/>
  <c r="C14" i="68"/>
  <c r="C14" i="15"/>
  <c r="C14" i="69"/>
  <c r="C16" i="44"/>
  <c r="C18" i="12"/>
  <c r="C23" i="12"/>
  <c r="C20" i="44"/>
  <c r="C17" i="44"/>
  <c r="C15" i="69"/>
  <c r="C18" i="69"/>
  <c r="C19" i="69"/>
  <c r="C18" i="15"/>
  <c r="C15" i="15"/>
  <c r="C19" i="15"/>
  <c r="C18" i="68"/>
  <c r="C15" i="68"/>
  <c r="C19" i="68"/>
  <c r="C14" i="43"/>
  <c r="C17" i="43"/>
  <c r="P70" i="39"/>
  <c r="O72" i="39"/>
  <c r="H13" i="39"/>
  <c r="F13" i="39"/>
  <c r="J13" i="39"/>
  <c r="D10" i="59"/>
  <c r="C9" i="59"/>
  <c r="D29" i="1"/>
  <c r="C11" i="11"/>
  <c r="C10" i="11"/>
  <c r="H27" i="6"/>
  <c r="R19" i="6"/>
  <c r="T16" i="1"/>
  <c r="N65" i="40"/>
  <c r="N67" i="40"/>
  <c r="M67" i="40"/>
  <c r="C21" i="44"/>
  <c r="C22" i="44"/>
  <c r="C25" i="44"/>
  <c r="C18" i="43"/>
  <c r="C19" i="43"/>
  <c r="C25" i="43"/>
  <c r="C24" i="43"/>
  <c r="C20" i="15"/>
  <c r="C26" i="15"/>
  <c r="C20" i="69"/>
  <c r="C26" i="69"/>
  <c r="J9" i="40"/>
  <c r="F9" i="40"/>
  <c r="H9" i="40"/>
  <c r="R27" i="6"/>
  <c r="R6" i="1"/>
  <c r="C18" i="11"/>
  <c r="C17" i="11"/>
  <c r="T9" i="59"/>
  <c r="C8" i="59"/>
  <c r="D9" i="59"/>
  <c r="AC13" i="39"/>
  <c r="W13" i="39"/>
  <c r="U13" i="39"/>
  <c r="AB13" i="39"/>
  <c r="Q70" i="39"/>
  <c r="P72" i="39"/>
  <c r="AA13" i="39"/>
  <c r="S13" i="39"/>
  <c r="C20" i="68"/>
  <c r="C26" i="68"/>
  <c r="M21" i="68"/>
  <c r="F35" i="68"/>
  <c r="C23" i="15"/>
  <c r="C19" i="11"/>
  <c r="C22" i="43"/>
  <c r="C21" i="43"/>
  <c r="C28" i="43"/>
  <c r="C30" i="43"/>
  <c r="C32" i="43"/>
  <c r="B2" i="43"/>
  <c r="B4" i="43"/>
  <c r="C23" i="69"/>
  <c r="C29" i="15"/>
  <c r="C36" i="15"/>
  <c r="C23" i="68"/>
  <c r="C29" i="68"/>
  <c r="C28" i="44"/>
  <c r="C31" i="44"/>
  <c r="F62" i="68"/>
  <c r="C61" i="68"/>
  <c r="C58" i="68"/>
  <c r="C34" i="68"/>
  <c r="C31" i="68"/>
  <c r="J20" i="68"/>
  <c r="C13" i="15"/>
  <c r="U9" i="40"/>
  <c r="AB9" i="40"/>
  <c r="T44" i="40"/>
  <c r="G44" i="40"/>
  <c r="AC9" i="40"/>
  <c r="V44" i="40"/>
  <c r="I44" i="40"/>
  <c r="W9" i="40"/>
  <c r="C29" i="69"/>
  <c r="C20" i="11"/>
  <c r="C21" i="11"/>
  <c r="C22" i="11"/>
  <c r="C23" i="11"/>
  <c r="B2" i="11"/>
  <c r="R16" i="1"/>
  <c r="R70" i="39"/>
  <c r="Q72" i="39"/>
  <c r="D8" i="59"/>
  <c r="C7" i="59"/>
  <c r="S9" i="40"/>
  <c r="AA9" i="40"/>
  <c r="R44" i="40"/>
  <c r="B5" i="43"/>
  <c r="J19" i="15"/>
  <c r="J17" i="15"/>
  <c r="Q50" i="15"/>
  <c r="B3" i="43"/>
  <c r="C56" i="15"/>
  <c r="C63" i="15"/>
  <c r="J14" i="15"/>
  <c r="J19" i="68"/>
  <c r="J17" i="68"/>
  <c r="C13" i="68"/>
  <c r="C36" i="68"/>
  <c r="Q50" i="68"/>
  <c r="C15" i="44"/>
  <c r="C43" i="44"/>
  <c r="J21" i="44"/>
  <c r="J19" i="44"/>
  <c r="Q51" i="44"/>
  <c r="C38" i="44"/>
  <c r="J16" i="44"/>
  <c r="J15" i="44"/>
  <c r="J25" i="44"/>
  <c r="C35" i="44"/>
  <c r="C33" i="44"/>
  <c r="J14" i="68"/>
  <c r="J13" i="68"/>
  <c r="J23" i="68"/>
  <c r="C56" i="68"/>
  <c r="C63" i="68"/>
  <c r="S70" i="39"/>
  <c r="R72" i="39"/>
  <c r="B3" i="11"/>
  <c r="B5" i="11"/>
  <c r="B4" i="11"/>
  <c r="C13" i="69"/>
  <c r="C56" i="69"/>
  <c r="C63" i="69"/>
  <c r="Q50" i="69"/>
  <c r="J19" i="69"/>
  <c r="J17" i="69"/>
  <c r="C36" i="69"/>
  <c r="J14" i="69"/>
  <c r="I48" i="40"/>
  <c r="J48" i="40"/>
  <c r="C37" i="15"/>
  <c r="C30" i="15"/>
  <c r="C39" i="15"/>
  <c r="Q71" i="15"/>
  <c r="C55" i="15"/>
  <c r="C64" i="15"/>
  <c r="C57" i="15"/>
  <c r="C66" i="15"/>
  <c r="C67" i="15"/>
  <c r="J35" i="15"/>
  <c r="Q71" i="68"/>
  <c r="C55" i="68"/>
  <c r="C64" i="68"/>
  <c r="J35" i="68"/>
  <c r="C37" i="68"/>
  <c r="Q72" i="44"/>
  <c r="E44" i="40"/>
  <c r="I49" i="40"/>
  <c r="J49" i="40"/>
  <c r="R45" i="40"/>
  <c r="C6" i="59"/>
  <c r="D7" i="59"/>
  <c r="G48" i="40"/>
  <c r="H48" i="40"/>
  <c r="G49" i="40"/>
  <c r="H49" i="40"/>
  <c r="J22" i="15"/>
  <c r="J13" i="15"/>
  <c r="J23" i="15"/>
  <c r="C57" i="68"/>
  <c r="C66" i="68"/>
  <c r="C67" i="68"/>
  <c r="J24" i="44"/>
  <c r="C30" i="68"/>
  <c r="C39" i="68"/>
  <c r="J22" i="68"/>
  <c r="J16" i="68"/>
  <c r="J25" i="68"/>
  <c r="C39" i="44"/>
  <c r="C32" i="44"/>
  <c r="C42" i="44"/>
  <c r="J18" i="44"/>
  <c r="J27" i="44"/>
  <c r="J16" i="15"/>
  <c r="J25" i="15"/>
  <c r="Q71" i="44"/>
  <c r="Q70" i="44"/>
  <c r="C44" i="44"/>
  <c r="C45" i="44"/>
  <c r="C70" i="68"/>
  <c r="C40" i="15"/>
  <c r="Q70" i="15"/>
  <c r="Q69" i="15"/>
  <c r="C44" i="40"/>
  <c r="C45" i="40"/>
  <c r="Q70" i="68"/>
  <c r="Q69" i="68"/>
  <c r="C40" i="68"/>
  <c r="C46" i="68"/>
  <c r="J39" i="68"/>
  <c r="J40" i="68"/>
  <c r="J35" i="69"/>
  <c r="C37" i="69"/>
  <c r="C30" i="69"/>
  <c r="C39" i="69"/>
  <c r="Q71" i="69"/>
  <c r="C55" i="69"/>
  <c r="C64" i="69"/>
  <c r="C70" i="15"/>
  <c r="C46" i="15"/>
  <c r="C5" i="59"/>
  <c r="D6" i="59"/>
  <c r="E49" i="40"/>
  <c r="F49" i="40"/>
  <c r="E48" i="40"/>
  <c r="F48" i="40"/>
  <c r="J39" i="15"/>
  <c r="J40" i="15"/>
  <c r="J22" i="69"/>
  <c r="J13" i="69"/>
  <c r="J23" i="69"/>
  <c r="C57" i="69"/>
  <c r="C66" i="69"/>
  <c r="C67" i="69"/>
  <c r="T70" i="39"/>
  <c r="S72" i="39"/>
  <c r="L51" i="15"/>
  <c r="L51" i="68"/>
  <c r="J16" i="69"/>
  <c r="J25" i="69"/>
  <c r="Q68" i="68"/>
  <c r="Q68" i="15"/>
  <c r="C70" i="69"/>
  <c r="D5" i="59"/>
  <c r="T5" i="59"/>
  <c r="M20" i="46"/>
  <c r="Q70" i="69"/>
  <c r="Q69" i="69"/>
  <c r="C40" i="69"/>
  <c r="L52" i="44"/>
  <c r="B2" i="44"/>
  <c r="U70" i="39"/>
  <c r="T72" i="39"/>
  <c r="J39" i="69"/>
  <c r="J40" i="69"/>
  <c r="Q66" i="68"/>
  <c r="Q76" i="68"/>
  <c r="B2" i="68"/>
  <c r="Q48" i="68"/>
  <c r="Q54" i="68"/>
  <c r="Q57" i="68"/>
  <c r="Q63" i="68"/>
  <c r="C43" i="68"/>
  <c r="J42" i="68"/>
  <c r="J43" i="68"/>
  <c r="B57" i="40"/>
  <c r="F57" i="40"/>
  <c r="B61" i="40"/>
  <c r="F61" i="40"/>
  <c r="B62" i="40"/>
  <c r="F62" i="40"/>
  <c r="F63" i="40"/>
  <c r="B2" i="40"/>
  <c r="B58" i="40"/>
  <c r="F58" i="40"/>
  <c r="B55" i="40"/>
  <c r="F55" i="40"/>
  <c r="B56" i="40"/>
  <c r="F56" i="40"/>
  <c r="B59" i="40"/>
  <c r="F59" i="40"/>
  <c r="B53" i="40"/>
  <c r="F53" i="40"/>
  <c r="B60" i="40"/>
  <c r="F60" i="40"/>
  <c r="B54" i="40"/>
  <c r="F54" i="40"/>
  <c r="B2" i="15"/>
  <c r="C43" i="15"/>
  <c r="Q48" i="15"/>
  <c r="Q54" i="15"/>
  <c r="Q57" i="15"/>
  <c r="Q63" i="15"/>
  <c r="Q66" i="15"/>
  <c r="Q76" i="15"/>
  <c r="J42" i="15"/>
  <c r="J43" i="15"/>
  <c r="L51" i="69"/>
  <c r="Q68" i="69"/>
  <c r="B3" i="44"/>
  <c r="B5" i="44"/>
  <c r="B4" i="44"/>
  <c r="B3" i="15"/>
  <c r="D8" i="12"/>
  <c r="D10" i="12"/>
  <c r="B5" i="40"/>
  <c r="B4" i="40"/>
  <c r="B3" i="40"/>
  <c r="C10" i="12"/>
  <c r="B3" i="68"/>
  <c r="C8" i="12"/>
  <c r="U72" i="39"/>
  <c r="V70" i="39"/>
  <c r="Q69" i="44"/>
  <c r="L58" i="44"/>
  <c r="L61" i="44"/>
  <c r="B2" i="69"/>
  <c r="Q66" i="69"/>
  <c r="Q76" i="69"/>
  <c r="Q57" i="69"/>
  <c r="Q63" i="69"/>
  <c r="Q48" i="69"/>
  <c r="Q54" i="69"/>
  <c r="C43" i="69"/>
  <c r="J42" i="69"/>
  <c r="J43" i="69"/>
  <c r="C46" i="69"/>
  <c r="B3" i="69"/>
  <c r="E8" i="12"/>
  <c r="E10" i="12"/>
  <c r="C6" i="12"/>
  <c r="Q68" i="44"/>
  <c r="Q77" i="44"/>
  <c r="Q59" i="44"/>
  <c r="Q64" i="44"/>
  <c r="W70" i="39"/>
  <c r="W72" i="39"/>
  <c r="V72" i="39"/>
  <c r="H9" i="39"/>
  <c r="J9" i="39"/>
  <c r="F9" i="39"/>
  <c r="C29" i="12"/>
  <c r="C24" i="12"/>
  <c r="C35" i="12"/>
  <c r="C33" i="12"/>
  <c r="C28" i="12"/>
  <c r="C26" i="12"/>
  <c r="C31" i="12"/>
  <c r="C30" i="12"/>
  <c r="W9" i="39"/>
  <c r="AC9" i="39"/>
  <c r="V49" i="39"/>
  <c r="I49" i="39"/>
  <c r="S9" i="39"/>
  <c r="AA9" i="39"/>
  <c r="R49" i="39"/>
  <c r="U9" i="39"/>
  <c r="AB9" i="39"/>
  <c r="T49" i="39"/>
  <c r="G49" i="39"/>
  <c r="C36" i="12"/>
  <c r="B2" i="12"/>
  <c r="B5" i="12"/>
  <c r="G53" i="39"/>
  <c r="H53" i="39"/>
  <c r="G54" i="39"/>
  <c r="H54" i="39"/>
  <c r="E49" i="39"/>
  <c r="R50" i="39"/>
  <c r="I54" i="39"/>
  <c r="J54" i="39"/>
  <c r="I53" i="39"/>
  <c r="J53" i="39"/>
  <c r="D19" i="9"/>
  <c r="B3" i="12"/>
  <c r="B4" i="12"/>
  <c r="L44" i="9"/>
  <c r="C50" i="39"/>
  <c r="C49" i="39"/>
  <c r="E54" i="39"/>
  <c r="F54" i="39"/>
  <c r="E53" i="39"/>
  <c r="F53" i="39"/>
  <c r="D20" i="9"/>
  <c r="D21" i="9"/>
  <c r="B59" i="39"/>
  <c r="F59" i="39"/>
  <c r="B61" i="39"/>
  <c r="F61" i="39"/>
  <c r="B63" i="39"/>
  <c r="F63" i="39"/>
  <c r="B64" i="39"/>
  <c r="F64" i="39"/>
  <c r="B65" i="39"/>
  <c r="F65" i="39"/>
  <c r="B66" i="39"/>
  <c r="F66" i="39"/>
  <c r="B67" i="39"/>
  <c r="F67" i="39"/>
  <c r="B58" i="39"/>
  <c r="F58" i="39"/>
  <c r="B60" i="39"/>
  <c r="F60" i="39"/>
  <c r="B62" i="39"/>
  <c r="F62" i="39"/>
  <c r="F68" i="39"/>
  <c r="B2" i="39"/>
  <c r="C19" i="9"/>
  <c r="G19" i="9"/>
  <c r="L43" i="9"/>
  <c r="D22" i="9"/>
  <c r="B3" i="39"/>
  <c r="B4" i="39"/>
  <c r="B5" i="39"/>
  <c r="C21" i="9"/>
  <c r="C20" i="9"/>
  <c r="G20" i="9"/>
  <c r="G21" i="9"/>
  <c r="G22" i="9"/>
  <c r="C32" i="9"/>
  <c r="N43" i="9"/>
  <c r="C42" i="9"/>
  <c r="C35" i="9"/>
  <c r="F42" i="9"/>
  <c r="C34" i="9"/>
  <c r="C33" i="9"/>
  <c r="O43" i="9"/>
  <c r="O38" i="9"/>
  <c r="K25" i="9"/>
  <c r="K26" i="9"/>
  <c r="D42" i="9"/>
  <c r="Q5" i="54"/>
  <c r="B47" i="63"/>
  <c r="N38" i="9"/>
  <c r="K28" i="9"/>
  <c r="E42" i="9"/>
  <c r="P5" i="54"/>
  <c r="B46" i="63"/>
  <c r="M38" i="9"/>
  <c r="K27" i="9"/>
  <c r="R5" i="54"/>
  <c r="B48" i="63"/>
  <c r="D14" i="66"/>
  <c r="N68" i="9"/>
  <c r="C44" i="9"/>
  <c r="D63" i="9"/>
  <c r="G14" i="66"/>
  <c r="B6" i="66"/>
  <c r="N69" i="9"/>
  <c r="D44" i="9"/>
  <c r="F44" i="9"/>
  <c r="O39" i="9"/>
  <c r="E44" i="9"/>
  <c r="E14" i="66"/>
  <c r="B5" i="66"/>
  <c r="F14" i="66"/>
  <c r="C111" i="9"/>
  <c r="C104" i="9"/>
  <c r="C96" i="9"/>
  <c r="C91" i="9"/>
  <c r="C82" i="9"/>
  <c r="C81" i="9"/>
  <c r="C85" i="9"/>
  <c r="C86" i="9"/>
  <c r="D72" i="9"/>
  <c r="D70" i="9"/>
  <c r="D71" i="9"/>
  <c r="D73" i="9"/>
  <c r="N73" i="9"/>
  <c r="C90" i="9"/>
  <c r="C103" i="9"/>
  <c r="C97" i="9"/>
  <c r="C98" i="9"/>
  <c r="E98" i="9"/>
  <c r="E99" i="9"/>
  <c r="C5" i="66"/>
  <c r="D5" i="66"/>
  <c r="M86" i="9"/>
  <c r="N86" i="9"/>
  <c r="M84" i="9"/>
  <c r="N84" i="9"/>
  <c r="M88" i="9"/>
  <c r="N88" i="9"/>
  <c r="M87" i="9"/>
  <c r="N87" i="9"/>
  <c r="M85" i="9"/>
  <c r="N85" i="9"/>
  <c r="M83" i="9"/>
  <c r="N83" i="9"/>
  <c r="C113" i="9"/>
  <c r="K29" i="9"/>
  <c r="K30" i="9"/>
  <c r="R6" i="54"/>
  <c r="B50" i="63"/>
  <c r="C6" i="66"/>
  <c r="D6" i="66"/>
  <c r="N89" i="9"/>
  <c r="O89" i="9"/>
  <c r="C114" i="9"/>
  <c r="E114" i="9"/>
  <c r="E115" i="9"/>
  <c r="C99" i="9"/>
  <c r="C115" i="9"/>
  <c r="D76" i="9"/>
  <c r="D74" i="9"/>
  <c r="N74" i="9"/>
  <c r="O77" i="9"/>
  <c r="Q77" i="9"/>
  <c r="O78"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<sst xmlns="http://schemas.openxmlformats.org/spreadsheetml/2006/main" count="7797" uniqueCount="3105">
  <si>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</si>
  <si>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</si>
  <si>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</si>
  <si>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</si>
  <si>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</si>
  <si>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</si>
  <si>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</si>
  <si>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</si>
  <si>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</si>
  <si>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</si>
  <si>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</si>
  <si>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</si>
  <si>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</si>
  <si>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</si>
  <si>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</si>
  <si>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</si>
  <si>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</si>
  <si>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</si>
  <si>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</si>
  <si>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</si>
  <si>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</si>
  <si>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</si>
  <si>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</si>
  <si>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</si>
  <si>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</si>
  <si>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</si>
  <si>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</si>
  <si>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</si>
  <si>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</si>
  <si>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</si>
  <si>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</si>
  <si>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</si>
  <si>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</si>
  <si>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</si>
  <si>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</si>
  <si>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</si>
  <si>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</si>
  <si>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</si>
  <si>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</si>
  <si>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</si>
  <si>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</si>
  <si>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</si>
  <si>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</si>
  <si>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</si>
  <si>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</si>
  <si>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</si>
  <si>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</si>
  <si>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</si>
  <si>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</si>
  <si>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</si>
  <si>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</si>
  <si>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</si>
  <si>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</si>
  <si>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</si>
  <si>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</si>
  <si>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</si>
  <si>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</si>
  <si>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</si>
  <si>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</si>
  <si>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</si>
  <si>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</si>
  <si>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</si>
  <si>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</si>
  <si>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</si>
  <si>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</si>
  <si>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</si>
  <si>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</si>
  <si>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</si>
  <si>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</si>
  <si>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</si>
  <si>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</si>
  <si>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</si>
  <si>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</si>
  <si>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</si>
  <si>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</si>
  <si>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</si>
  <si>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</si>
  <si>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</si>
  <si>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</si>
  <si>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</si>
  <si>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</si>
  <si>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</si>
  <si>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</si>
  <si>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</si>
  <si>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</si>
  <si>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</si>
  <si>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</si>
  <si>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</si>
  <si>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</si>
  <si>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</si>
  <si>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</si>
  <si>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</si>
  <si>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</si>
  <si>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</si>
  <si>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</si>
  <si>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</si>
  <si>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</si>
  <si>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</si>
  <si>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</si>
  <si>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</si>
  <si>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</si>
  <si>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</si>
  <si>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</si>
  <si>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</si>
  <si>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</si>
  <si>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</si>
  <si>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</si>
  <si>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</si>
  <si>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</si>
  <si>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</si>
  <si>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</si>
  <si>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</si>
  <si>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</si>
  <si>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</si>
  <si>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</si>
  <si>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</si>
  <si>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</si>
  <si>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</si>
  <si>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</si>
  <si>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</si>
  <si>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</si>
  <si>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</si>
  <si>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</si>
  <si>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</si>
  <si>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</si>
  <si>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</si>
  <si>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</si>
  <si>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</si>
  <si>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</si>
  <si>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</si>
  <si>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</si>
  <si>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</si>
  <si>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</si>
  <si>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</si>
  <si>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</si>
  <si>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</si>
  <si>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</si>
  <si>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</si>
  <si>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</si>
  <si>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</si>
  <si>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</si>
  <si>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</si>
  <si>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</si>
  <si>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</si>
  <si>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</si>
  <si>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</si>
  <si>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</si>
  <si>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</si>
  <si>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</si>
  <si>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</si>
  <si>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</si>
  <si>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</si>
  <si>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</si>
  <si>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</si>
  <si>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</si>
  <si>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</si>
  <si>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</si>
  <si>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</si>
  <si>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</si>
  <si>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</si>
  <si>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</si>
  <si>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</si>
  <si>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</si>
  <si>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</si>
  <si>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</si>
  <si>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</si>
  <si>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</si>
  <si>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</si>
  <si>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</si>
  <si>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</si>
  <si>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</si>
  <si>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</si>
  <si>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</si>
  <si>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</si>
  <si>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</si>
  <si>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</si>
  <si>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</si>
  <si>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</si>
  <si>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</si>
  <si>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</si>
  <si>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</si>
  <si>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</si>
  <si>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</si>
  <si>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</si>
  <si>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</si>
  <si>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</si>
  <si>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</si>
  <si>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</si>
  <si>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</si>
  <si>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</si>
  <si>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</si>
  <si>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</si>
  <si>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</si>
  <si>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</si>
  <si>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</si>
  <si>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</si>
  <si>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</si>
  <si>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</si>
  <si>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</si>
  <si>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</si>
  <si>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</si>
  <si>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</si>
  <si>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</si>
  <si>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</si>
  <si>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</si>
  <si>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</si>
  <si>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</si>
  <si>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</si>
  <si>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</si>
  <si>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</si>
  <si>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</si>
  <si>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</si>
  <si>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</si>
  <si>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</si>
  <si>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</si>
  <si>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</si>
  <si>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</si>
  <si>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</si>
  <si>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</si>
  <si>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</si>
  <si>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</si>
  <si>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</si>
  <si>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</si>
  <si>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</si>
  <si>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</si>
  <si>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</si>
  <si>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</si>
  <si>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</si>
  <si>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</si>
  <si>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</si>
  <si>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</si>
  <si>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</si>
  <si>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</si>
  <si>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</si>
  <si>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</si>
  <si>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</si>
  <si>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</si>
  <si>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</si>
  <si>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</si>
  <si>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</si>
  <si>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</si>
  <si>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</si>
  <si>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</si>
  <si>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</si>
  <si>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</si>
  <si>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</si>
  <si>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</si>
  <si>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</si>
  <si>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</si>
  <si>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</si>
  <si>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</si>
  <si>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</si>
  <si>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</si>
  <si>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</si>
  <si>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</si>
  <si>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</si>
  <si>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</si>
  <si>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</si>
  <si>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</si>
  <si>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</si>
  <si>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</si>
  <si>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</si>
  <si>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</si>
  <si>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</si>
  <si>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</si>
  <si>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</si>
  <si>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</si>
  <si>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</si>
  <si>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</si>
  <si>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</si>
  <si>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</si>
  <si>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</si>
  <si>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</si>
  <si>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</si>
  <si>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</si>
  <si>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</si>
  <si>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</si>
  <si>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</si>
  <si>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</si>
  <si>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</si>
  <si>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</si>
  <si>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</si>
  <si>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</si>
  <si>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</si>
  <si>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</si>
  <si>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</si>
  <si>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</si>
  <si>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</si>
  <si>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</si>
  <si>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</si>
  <si>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</si>
  <si>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</si>
  <si>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</si>
  <si>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</si>
  <si>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</si>
  <si>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</si>
  <si>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</si>
  <si>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</si>
  <si>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</si>
  <si>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</si>
  <si>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</si>
  <si>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</si>
  <si>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</si>
  <si>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</si>
  <si>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</si>
  <si>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</si>
  <si>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</si>
  <si>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</si>
  <si>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</si>
  <si>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</si>
  <si>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</si>
  <si>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</si>
  <si>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</si>
  <si>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</si>
  <si>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</si>
  <si>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</si>
  <si>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</si>
  <si>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</si>
  <si>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</si>
  <si>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</si>
  <si>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</si>
  <si>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</si>
  <si>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</si>
  <si>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</si>
  <si>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</si>
  <si>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</si>
  <si>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</si>
  <si>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</si>
  <si>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</si>
  <si>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</si>
  <si>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</si>
  <si>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</si>
  <si>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</si>
  <si>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</si>
  <si>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</si>
  <si>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</si>
  <si>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</si>
  <si>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</si>
  <si>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</si>
  <si>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</si>
  <si>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</si>
  <si>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</si>
  <si>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</si>
  <si>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</si>
  <si>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</si>
  <si>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</si>
  <si>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</si>
  <si>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</si>
  <si>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</si>
  <si>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</si>
  <si>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</si>
  <si>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</si>
  <si>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</si>
  <si>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</si>
  <si>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</si>
  <si>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</si>
  <si>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</si>
  <si>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</si>
  <si>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</si>
  <si>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</si>
  <si>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</si>
  <si>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</si>
  <si>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</si>
  <si>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</si>
  <si>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</si>
  <si>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</si>
  <si>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</si>
  <si>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</si>
  <si>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</si>
  <si>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</si>
  <si>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</si>
  <si>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</si>
  <si>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</si>
  <si>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</si>
  <si>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</si>
  <si>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</si>
  <si>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</si>
  <si>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</si>
  <si>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</si>
  <si>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</si>
  <si>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</si>
  <si>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</si>
  <si>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</si>
  <si>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</si>
  <si>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</si>
  <si>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</si>
  <si>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</si>
  <si>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</si>
  <si>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</si>
  <si>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</si>
  <si>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</si>
  <si>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</si>
  <si>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</si>
  <si>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</si>
  <si>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</si>
  <si>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</si>
  <si>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</si>
  <si>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</si>
  <si>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</si>
  <si>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</si>
  <si>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</si>
  <si>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</si>
  <si>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</si>
  <si>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</si>
  <si>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</si>
  <si>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</si>
  <si>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</si>
  <si>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</si>
  <si>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</si>
  <si>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</si>
  <si>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</si>
  <si>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</si>
  <si>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</si>
  <si>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</si>
  <si>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</si>
  <si>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</si>
  <si>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</si>
  <si>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</si>
  <si>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</si>
  <si>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</si>
  <si>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</si>
  <si>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</si>
  <si>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</si>
  <si>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</si>
  <si>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</si>
  <si>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</si>
  <si>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</si>
  <si>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</si>
  <si>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</si>
  <si>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</si>
  <si>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</si>
  <si>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</si>
  <si>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</si>
  <si>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</si>
  <si>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</si>
  <si>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</si>
  <si>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</si>
  <si>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</si>
  <si>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</si>
  <si>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</si>
  <si>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</si>
  <si>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</si>
  <si>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</si>
  <si>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</si>
  <si>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</si>
  <si>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</si>
  <si>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</si>
  <si>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</si>
  <si>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</si>
  <si>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</si>
  <si>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</si>
  <si>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</si>
  <si>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</si>
  <si>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</si>
  <si>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</si>
  <si>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</si>
  <si>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</si>
  <si>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</si>
  <si>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</si>
  <si>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</si>
  <si>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</si>
  <si>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</si>
  <si>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</si>
  <si>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</si>
  <si>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</si>
  <si>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</si>
  <si>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</si>
  <si>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</si>
  <si>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</si>
  <si>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</si>
  <si>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</si>
  <si>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</si>
  <si>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</si>
  <si>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</si>
  <si>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</si>
  <si>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</si>
  <si>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</si>
  <si>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</si>
  <si>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</si>
  <si>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</si>
  <si>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</si>
  <si>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</si>
  <si>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</si>
  <si>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</si>
  <si>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</si>
  <si>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</si>
  <si>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</si>
  <si>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</si>
  <si>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</si>
  <si>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</si>
  <si>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</si>
  <si>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</si>
  <si>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</si>
  <si>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</si>
  <si>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</si>
  <si>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</si>
  <si>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</si>
  <si>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</si>
  <si>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</si>
  <si>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</si>
  <si>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</si>
  <si>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</si>
  <si>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</si>
  <si>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</si>
  <si>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</si>
  <si>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</si>
  <si>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</si>
  <si>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</si>
  <si>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</si>
  <si>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</si>
  <si>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</si>
  <si>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</si>
  <si>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</si>
  <si>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</si>
  <si>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</si>
  <si>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</si>
  <si>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</si>
  <si>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</si>
  <si>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</si>
  <si>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</si>
  <si>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</si>
  <si>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</si>
  <si>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</si>
  <si>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</si>
  <si>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</si>
  <si>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</si>
  <si>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</si>
  <si>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</si>
  <si>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</si>
  <si>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</si>
  <si>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</si>
  <si>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</si>
  <si>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</si>
  <si>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</si>
  <si>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</si>
  <si>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</si>
  <si>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</si>
  <si>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</si>
  <si>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</si>
  <si>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</si>
  <si>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</si>
  <si>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</si>
  <si>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</si>
  <si>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</si>
  <si>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</si>
  <si>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</si>
  <si>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</si>
  <si>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</si>
  <si>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</si>
  <si>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</si>
  <si>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</si>
  <si>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</si>
  <si>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</si>
  <si>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</si>
  <si>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</si>
  <si>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</si>
  <si>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</si>
  <si>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</si>
  <si>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</si>
  <si>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</si>
  <si>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</si>
  <si>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</si>
  <si>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</si>
  <si>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</si>
  <si>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</si>
  <si>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</si>
  <si>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</si>
  <si>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</si>
  <si>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</si>
  <si>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</si>
  <si>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</si>
  <si>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</si>
  <si>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</si>
  <si>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</si>
  <si>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</si>
  <si>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</si>
  <si>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</si>
  <si>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</si>
  <si>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</si>
  <si>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</si>
  <si>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</si>
  <si>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</si>
  <si>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</si>
  <si>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</si>
  <si>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</si>
  <si>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</si>
  <si>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</si>
  <si>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</si>
  <si>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</si>
  <si>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</si>
  <si>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</si>
  <si>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</si>
  <si>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</si>
  <si>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</si>
  <si>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</si>
  <si>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</si>
  <si>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</si>
  <si>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</si>
  <si>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</si>
  <si>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</si>
  <si>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</si>
  <si>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</si>
  <si>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</si>
  <si>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</si>
  <si>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</si>
  <si>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</si>
  <si>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</si>
  <si>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</si>
  <si>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</si>
  <si>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</si>
  <si>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</si>
  <si>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</si>
  <si>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</si>
  <si>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</si>
  <si>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</si>
  <si>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</si>
  <si>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</si>
  <si>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</si>
  <si>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</si>
  <si>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</si>
  <si>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</si>
  <si>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</si>
  <si>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</si>
  <si>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</si>
  <si>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</si>
  <si>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</si>
  <si>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</si>
  <si>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</si>
  <si>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</si>
  <si>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</si>
  <si>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</si>
  <si>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</si>
  <si>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</si>
  <si>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</si>
  <si>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</si>
  <si>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</si>
  <si>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</si>
  <si>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</si>
  <si>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</si>
  <si>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</si>
  <si>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</si>
  <si>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</si>
  <si>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</si>
  <si>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</si>
  <si>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</si>
  <si>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</si>
  <si>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</si>
  <si>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</si>
  <si>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</si>
  <si>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</si>
  <si>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</si>
  <si>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</si>
  <si>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</si>
  <si>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</si>
  <si>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</si>
  <si>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</si>
  <si>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</si>
  <si>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</si>
  <si>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</si>
  <si>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</si>
  <si>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</si>
  <si>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</si>
  <si>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</si>
  <si>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</si>
  <si>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</si>
  <si>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</si>
  <si>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</si>
  <si>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</si>
  <si>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</si>
  <si>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</si>
  <si>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</si>
  <si>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</si>
  <si>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</si>
  <si>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</si>
  <si>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</si>
  <si>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</si>
  <si>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</si>
  <si>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</si>
  <si>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</si>
  <si>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</si>
  <si>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</si>
  <si>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</si>
  <si>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</si>
  <si>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</si>
  <si>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</si>
  <si>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</si>
  <si>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</si>
  <si>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</si>
  <si>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</si>
  <si>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</si>
  <si>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</si>
  <si>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</si>
  <si>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</si>
  <si>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</si>
  <si>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</si>
  <si>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</si>
  <si>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</si>
  <si>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</si>
  <si>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</si>
  <si>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</si>
  <si>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</si>
  <si>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</si>
  <si>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</si>
  <si>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</si>
  <si>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</si>
  <si>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</si>
  <si>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</si>
  <si>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</si>
  <si>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</si>
  <si>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</si>
  <si>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</si>
  <si>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</si>
  <si>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</si>
  <si>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</si>
  <si>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</si>
  <si>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</si>
  <si>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</si>
  <si>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</si>
  <si>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</si>
  <si>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</si>
  <si>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</si>
  <si>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</si>
  <si>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</si>
  <si>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</si>
  <si>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</si>
  <si>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</si>
  <si>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</si>
  <si>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</si>
  <si>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</si>
  <si>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</si>
  <si>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</si>
  <si>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</si>
  <si>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</si>
  <si>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</si>
  <si>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</si>
  <si>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</si>
  <si>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</si>
  <si>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</si>
  <si>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</si>
  <si>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</si>
  <si>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</si>
  <si>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</si>
  <si>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</si>
  <si>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</si>
  <si>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</si>
  <si>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</si>
  <si>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</si>
  <si>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</si>
  <si>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</si>
  <si>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</si>
  <si>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</si>
  <si>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</si>
  <si>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</si>
  <si>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</si>
  <si>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</si>
  <si>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</si>
  <si>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</si>
  <si>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</si>
  <si>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</si>
  <si>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</si>
  <si>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</si>
  <si>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</si>
  <si>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</si>
  <si>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</si>
  <si>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</si>
  <si>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</si>
  <si>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</si>
  <si>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</si>
  <si>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</si>
  <si>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</si>
  <si>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</si>
  <si>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</si>
  <si>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</si>
  <si>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</si>
  <si>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</si>
  <si>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</si>
  <si>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</si>
  <si>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</si>
  <si>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</si>
  <si>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</si>
  <si>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</si>
  <si>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</si>
  <si>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</si>
  <si>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</si>
  <si>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</si>
  <si>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</si>
  <si>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</si>
  <si>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</si>
  <si>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</si>
  <si>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</si>
  <si>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</si>
  <si>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</si>
  <si>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</si>
  <si>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</si>
  <si>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</si>
  <si>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</si>
  <si>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</si>
  <si>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</si>
  <si>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</si>
  <si>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</si>
  <si>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</si>
  <si>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</si>
  <si>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</si>
  <si>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</si>
  <si>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</si>
  <si>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</si>
  <si>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</si>
  <si>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</si>
  <si>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</si>
  <si>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</si>
  <si>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</si>
  <si>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</si>
  <si>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</si>
  <si>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</si>
  <si>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</si>
  <si>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</si>
  <si>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</si>
  <si>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</si>
  <si>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</si>
  <si>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</si>
  <si>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</si>
  <si>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</si>
  <si>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</si>
  <si>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</si>
  <si>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</si>
  <si>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</si>
  <si>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</si>
  <si>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</si>
  <si>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</si>
  <si>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</si>
  <si>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</si>
  <si>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</si>
  <si>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</si>
  <si>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</si>
  <si>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</si>
  <si>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</si>
  <si>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</si>
  <si>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</si>
  <si>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</si>
  <si>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</si>
  <si>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</si>
  <si>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</si>
  <si>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</si>
  <si>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</si>
  <si>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</si>
  <si>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</si>
  <si>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</si>
  <si>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</si>
  <si>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</si>
  <si>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</si>
  <si>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</si>
  <si>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</si>
  <si>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</si>
  <si>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</si>
  <si>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</si>
  <si>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</si>
  <si>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</si>
  <si>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</si>
  <si>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</si>
  <si>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</si>
  <si>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</si>
  <si>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</si>
  <si>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</si>
  <si>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</si>
  <si>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</si>
  <si>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</si>
  <si>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</si>
  <si>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</si>
  <si>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</si>
  <si>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</si>
  <si>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</si>
  <si>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</si>
  <si>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</si>
  <si>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</si>
  <si>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</si>
  <si>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</si>
  <si>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</si>
  <si>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</si>
  <si>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</si>
  <si>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</si>
  <si>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</si>
  <si>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</si>
  <si>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</si>
  <si>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</si>
  <si>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</si>
  <si>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</si>
  <si>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</si>
  <si>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</si>
  <si>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</si>
  <si>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</si>
  <si>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</si>
  <si>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</si>
  <si>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</si>
  <si>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</si>
  <si>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</si>
  <si>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</si>
  <si>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</si>
  <si>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</si>
  <si>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</si>
  <si>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</si>
  <si>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</si>
  <si>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</si>
  <si>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</si>
  <si>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</si>
  <si>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</si>
  <si>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</si>
  <si>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</si>
  <si>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</si>
  <si>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</si>
  <si>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</si>
  <si>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</si>
  <si>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</si>
  <si>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</si>
  <si>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</si>
  <si>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</si>
  <si>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</si>
  <si>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</si>
  <si>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</si>
  <si>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</si>
  <si>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</si>
  <si>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</si>
  <si>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</si>
  <si>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</si>
  <si>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</si>
  <si>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</si>
  <si>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</si>
  <si>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</si>
  <si>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</si>
  <si>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</si>
  <si>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</si>
  <si>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</si>
  <si>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</si>
  <si>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</si>
  <si>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</si>
  <si>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</si>
  <si>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</si>
  <si>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</si>
  <si>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</si>
  <si>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</si>
  <si>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</si>
  <si>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</si>
  <si>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</si>
  <si>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</si>
  <si>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</si>
  <si>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</si>
  <si>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</si>
  <si>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</si>
  <si>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</si>
  <si>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</si>
  <si>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</si>
  <si>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</si>
  <si>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</si>
  <si>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</si>
  <si>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</si>
  <si>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</si>
  <si>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</si>
  <si>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</si>
  <si>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</si>
  <si>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</si>
  <si>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</si>
  <si>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</si>
  <si>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</si>
  <si>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</si>
  <si>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</si>
  <si>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</si>
  <si>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</si>
  <si>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</si>
  <si>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</si>
  <si>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</si>
  <si>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</si>
  <si>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</si>
  <si>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</si>
  <si>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</si>
  <si>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</si>
  <si>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</si>
  <si>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</si>
  <si>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</si>
  <si>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</si>
  <si>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</si>
  <si>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</si>
  <si>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</si>
  <si>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</si>
  <si>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</si>
  <si>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</si>
  <si>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</si>
  <si>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</si>
  <si>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</si>
  <si>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</si>
  <si>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</si>
  <si>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</si>
  <si>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</si>
  <si>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</si>
  <si>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</si>
  <si>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</si>
  <si>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</si>
  <si>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</si>
  <si>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</si>
  <si>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</si>
  <si>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</si>
  <si>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</si>
  <si>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</si>
  <si>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</si>
  <si>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</si>
  <si>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</si>
  <si>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</si>
  <si>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</si>
  <si>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</si>
  <si>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</si>
  <si>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</si>
  <si>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</si>
  <si>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</si>
  <si>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</si>
  <si>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</si>
  <si>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</si>
  <si>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</si>
  <si>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</si>
  <si>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</si>
  <si>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</si>
  <si>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</si>
  <si>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</si>
  <si>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</si>
  <si>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</si>
  <si>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</si>
  <si>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</si>
  <si>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</si>
  <si>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</si>
  <si>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</si>
  <si>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</si>
  <si>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</si>
  <si>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</si>
  <si>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</si>
  <si>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</si>
  <si>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</si>
  <si>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</si>
  <si>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</si>
  <si>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</si>
  <si>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</si>
  <si>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</si>
  <si>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</si>
  <si>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</si>
  <si>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</si>
  <si>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</si>
  <si>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</si>
  <si>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</si>
  <si>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</si>
  <si>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</si>
  <si>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</si>
  <si>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</si>
  <si>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</si>
  <si>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</si>
  <si>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</si>
  <si>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</si>
  <si>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</si>
  <si>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</si>
  <si>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</si>
  <si>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</si>
  <si>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</si>
  <si>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</si>
  <si>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</si>
  <si>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</si>
  <si>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</si>
  <si>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</si>
  <si>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</si>
  <si>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</si>
  <si>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</si>
  <si>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</si>
  <si>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</si>
  <si>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</si>
  <si>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</si>
  <si>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</si>
  <si>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</si>
  <si>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</si>
  <si>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</si>
  <si>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</si>
  <si>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</si>
  <si>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</si>
  <si>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</si>
  <si>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</si>
  <si>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</si>
  <si>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</si>
  <si>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</si>
  <si>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</si>
  <si>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</si>
  <si>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</si>
  <si>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</si>
  <si>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</si>
  <si>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</si>
  <si>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</si>
  <si>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</si>
  <si>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</si>
  <si>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</si>
  <si>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</si>
  <si>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</si>
  <si>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</si>
  <si>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</si>
  <si>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</si>
  <si>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</si>
  <si>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</si>
  <si>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</si>
  <si>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</si>
  <si>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</si>
  <si>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</si>
  <si>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</si>
  <si>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</si>
  <si>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</si>
  <si>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</si>
  <si>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</si>
  <si>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</si>
  <si>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</si>
  <si>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</si>
  <si>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</si>
  <si>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</si>
  <si>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</si>
  <si>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</si>
  <si>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</si>
  <si>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</si>
  <si>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</si>
  <si>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</si>
  <si>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</si>
  <si>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</si>
  <si>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</si>
  <si>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</si>
  <si>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</si>
  <si>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</si>
  <si>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</si>
  <si>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</si>
  <si>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</si>
  <si>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</si>
  <si>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</si>
  <si>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</si>
  <si>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</si>
  <si>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</si>
  <si>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</si>
  <si>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</si>
  <si>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</si>
  <si>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</si>
  <si>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</si>
  <si>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</si>
  <si>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</si>
  <si>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</si>
  <si>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</si>
  <si>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</si>
  <si>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</si>
  <si>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</si>
  <si>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</si>
  <si>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</si>
  <si>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</si>
  <si>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</si>
  <si>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</si>
  <si>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</si>
  <si>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</si>
  <si>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</si>
  <si>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</si>
  <si>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</si>
  <si>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</si>
  <si>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</si>
  <si>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</si>
  <si>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</si>
  <si>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</si>
  <si>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</si>
  <si>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</si>
  <si>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</si>
  <si>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</si>
  <si>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</si>
  <si>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</si>
  <si>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</si>
  <si>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</si>
  <si>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</si>
  <si>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</si>
  <si>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</si>
  <si>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</si>
  <si>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</si>
  <si>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</si>
  <si>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</si>
  <si>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</si>
  <si>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</si>
  <si>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</si>
  <si>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</si>
  <si>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</si>
  <si>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</si>
  <si>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</si>
  <si>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</si>
  <si>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</si>
  <si>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</si>
  <si>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</si>
  <si>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</si>
  <si>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</si>
  <si>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</si>
  <si>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</si>
  <si>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</si>
  <si>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</si>
  <si>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</si>
  <si>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</si>
  <si>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</si>
  <si>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</si>
  <si>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</si>
  <si>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</si>
  <si>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</si>
  <si>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</si>
  <si>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</si>
  <si>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</si>
  <si>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</si>
  <si>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</si>
  <si>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</si>
  <si>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</si>
  <si>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</si>
  <si>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</si>
  <si>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</si>
  <si>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</si>
  <si>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</si>
  <si>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</si>
  <si>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</si>
  <si>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</si>
  <si>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</si>
  <si>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</si>
  <si>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</si>
  <si>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</si>
  <si>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</si>
  <si>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</si>
  <si>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</si>
  <si>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</si>
  <si>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</si>
  <si>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</si>
  <si>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</si>
  <si>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</si>
  <si>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</si>
  <si>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</si>
  <si>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</si>
  <si>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</si>
  <si>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</si>
  <si>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</si>
  <si>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</si>
  <si>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</si>
  <si>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</si>
  <si>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</si>
  <si>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</si>
  <si>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</si>
  <si>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</si>
  <si>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</si>
  <si>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</si>
  <si>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</si>
  <si>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</si>
  <si>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</si>
  <si>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</si>
  <si>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</si>
  <si>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</si>
  <si>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</si>
  <si>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</si>
  <si>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</si>
  <si>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</si>
  <si>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</si>
  <si>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</si>
  <si>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</si>
  <si>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</si>
  <si>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</si>
  <si>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</si>
  <si>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</si>
  <si>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</si>
  <si>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</si>
  <si>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</si>
  <si>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</si>
  <si>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</si>
  <si>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</si>
  <si>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</si>
  <si>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</si>
  <si>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</si>
  <si>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</si>
  <si>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</si>
  <si>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</si>
  <si>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</si>
  <si>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</si>
  <si>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</si>
  <si>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</si>
  <si>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</si>
  <si>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</si>
  <si>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</si>
  <si>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</si>
  <si>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</si>
  <si>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</si>
  <si>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</si>
  <si>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</si>
  <si>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</si>
  <si>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</si>
  <si>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</si>
  <si>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</si>
  <si>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</si>
  <si>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</si>
  <si>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</si>
  <si>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</si>
  <si>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</si>
  <si>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</si>
  <si>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</si>
  <si>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</si>
  <si>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</si>
  <si>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</si>
  <si>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</si>
  <si>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</si>
  <si>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</si>
  <si>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</si>
  <si>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</si>
  <si>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</si>
  <si>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</si>
  <si>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</si>
  <si>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</si>
  <si>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</si>
  <si>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</si>
  <si>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</si>
  <si>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</si>
  <si>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</si>
  <si>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</si>
  <si>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</si>
  <si>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</si>
  <si>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</si>
  <si>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</si>
  <si>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</si>
  <si>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</si>
  <si>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</si>
  <si>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</si>
  <si>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</si>
  <si>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</si>
  <si>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</si>
  <si>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</si>
  <si>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</si>
  <si>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</si>
  <si>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</si>
  <si>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</si>
  <si>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</si>
  <si>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</si>
  <si>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</si>
  <si>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</si>
  <si>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</si>
  <si>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</si>
  <si>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</si>
  <si>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</si>
  <si>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</si>
  <si>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</si>
  <si>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</si>
  <si>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</si>
  <si>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</si>
  <si>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</si>
  <si>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</si>
  <si>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</si>
  <si>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</si>
  <si>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</si>
  <si>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</si>
  <si>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</si>
  <si>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</si>
  <si>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</si>
  <si>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</si>
  <si>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</si>
  <si>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</si>
  <si>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</si>
  <si>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</si>
  <si>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</si>
  <si>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</si>
  <si>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</si>
  <si>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</si>
  <si>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</si>
  <si>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</si>
  <si>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</si>
  <si>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</si>
  <si>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</si>
  <si>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</si>
  <si>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</si>
  <si>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</si>
  <si>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</si>
  <si>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</si>
  <si>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</si>
  <si>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</si>
  <si>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</si>
  <si>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</si>
  <si>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</si>
  <si>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</si>
  <si>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</si>
  <si>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</si>
  <si>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</si>
  <si>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</si>
  <si>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</si>
  <si>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</si>
  <si>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</si>
  <si>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</si>
  <si>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</si>
  <si>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</si>
  <si>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</si>
  <si>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</si>
  <si>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</si>
  <si>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</si>
  <si>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</si>
  <si>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</si>
  <si>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</si>
  <si>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</si>
  <si>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</si>
  <si>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</si>
  <si>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</si>
  <si>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</si>
  <si>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</si>
  <si>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</si>
  <si>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</si>
  <si>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</si>
  <si>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</si>
  <si>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</si>
  <si>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</si>
  <si>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</si>
  <si>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</si>
  <si>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</si>
  <si>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</si>
  <si>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</si>
  <si>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</si>
  <si>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</si>
  <si>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</si>
  <si>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</si>
  <si>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</si>
  <si>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</si>
  <si>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</si>
  <si>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</si>
  <si>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</si>
  <si>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</si>
  <si>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</si>
  <si>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</si>
  <si>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</si>
  <si>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</si>
  <si>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</si>
  <si>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</si>
  <si>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</si>
  <si>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</si>
  <si>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</si>
  <si>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</si>
  <si>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</si>
  <si>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</si>
  <si>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</si>
  <si>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</si>
  <si>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</si>
  <si>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</si>
  <si>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</si>
  <si>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</si>
  <si>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</si>
  <si>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</si>
  <si>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</si>
  <si>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</si>
  <si>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</si>
  <si>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</si>
  <si>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</si>
  <si>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</si>
  <si>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</si>
  <si>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</si>
  <si>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</si>
  <si>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</si>
  <si>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</si>
  <si>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</si>
  <si>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</si>
  <si>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</si>
  <si>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</si>
  <si>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</si>
  <si>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</si>
  <si>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</si>
  <si>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</si>
  <si>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</si>
  <si>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</si>
  <si>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</si>
  <si>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</si>
  <si>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</si>
  <si>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</si>
  <si>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</si>
  <si>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</si>
  <si>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</si>
  <si>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</si>
  <si>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</si>
  <si>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</si>
  <si>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</si>
  <si>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</si>
  <si>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</si>
  <si>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</si>
  <si>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</si>
  <si>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</si>
  <si>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</si>
  <si>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</si>
  <si>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</si>
  <si>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</si>
  <si>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</si>
  <si>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</si>
  <si>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</si>
  <si>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</si>
  <si>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</si>
  <si>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</si>
  <si>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</si>
  <si>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</si>
  <si>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</si>
  <si>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</si>
  <si>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</si>
  <si>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</si>
  <si>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</si>
  <si>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</si>
  <si>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</si>
  <si>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</si>
  <si>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</si>
  <si>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</si>
  <si>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</si>
  <si>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</si>
  <si>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</si>
  <si>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</si>
  <si>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</si>
  <si>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</si>
  <si>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</si>
  <si>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</si>
  <si>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</si>
  <si>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</si>
  <si>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</si>
  <si>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</si>
  <si>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</si>
  <si>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</si>
  <si>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</si>
  <si>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</si>
  <si>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</si>
  <si>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</si>
  <si>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</si>
  <si>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</si>
  <si>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</si>
  <si>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</si>
  <si>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</si>
  <si>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</si>
  <si>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</si>
  <si>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</si>
  <si>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</si>
  <si>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</si>
  <si>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</si>
  <si>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</si>
  <si>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</si>
  <si>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</si>
  <si>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</si>
  <si>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</si>
  <si>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</si>
  <si>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</si>
  <si>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</si>
  <si>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</si>
  <si>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</si>
  <si>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</si>
  <si>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</si>
  <si>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</si>
  <si>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</si>
  <si>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</si>
  <si>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</si>
  <si>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</si>
  <si>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</si>
  <si>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</si>
  <si>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</si>
  <si>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</si>
  <si>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</si>
  <si>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</si>
  <si>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</si>
  <si>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</si>
  <si>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</si>
  <si>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</si>
  <si>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</si>
  <si>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</si>
  <si>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</si>
  <si>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</si>
  <si>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</si>
  <si>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</si>
  <si>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</si>
  <si>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</si>
  <si>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</si>
  <si>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</si>
  <si>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</si>
  <si>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</si>
  <si>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</si>
  <si>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</si>
  <si>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</si>
  <si>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</si>
  <si>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</si>
  <si>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</si>
  <si>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</si>
  <si>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</si>
  <si>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</si>
  <si>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</si>
  <si>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</si>
  <si>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</si>
  <si>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</si>
  <si>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</si>
  <si>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</si>
  <si>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</si>
  <si>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</si>
  <si>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</si>
  <si>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</si>
  <si>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</si>
  <si>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</si>
  <si>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</si>
  <si>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</si>
  <si>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</si>
  <si>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</si>
  <si>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</si>
  <si>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</si>
  <si>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</si>
  <si>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</si>
  <si>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</si>
  <si>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</si>
  <si>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</si>
  <si>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</si>
  <si>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</si>
  <si>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</si>
  <si>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</si>
  <si>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</si>
  <si>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</si>
  <si>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</si>
  <si>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</si>
  <si>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</si>
  <si>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</si>
  <si>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</si>
  <si>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</si>
  <si>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</si>
  <si>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</si>
  <si>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</si>
  <si>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</si>
  <si>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</si>
  <si>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</si>
  <si>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</si>
  <si>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</si>
  <si>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</si>
  <si>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</si>
  <si>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</si>
  <si>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</si>
  <si>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</si>
  <si>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</si>
  <si>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</si>
  <si>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</si>
  <si>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</si>
  <si>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</si>
  <si>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</si>
  <si>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</si>
  <si>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</si>
  <si>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</si>
  <si>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</si>
  <si>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</si>
  <si>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</si>
  <si>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</si>
  <si>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</si>
  <si>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</si>
  <si>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</si>
  <si>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</si>
  <si>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</si>
  <si>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</si>
  <si>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</si>
  <si>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</si>
  <si>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</si>
  <si>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</si>
  <si>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</si>
  <si>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</si>
  <si>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</si>
  <si>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</si>
  <si>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</si>
  <si>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</si>
  <si>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</si>
  <si>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</si>
  <si>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</si>
  <si>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</si>
  <si>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</si>
  <si>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</si>
  <si>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</si>
  <si>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</si>
  <si>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</si>
  <si>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</si>
  <si>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</si>
  <si>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</si>
  <si>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</si>
  <si>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</si>
  <si>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</si>
  <si>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</si>
  <si>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</si>
  <si>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</si>
  <si>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</si>
  <si>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</si>
  <si>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</si>
  <si>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</si>
  <si>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</si>
  <si>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</si>
  <si>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</si>
  <si>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</si>
  <si>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</si>
  <si>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</si>
  <si>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</si>
  <si>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</si>
  <si>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</si>
  <si>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</si>
  <si>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</si>
  <si>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</si>
  <si>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</si>
  <si>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</si>
  <si>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</si>
  <si>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</si>
  <si>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</si>
  <si>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</si>
  <si>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</si>
  <si>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</si>
  <si>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</si>
  <si>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</si>
  <si>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</si>
  <si>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</si>
  <si>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</si>
  <si>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</si>
  <si>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</si>
  <si>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</si>
  <si>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</si>
  <si>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</si>
  <si>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</si>
  <si>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</si>
  <si>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</si>
  <si>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</si>
  <si>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</si>
  <si>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</si>
  <si>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</si>
  <si>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</si>
  <si>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</si>
  <si>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</si>
  <si>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</si>
  <si>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</si>
  <si>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</si>
  <si>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</si>
  <si>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</si>
  <si>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</si>
  <si>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</si>
  <si>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</si>
  <si>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</si>
  <si>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</si>
  <si>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</si>
  <si>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</si>
  <si>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</si>
  <si>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</si>
  <si>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</si>
  <si>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</si>
  <si>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</si>
  <si>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</si>
  <si>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</si>
  <si>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</si>
  <si>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</si>
  <si>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</si>
  <si>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</si>
  <si>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</si>
  <si>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</si>
  <si>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</si>
  <si>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</si>
  <si>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</si>
  <si>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</si>
  <si>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</si>
  <si>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</si>
  <si>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</si>
  <si>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</si>
  <si>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</si>
  <si>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</si>
  <si>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</si>
  <si>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</si>
  <si>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</si>
  <si>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</si>
  <si>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</si>
  <si>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</si>
  <si>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</si>
  <si>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</si>
  <si>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</si>
  <si>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</si>
  <si>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</si>
  <si>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</si>
  <si>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</si>
  <si>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</si>
  <si>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</si>
  <si>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</si>
  <si>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</si>
  <si>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</si>
  <si>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</si>
  <si>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</si>
  <si>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</si>
  <si>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</si>
  <si>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</si>
  <si>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</si>
  <si>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</si>
  <si>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</si>
  <si>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</si>
  <si>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</si>
  <si>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</si>
  <si>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</si>
  <si>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</si>
  <si>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</si>
  <si>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</si>
  <si>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</si>
  <si>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</si>
  <si>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</si>
  <si>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</si>
  <si>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</si>
  <si>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</si>
  <si>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</si>
  <si>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</si>
  <si>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</si>
  <si>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</si>
  <si>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</si>
  <si>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</si>
  <si>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</si>
  <si>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</si>
  <si>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</si>
  <si>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</si>
  <si>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</si>
  <si>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</si>
  <si>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</si>
  <si>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</si>
  <si>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</si>
  <si>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</si>
  <si>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</si>
  <si>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</si>
  <si>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</si>
  <si>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</si>
  <si>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</si>
  <si>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</si>
  <si>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</si>
  <si>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</si>
  <si>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</si>
  <si>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</si>
  <si>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</si>
  <si>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</si>
  <si>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</si>
  <si>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</si>
  <si>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</si>
  <si>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</si>
  <si>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</si>
  <si>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</si>
  <si>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</si>
  <si>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</si>
  <si>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</si>
  <si>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</si>
  <si>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</si>
  <si>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</si>
  <si>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</si>
  <si>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</si>
  <si>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</si>
  <si>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</si>
  <si>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</si>
  <si>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</si>
  <si>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</si>
  <si>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</si>
  <si>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</si>
  <si>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</si>
  <si>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</si>
  <si>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</si>
  <si>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</si>
  <si>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</si>
  <si>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</si>
  <si>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</si>
  <si>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</si>
  <si>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</si>
  <si>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</si>
  <si>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</si>
  <si>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</si>
  <si>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</si>
  <si>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</si>
  <si>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</si>
  <si>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</si>
  <si>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</si>
  <si>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</si>
  <si>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</si>
  <si>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</si>
  <si>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</si>
  <si>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</si>
  <si>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</si>
  <si>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</si>
  <si>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</si>
  <si>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</si>
  <si>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</si>
  <si>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</si>
  <si>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</si>
  <si>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</si>
  <si>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</si>
  <si>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</si>
  <si>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</si>
  <si>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</si>
  <si>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</si>
  <si>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</si>
  <si>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</si>
  <si>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</si>
  <si>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</si>
  <si>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</si>
  <si>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</si>
  <si>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</si>
  <si>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</si>
  <si>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</si>
  <si>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</si>
  <si>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</si>
  <si>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</si>
  <si>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</si>
  <si>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</si>
  <si>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</si>
  <si>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</si>
  <si>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</si>
  <si>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</si>
  <si>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</si>
  <si>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</si>
  <si>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</si>
  <si>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</si>
  <si>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</si>
  <si>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</si>
  <si>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</si>
  <si>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</si>
  <si>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</si>
  <si>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</si>
  <si>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</si>
  <si>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</si>
  <si>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</si>
  <si>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</si>
  <si>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</si>
  <si>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</si>
  <si>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</si>
  <si>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</si>
  <si>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</si>
  <si>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</si>
  <si>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</si>
  <si>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</si>
  <si>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</si>
  <si>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</si>
  <si>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</si>
  <si>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</si>
  <si>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</si>
  <si>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</si>
  <si>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</si>
  <si>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</si>
  <si>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</si>
  <si>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</si>
  <si>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</si>
  <si>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</si>
  <si>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</si>
  <si>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</si>
  <si>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</si>
  <si>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</si>
  <si>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</si>
  <si>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</si>
  <si>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</si>
  <si>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</si>
  <si>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</si>
  <si>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</si>
  <si>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</si>
  <si>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</si>
  <si>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</si>
  <si>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</si>
  <si>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</si>
  <si>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</si>
  <si>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</si>
  <si>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</si>
  <si>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</si>
  <si>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</si>
  <si>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</si>
  <si>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</si>
  <si>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</si>
  <si>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</si>
  <si>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</si>
  <si>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</si>
  <si>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</si>
  <si>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</si>
  <si>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</si>
  <si>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</si>
  <si>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</si>
  <si>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</si>
  <si>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</si>
  <si>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</si>
  <si>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</si>
  <si>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</si>
  <si>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</si>
  <si>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</si>
  <si>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</si>
  <si>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</si>
  <si>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</si>
  <si>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</si>
  <si>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</si>
  <si>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</si>
  <si>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</si>
  <si>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</si>
  <si>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</si>
  <si>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</si>
  <si>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</si>
  <si>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</si>
  <si>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</si>
  <si>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</si>
  <si>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</si>
  <si>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</si>
  <si>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</si>
  <si>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</si>
  <si>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</si>
  <si>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</si>
  <si>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</si>
  <si>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</si>
  <si>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</si>
  <si>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</si>
  <si>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</si>
  <si>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</si>
  <si>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</si>
  <si>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</si>
  <si>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</si>
  <si>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</si>
  <si>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</si>
  <si>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</si>
  <si>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</si>
  <si>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</si>
  <si>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</si>
  <si>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</si>
  <si>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</si>
  <si>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</si>
  <si>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</si>
  <si>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</si>
  <si>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</si>
  <si>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</si>
  <si>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</si>
  <si>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</si>
  <si>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</si>
  <si>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</si>
  <si>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</si>
  <si>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</si>
  <si>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</si>
  <si>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</si>
  <si>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</si>
  <si>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</si>
  <si>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</si>
  <si>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</si>
  <si>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</si>
  <si>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</si>
  <si>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</si>
  <si>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</si>
  <si>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</si>
  <si>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</si>
  <si>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</si>
  <si>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</si>
  <si>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</si>
  <si>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</si>
  <si>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</si>
  <si>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</si>
  <si>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</si>
  <si>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</si>
  <si>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</si>
  <si>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</si>
  <si>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</si>
  <si>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</si>
  <si>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</si>
  <si>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</si>
  <si>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</si>
  <si>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</si>
  <si>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</si>
  <si>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</si>
  <si>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</si>
  <si>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</si>
  <si>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</si>
  <si>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</si>
  <si>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</si>
  <si>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</si>
  <si>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</si>
  <si>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</si>
  <si>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</si>
  <si>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</si>
  <si>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</si>
  <si>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</si>
  <si>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</si>
  <si>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</si>
  <si>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</si>
  <si>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</si>
  <si>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</si>
  <si>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</si>
  <si>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</si>
  <si>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</si>
  <si>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</si>
  <si>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</si>
  <si>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</si>
  <si>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</si>
  <si>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</si>
  <si>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</si>
  <si>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</si>
  <si>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</si>
  <si>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</si>
  <si>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</si>
  <si>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</si>
  <si>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</si>
  <si>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</si>
  <si>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</si>
  <si>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</si>
  <si>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</si>
  <si>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</si>
  <si>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</si>
  <si>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</si>
  <si>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</si>
  <si>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</si>
  <si>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</si>
  <si>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</si>
  <si>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</si>
  <si>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</si>
  <si>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</si>
  <si>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</si>
  <si>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</si>
  <si>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</si>
  <si>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</si>
  <si>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</si>
  <si>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</si>
  <si>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</si>
  <si>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</si>
  <si>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</si>
  <si>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</si>
  <si>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</si>
  <si>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</si>
  <si>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</si>
  <si>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</si>
  <si>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</si>
  <si>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</si>
  <si>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</si>
  <si>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</si>
  <si>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</si>
  <si>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</si>
  <si>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</si>
  <si>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</si>
  <si>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</si>
  <si>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</si>
  <si>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</si>
  <si>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</si>
  <si>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</si>
  <si>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</si>
  <si>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</si>
  <si>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</si>
  <si>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</si>
  <si>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</si>
  <si>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</si>
  <si>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</si>
  <si>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</si>
  <si>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</si>
  <si>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</si>
  <si>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</si>
  <si>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</si>
  <si>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</si>
  <si>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</si>
  <si>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</si>
  <si>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</si>
  <si>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</si>
  <si>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</si>
  <si>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</si>
  <si>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</si>
  <si>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</si>
  <si>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</si>
  <si>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</si>
  <si>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</si>
  <si>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</si>
  <si>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</si>
  <si>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</si>
  <si>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</si>
  <si>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</si>
  <si>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</si>
  <si>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</si>
  <si>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</si>
  <si>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</si>
  <si>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</si>
  <si>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</si>
  <si>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</si>
  <si>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</si>
  <si>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</si>
  <si>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</si>
  <si>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</si>
  <si>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</si>
  <si>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</si>
  <si>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</si>
  <si>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</si>
  <si>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</si>
  <si>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</si>
  <si>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</si>
  <si>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</si>
  <si>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</si>
  <si>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</si>
  <si>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</si>
  <si>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</si>
  <si>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</si>
  <si>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</si>
  <si>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</si>
  <si>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</si>
  <si>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</si>
  <si>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</si>
  <si>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</si>
  <si>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</si>
  <si>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</si>
  <si>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</si>
  <si>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</si>
  <si>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</si>
  <si>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</si>
  <si>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</si>
  <si>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</si>
  <si>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</si>
  <si>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</si>
  <si>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</si>
  <si>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</si>
  <si>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</si>
  <si>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</si>
  <si>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</si>
  <si>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</si>
  <si>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</si>
  <si>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</si>
  <si>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</si>
  <si>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</si>
  <si>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</si>
  <si>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</si>
  <si>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</si>
  <si>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</si>
  <si>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</si>
  <si>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</si>
  <si>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</si>
  <si>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</si>
  <si>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</si>
  <si>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</si>
  <si>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</si>
  <si>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</si>
  <si>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</si>
  <si>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</si>
  <si>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</si>
  <si>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</si>
  <si>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</si>
  <si>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</si>
  <si>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</si>
  <si>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</si>
  <si>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</si>
  <si>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</si>
  <si>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</si>
  <si>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</si>
  <si>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</si>
  <si>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</si>
  <si>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</si>
  <si>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</si>
  <si>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</si>
  <si>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</si>
  <si>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</si>
  <si>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</si>
  <si>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</si>
  <si>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</si>
  <si>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</si>
  <si>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</si>
  <si>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</si>
  <si>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</si>
  <si>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</si>
  <si>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</si>
  <si>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</si>
  <si>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</si>
  <si>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</si>
  <si>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</si>
  <si>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</si>
  <si>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</si>
  <si>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</si>
  <si>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</si>
  <si>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</si>
  <si>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</si>
  <si>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</si>
  <si>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</si>
  <si>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</si>
  <si>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</si>
  <si>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</si>
  <si>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</si>
  <si>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</si>
  <si>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</si>
  <si>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</si>
  <si>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</si>
  <si>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</si>
  <si>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</si>
  <si>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</si>
  <si>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</si>
  <si>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</si>
  <si>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</si>
  <si>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</si>
  <si>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</si>
  <si>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</si>
  <si>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</si>
  <si>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</si>
  <si>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</si>
  <si>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</si>
  <si>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</si>
  <si>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</si>
  <si>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</si>
  <si>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</si>
  <si>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</si>
  <si>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</si>
  <si>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</si>
  <si>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</si>
  <si>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</si>
  <si>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</si>
  <si>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</si>
  <si>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</si>
  <si>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</si>
  <si>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</si>
  <si>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</si>
  <si>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</si>
  <si>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</si>
  <si>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</si>
  <si>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</si>
  <si>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</si>
  <si>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</si>
  <si>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</si>
  <si>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</si>
  <si>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</si>
  <si>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</si>
  <si>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</si>
  <si>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</si>
  <si>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</si>
  <si>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</si>
  <si>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</si>
  <si>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</si>
  <si>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</si>
  <si>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</si>
  <si>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</si>
  <si>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</si>
  <si>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</si>
  <si>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</si>
  <si>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</si>
  <si>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</si>
  <si>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</si>
  <si>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</si>
  <si>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</si>
  <si>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</si>
  <si>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</si>
  <si>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</si>
  <si>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</si>
  <si>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</si>
  <si>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</si>
  <si>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</si>
  <si>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</si>
  <si>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</si>
  <si>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</si>
  <si>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</si>
  <si>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</si>
  <si>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</si>
  <si>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</si>
  <si>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</si>
  <si>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</si>
  <si>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</si>
  <si>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</si>
  <si>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</si>
  <si>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</si>
  <si>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</si>
  <si>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</si>
  <si>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</si>
  <si>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</si>
  <si>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</si>
  <si>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</si>
  <si>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</si>
  <si>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</si>
  <si>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</si>
  <si>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</si>
  <si>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</si>
  <si>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</si>
  <si>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</si>
  <si>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</si>
  <si>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</si>
  <si>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</si>
  <si>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</si>
  <si>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</si>
  <si>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</si>
  <si>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</si>
  <si>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</si>
  <si>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</si>
  <si>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</si>
  <si>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</si>
  <si>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</si>
  <si>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</si>
  <si>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</si>
  <si>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</si>
  <si>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</si>
  <si>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</si>
  <si>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</si>
  <si>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</si>
  <si>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</si>
  <si>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</si>
  <si>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</si>
  <si>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</si>
  <si>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</si>
  <si>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</si>
  <si>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</si>
  <si>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</si>
  <si>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</si>
  <si>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</si>
  <si>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</si>
  <si>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</si>
  <si>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</si>
  <si>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</si>
  <si>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</si>
  <si>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</si>
  <si>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</si>
  <si>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</si>
  <si>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</si>
  <si>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</si>
  <si>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</si>
  <si>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</si>
  <si>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</si>
  <si>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</si>
  <si>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</si>
  <si>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</si>
  <si>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</si>
  <si>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</si>
  <si>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</si>
  <si>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</si>
  <si>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</si>
  <si>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</si>
  <si>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</si>
  <si>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</si>
  <si>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</si>
  <si>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</si>
  <si>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</si>
  <si>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</si>
  <si>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</si>
  <si>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</si>
  <si>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</si>
  <si>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</si>
  <si>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</si>
  <si>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</si>
  <si>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</si>
  <si>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</si>
  <si>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</si>
  <si>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</si>
  <si>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</si>
  <si>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</si>
  <si>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</si>
  <si>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</si>
  <si>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</si>
  <si>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</si>
  <si>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</si>
  <si>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</si>
  <si>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</si>
  <si>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</si>
  <si>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</si>
  <si>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</si>
  <si>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</si>
  <si>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</si>
  <si>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</si>
  <si>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</si>
  <si>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</si>
  <si>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</si>
  <si>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</si>
  <si>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</si>
  <si>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</si>
  <si>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</si>
  <si>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</si>
  <si>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</si>
  <si>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</si>
  <si>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</si>
  <si>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</si>
  <si>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</si>
  <si>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</si>
  <si>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</si>
  <si>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</si>
  <si>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</si>
  <si>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</si>
  <si>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</si>
  <si>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</si>
  <si>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</si>
  <si>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</si>
  <si>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</si>
  <si>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</si>
  <si>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</si>
  <si>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</si>
  <si>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</si>
  <si>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</si>
  <si>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</si>
  <si>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</si>
  <si>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</si>
  <si>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</si>
  <si>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</si>
  <si>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</si>
  <si>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</si>
  <si>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</si>
  <si>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</si>
  <si>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</si>
  <si>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</si>
  <si>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</si>
  <si>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</si>
  <si>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</si>
  <si>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</si>
  <si>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</si>
  <si>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</si>
  <si>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</si>
  <si>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</si>
  <si>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</si>
  <si>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</si>
  <si>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</si>
  <si>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</si>
  <si>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</si>
  <si>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</si>
  <si>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</si>
  <si>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</si>
  <si>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</si>
  <si>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</si>
  <si>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</si>
  <si>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</si>
  <si>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</si>
  <si>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</si>
  <si>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</si>
  <si>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</si>
  <si>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</si>
  <si>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</si>
  <si>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</si>
  <si>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</si>
  <si>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</si>
  <si>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</si>
  <si>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</si>
  <si>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</si>
  <si>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</si>
  <si>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</si>
  <si>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</si>
  <si>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</si>
  <si>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</si>
  <si>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</si>
  <si>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</si>
  <si>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</si>
  <si>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</si>
  <si>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</si>
  <si>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</si>
  <si>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</si>
  <si>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</si>
  <si>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</si>
  <si>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</si>
  <si>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</si>
  <si>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</si>
  <si>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</si>
  <si>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</si>
  <si>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</si>
  <si>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</si>
  <si>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</si>
  <si>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</si>
  <si>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</si>
  <si>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</si>
  <si>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</si>
  <si>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</si>
  <si>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</si>
  <si>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</si>
  <si>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</si>
  <si>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</si>
  <si>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</si>
  <si>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</si>
  <si>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</si>
  <si>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</si>
  <si>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</si>
  <si>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</si>
  <si>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</si>
  <si>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</si>
  <si>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</si>
  <si>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</si>
  <si>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</si>
  <si>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</si>
  <si>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</si>
  <si>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</si>
  <si>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</si>
  <si>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</si>
  <si>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</si>
  <si>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</si>
  <si>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</si>
  <si>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</si>
  <si>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</si>
  <si>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</si>
  <si>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</si>
  <si>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</si>
  <si>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</si>
  <si>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</si>
  <si>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</si>
  <si>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</si>
  <si>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</si>
  <si>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</si>
  <si>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</si>
  <si>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</si>
  <si>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</si>
  <si>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</si>
  <si>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</si>
  <si>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</si>
  <si>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</si>
  <si>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</si>
  <si>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</si>
  <si>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</si>
  <si>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</si>
  <si>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</si>
  <si>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</si>
  <si>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</si>
  <si>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</si>
  <si>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</si>
  <si>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</si>
  <si>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</si>
  <si>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</si>
  <si>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</si>
  <si>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</si>
  <si>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</si>
  <si>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</si>
  <si>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</si>
  <si>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</si>
  <si>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</si>
  <si>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</si>
  <si>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</si>
  <si>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</si>
  <si>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</si>
  <si>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</si>
  <si>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</si>
  <si>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</si>
  <si>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</si>
  <si>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</si>
  <si>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</si>
  <si>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</si>
  <si>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</si>
  <si>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</si>
  <si>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</si>
  <si>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</si>
  <si>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</si>
  <si>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</si>
  <si>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</si>
  <si>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</si>
  <si>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</si>
  <si>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</si>
  <si>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</si>
  <si>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</si>
  <si>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</si>
  <si>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</si>
  <si>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</si>
  <si>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</si>
  <si>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</si>
  <si>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</si>
  <si>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</si>
  <si>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</si>
  <si>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</si>
  <si>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</si>
  <si>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</si>
  <si>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</si>
  <si>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</si>
  <si>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</si>
  <si>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</si>
  <si>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</si>
  <si>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</si>
  <si>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</si>
  <si>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</si>
  <si>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</si>
  <si>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</si>
  <si>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</si>
  <si>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</si>
  <si>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</si>
  <si>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</si>
  <si>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</si>
  <si>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</si>
  <si>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</si>
  <si>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</si>
  <si>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</si>
  <si>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</si>
  <si>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</si>
  <si>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</si>
  <si>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</si>
  <si>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</si>
  <si>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</si>
  <si>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</si>
  <si>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</si>
  <si>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</si>
  <si>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</si>
  <si>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</si>
  <si>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</si>
  <si>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</si>
  <si>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</si>
  <si>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</si>
  <si>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</si>
  <si>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</si>
  <si>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</si>
  <si>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</si>
  <si>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</si>
  <si>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</si>
  <si>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</si>
  <si>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</si>
  <si>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</si>
  <si>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</si>
  <si>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</si>
  <si>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</si>
  <si>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</si>
  <si>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</si>
  <si>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</si>
  <si>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</si>
  <si>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</si>
  <si>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</si>
  <si>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</si>
  <si>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</si>
  <si>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</si>
  <si>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</si>
  <si>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</si>
  <si>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</si>
  <si>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</si>
  <si>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</si>
  <si>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</si>
  <si>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</si>
  <si>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</si>
  <si>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</si>
  <si>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</si>
  <si>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</si>
  <si>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</si>
  <si>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</si>
  <si>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</si>
  <si>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</si>
  <si>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</si>
  <si>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</si>
  <si>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</si>
  <si>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</si>
  <si>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</si>
  <si>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</si>
  <si>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</si>
  <si>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</si>
  <si>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</si>
  <si>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</si>
  <si>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</si>
  <si>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</si>
  <si>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</si>
  <si>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</si>
  <si>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</si>
  <si>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</si>
  <si>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</si>
  <si>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</si>
  <si>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</si>
  <si>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</si>
  <si>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</si>
  <si>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</si>
  <si>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</si>
  <si>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</si>
  <si>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</si>
  <si>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</si>
  <si>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</si>
  <si>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</si>
  <si>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</si>
  <si>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</si>
  <si>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</si>
  <si>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</si>
  <si>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</si>
  <si>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</si>
  <si>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</si>
  <si>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</si>
  <si>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</si>
  <si>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</si>
  <si>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</si>
  <si>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</si>
  <si>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</si>
  <si>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</si>
  <si>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</si>
  <si>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</si>
  <si>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</si>
  <si>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</si>
  <si>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</si>
  <si>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</si>
  <si>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</si>
  <si>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</si>
  <si>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</si>
  <si>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</si>
  <si>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</si>
  <si>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</si>
  <si>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</si>
  <si>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</si>
  <si>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</si>
  <si>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</si>
  <si>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</si>
  <si>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</si>
  <si>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</si>
  <si>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</si>
  <si>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</si>
  <si>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</si>
  <si>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</si>
  <si>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</si>
  <si>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</si>
  <si>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</si>
  <si>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</si>
  <si>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</si>
  <si>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</si>
  <si>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</si>
  <si>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</si>
  <si>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</si>
  <si>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</si>
  <si>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</si>
  <si>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</si>
  <si>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</si>
  <si>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</si>
  <si>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</si>
  <si>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</si>
  <si>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</si>
  <si>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</si>
  <si>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</si>
  <si>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</si>
  <si>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</si>
  <si>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</si>
  <si>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</si>
  <si>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</si>
  <si>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</si>
  <si>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</si>
  <si>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</si>
  <si>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</si>
  <si>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</si>
  <si>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</si>
  <si>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</si>
  <si>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</si>
  <si>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</si>
  <si>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</si>
  <si>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</si>
  <si>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</si>
  <si>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</si>
  <si>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</si>
  <si>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</si>
  <si>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</si>
  <si>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</si>
  <si>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</si>
  <si>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</si>
  <si>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</si>
  <si>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</si>
  <si>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</si>
  <si>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</si>
  <si>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</si>
  <si>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</si>
  <si>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</si>
  <si>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</si>
  <si>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</si>
  <si>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</si>
  <si>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</si>
  <si>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</si>
  <si>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</si>
  <si>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</si>
  <si>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</si>
  <si>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</si>
  <si>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</si>
  <si>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</si>
  <si>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</si>
  <si>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</si>
  <si>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</si>
  <si>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</si>
  <si>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</si>
  <si>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</si>
  <si>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</si>
  <si>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</si>
  <si>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</si>
  <si>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</si>
  <si>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</si>
  <si>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</si>
  <si>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</si>
  <si>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</si>
  <si>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</si>
  <si>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</si>
  <si>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</si>
  <si>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</si>
  <si>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</si>
  <si>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</si>
  <si>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</si>
  <si>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</si>
  <si>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</si>
  <si>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</si>
  <si>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</si>
  <si>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</si>
  <si>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</si>
  <si>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</si>
  <si>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</si>
  <si>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</si>
  <si>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</si>
  <si>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</si>
  <si>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</si>
  <si>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</si>
  <si>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</si>
  <si>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</si>
  <si>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</si>
  <si>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</si>
  <si>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</si>
  <si>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</si>
  <si>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</si>
  <si>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</si>
  <si>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</si>
  <si>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</si>
  <si>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</si>
  <si>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</si>
  <si>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</si>
  <si>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</si>
  <si>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</si>
  <si>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</si>
  <si>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</si>
  <si>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</si>
  <si>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</si>
  <si>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</si>
  <si>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</si>
  <si>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</si>
  <si>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</si>
  <si>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</si>
  <si>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</si>
  <si>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</si>
  <si>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</si>
  <si>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</si>
  <si>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</si>
  <si>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</si>
  <si>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</si>
  <si>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</si>
  <si>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</si>
  <si>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</si>
  <si>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</si>
  <si>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</si>
  <si>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</si>
  <si>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</si>
  <si>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</si>
  <si>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</si>
  <si>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</si>
  <si>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</si>
  <si>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</si>
  <si>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</si>
  <si>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</si>
  <si>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</si>
  <si>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</si>
  <si>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</si>
  <si>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</si>
  <si>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</si>
  <si>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</si>
  <si>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</si>
  <si>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</si>
  <si>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</si>
  <si>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</si>
  <si>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</si>
  <si>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</si>
  <si>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</si>
  <si>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</si>
  <si>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</si>
  <si>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</si>
  <si>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</si>
  <si>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</si>
  <si>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</si>
  <si>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</si>
  <si>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</si>
  <si>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</si>
  <si>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</si>
  <si>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</si>
  <si>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</si>
  <si>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</si>
  <si>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</si>
  <si>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</si>
  <si>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</si>
  <si>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</si>
  <si>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</si>
  <si>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</si>
  <si>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</si>
  <si>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</si>
  <si>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</si>
  <si>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</si>
  <si>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</si>
  <si>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</si>
  <si>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</si>
  <si>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</si>
  <si>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</si>
  <si>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</si>
  <si>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</si>
  <si>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</si>
  <si>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</si>
  <si>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</si>
  <si>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</si>
  <si>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</si>
  <si>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</si>
  <si>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</si>
  <si>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</si>
  <si>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</si>
  <si>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</si>
  <si>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</si>
  <si>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</si>
  <si>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</si>
  <si>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</si>
  <si>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</si>
  <si>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</si>
  <si>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</si>
  <si>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</si>
  <si>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</si>
  <si>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</si>
  <si>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</si>
  <si>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</si>
  <si>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</si>
  <si>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</si>
  <si>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</si>
  <si>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</si>
  <si>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</si>
  <si>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</si>
  <si>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</si>
  <si>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</si>
  <si>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</si>
  <si>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</si>
  <si>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</si>
  <si>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</si>
  <si>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</si>
  <si>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</si>
  <si>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</si>
  <si>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</si>
  <si>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</si>
  <si>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</si>
  <si>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</si>
  <si>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</si>
  <si>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</si>
  <si>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</si>
  <si>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</si>
  <si>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</si>
  <si>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</si>
  <si>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</si>
  <si>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</si>
  <si>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</si>
  <si>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</si>
  <si>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</si>
  <si>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</si>
  <si>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</si>
  <si>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</si>
  <si>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</si>
  <si>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</si>
  <si>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</si>
  <si>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</si>
  <si>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</si>
  <si>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</si>
  <si>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</si>
  <si>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</si>
  <si>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</si>
  <si>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</si>
  <si>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</si>
  <si>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</si>
  <si>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</si>
  <si>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</si>
  <si>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</si>
  <si>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</si>
  <si>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</si>
  <si>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</si>
  <si>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</si>
  <si>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</si>
  <si>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</si>
  <si>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</si>
  <si>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</si>
  <si>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符合</t>
  </si>
  <si>
    <t>商业</t>
  </si>
  <si>
    <t>车库</t>
  </si>
  <si>
    <t>Ⅵ-通1</t>
  </si>
  <si>
    <t>地上</t>
  </si>
  <si>
    <t>地下</t>
  </si>
  <si>
    <t>车库—办公</t>
  </si>
  <si>
    <t>办公</t>
    <phoneticPr fontId="7" type="noConversion"/>
  </si>
  <si>
    <t>商业</t>
    <phoneticPr fontId="7" type="noConversion"/>
  </si>
  <si>
    <t>地下车库</t>
    <phoneticPr fontId="7" type="noConversion"/>
  </si>
  <si>
    <t>面积</t>
    <phoneticPr fontId="3" type="noConversion"/>
  </si>
  <si>
    <t>租金</t>
    <phoneticPr fontId="3" type="noConversion"/>
  </si>
  <si>
    <t>楼层系数</t>
    <phoneticPr fontId="3" type="noConversion"/>
  </si>
  <si>
    <t>楼层占比</t>
    <phoneticPr fontId="3" type="noConversion"/>
  </si>
  <si>
    <t>土地（套用方法）</t>
  </si>
  <si>
    <t>按租金收入计税</t>
  </si>
  <si>
    <t>钢混</t>
  </si>
  <si>
    <t>押一</t>
  </si>
  <si>
    <t>地块名称</t>
  </si>
  <si>
    <t>用地性质</t>
  </si>
  <si>
    <t>建设用地面积(㎡)</t>
  </si>
  <si>
    <t>规划建筑面积(㎡)</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</si>
  <si>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</si>
  <si>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</si>
  <si>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</si>
  <si>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</si>
  <si>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</si>
  <si>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</si>
  <si>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</si>
  <si>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</si>
  <si>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</si>
  <si>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</si>
  <si>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</si>
  <si>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</si>
  <si>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</si>
  <si>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</si>
  <si>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</si>
  <si>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</si>
  <si>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</si>
  <si>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</si>
  <si>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</si>
  <si>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</si>
  <si>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</si>
  <si>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</si>
  <si>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</si>
  <si>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</si>
  <si>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</si>
  <si>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</si>
  <si>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</si>
  <si>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</si>
  <si>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</si>
  <si>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</si>
  <si>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</si>
  <si>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</si>
  <si>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</si>
  <si>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</si>
  <si>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</si>
  <si>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</si>
  <si>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</si>
  <si>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</si>
  <si>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</si>
  <si>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</si>
  <si>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</si>
  <si>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</si>
  <si>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</si>
  <si>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</si>
  <si>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</si>
  <si>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</si>
  <si>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</si>
  <si>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</si>
  <si>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</si>
  <si>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</si>
  <si>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</si>
  <si>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</si>
  <si>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</si>
  <si>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</si>
  <si>
    <t>正常</t>
    <phoneticPr fontId="26" type="noConversion"/>
  </si>
  <si>
    <t>一般</t>
    <phoneticPr fontId="26" type="noConversion"/>
  </si>
  <si>
    <t>较好</t>
    <phoneticPr fontId="26" type="noConversion"/>
  </si>
  <si>
    <t>七通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</si>
  <si>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</si>
  <si>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</si>
  <si>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</si>
  <si>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</si>
  <si>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不动产收益法-办公</t>
  </si>
  <si>
    <t>不动产收益法-车库</t>
  </si>
  <si>
    <t>比较法-住宅、综合</t>
  </si>
  <si>
    <t>剩余法-待开发</t>
  </si>
  <si>
    <t>楼面地价</t>
  </si>
  <si>
    <t>自持</t>
    <phoneticPr fontId="26" type="noConversion"/>
  </si>
  <si>
    <t>已全部缴纳</t>
  </si>
  <si>
    <t>七通</t>
    <phoneticPr fontId="26" type="noConversion"/>
  </si>
  <si>
    <t>二通</t>
    <phoneticPr fontId="26" type="noConversion"/>
  </si>
  <si>
    <t>六通</t>
    <phoneticPr fontId="26" type="noConversion"/>
  </si>
  <si>
    <t>五通</t>
    <phoneticPr fontId="26" type="noConversion"/>
  </si>
  <si>
    <t>四通</t>
    <phoneticPr fontId="26" type="noConversion"/>
  </si>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</sst>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3"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2" fillId="5" borderId="0" xfId="0" applyFont="1" applyFill="1" applyAlignment="1" applyProtection="1">
      <alignment vertical="center"/>
      <protection locked="0"/>
    </xf>
    <xf numFmtId="0" fontId="86" fillId="0" borderId="0" xfId="16"/>
    <xf numFmtId="0" fontId="86" fillId="6" borderId="0" xfId="16" applyFill="1"/>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0" fontId="71" fillId="20" borderId="12" xfId="0" applyNumberFormat="1" applyFont="1" applyFill="1" applyBorder="1" applyAlignment="1" applyProtection="1">
      <alignment horizontal="center" vertical="center" wrapText="1"/>
    </xf>
    <xf numFmtId="0" fontId="84" fillId="20" borderId="12" xfId="0" applyNumberFormat="1" applyFont="1" applyFill="1" applyBorder="1" applyAlignment="1" applyProtection="1">
      <alignment horizontal="center" vertical="center" wrapText="1"/>
    </xf>
    <xf numFmtId="0" fontId="133" fillId="20" borderId="63" xfId="0" applyFont="1" applyFill="1" applyBorder="1" applyAlignment="1" applyProtection="1">
      <alignment horizontal="left" vertical="center" wrapText="1"/>
      <protection locked="0"/>
    </xf>
    <xf numFmtId="186" fontId="71" fillId="13" borderId="0" xfId="0" applyNumberFormat="1" applyFont="1" applyFill="1" applyAlignment="1" applyProtection="1">
      <alignment horizontal="center" vertical="center"/>
      <protection locked="0"/>
    </xf>
    <xf numFmtId="9" fontId="81" fillId="20" borderId="6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15</xdr:col>
      <xdr:colOff>465382</xdr:colOff>
      <xdr:row>50</xdr:row>
      <xdr:rowOff>65960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0752382" cy="5723810"/>
        </a:xfrm>
        <a:prstGeom prst="rect">
          <a:avLst/>
        </a:prstGeom>
      </xdr:spPr>
    </xdr:pic>
    <xdr:clientData/>
  </xdr:twoCellAnchor>
  <xdr:twoCellAnchor editAs="oneCell">
    <xdr:from>
      <xdr:col>0</xdr:col>
      <xdr:colOff>0</xdr:colOff>
      <xdr:row>51</xdr:row>
      <xdr:rowOff>0</xdr:rowOff>
    </xdr:from>
    <xdr:to>
      <xdr:col>15</xdr:col>
      <xdr:colOff>389191</xdr:colOff>
      <xdr:row>82</xdr:row>
      <xdr:rowOff>66003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0676191" cy="5380953"/>
        </a:xfrm>
        <a:prstGeom prst="rect">
          <a:avLst/>
        </a:prstGeom>
      </xdr:spPr>
    </xdr:pic>
    <xdr:clientData/>
  </xdr:twoCellAnchor>
  <xdr:twoCellAnchor editAs="oneCell">
    <xdr:from>
      <xdr:col>0</xdr:col>
      <xdr:colOff>0</xdr:colOff>
      <xdr:row>83</xdr:row>
      <xdr:rowOff>0</xdr:rowOff>
    </xdr:from>
    <xdr:to>
      <xdr:col>15</xdr:col>
      <xdr:colOff>455858</xdr:colOff>
      <xdr:row>114</xdr:row>
      <xdr:rowOff>37431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230350"/>
          <a:ext cx="10742858" cy="5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北京市出让国有建设用地使用权抵押价格预评估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受贵公司委托，我公司对北京市出让国有建设用地使用权抵押价格进行了预评估。</v>
      </c>
      <c r="AM6" s="2620"/>
    </row>
    <row r="7" spans="1:55" s="2594" customFormat="1">
      <c r="A7" s="2595" t="s">
        <v>2638</v>
      </c>
      <c r="B7" s="2596" t="str">
        <f>'预评函-1'!A6</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2021年1月20日</v>
      </c>
    </row>
    <row r="11" spans="1:55" s="2594" customFormat="1">
      <c r="A11" s="2595" t="s">
        <v>2646</v>
      </c>
      <c r="B11" s="2596" t="str">
        <f>'预评函-1'!A14</f>
        <v>根据《国有土地使用证》[]，本次评估估价对象证载（地类）用途为。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根据《国有土地使用证》[]，估价对象（分摊）出让国有建设用地使用权面积为15721.96平方米。根据《建设工程规划许可证》[]、《出让合同》[]，估价对象规划建筑面积为147743.9平方米。</v>
      </c>
    </row>
    <row r="16" spans="1:55" s="2594" customFormat="1">
      <c r="A16" s="2595" t="s">
        <v>2650</v>
      </c>
      <c r="B16" s="2596"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估价期日：2021年1月20日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15721.96</v>
      </c>
    </row>
    <row r="44" spans="1:2">
      <c r="A44" s="2595" t="s">
        <v>2721</v>
      </c>
      <c r="B44" s="2596" t="str">
        <f>'预评函-2'!O3</f>
        <v>规划建筑面积/㎡</v>
      </c>
    </row>
    <row r="45" spans="1:2">
      <c r="A45" s="2595" t="s">
        <v>2703</v>
      </c>
      <c r="B45" s="2596">
        <f>'预评函-2'!O5</f>
        <v>147743.9</v>
      </c>
    </row>
    <row r="46" spans="1:2">
      <c r="A46" s="2595" t="s">
        <v>2704</v>
      </c>
      <c r="B46" s="2596">
        <f ca="1">'预评函-2'!P5</f>
        <v>89526</v>
      </c>
    </row>
    <row r="47" spans="1:2">
      <c r="A47" s="2595" t="s">
        <v>2705</v>
      </c>
      <c r="B47" s="2596">
        <f ca="1">'预评函-2'!Q5</f>
        <v>9527</v>
      </c>
    </row>
    <row r="48" spans="1:2">
      <c r="A48" s="2595" t="s">
        <v>2706</v>
      </c>
      <c r="B48" s="2596">
        <f ca="1">'预评函-2'!R5</f>
        <v>140753</v>
      </c>
    </row>
    <row r="49" spans="1:2">
      <c r="A49" s="2595" t="s">
        <v>2722</v>
      </c>
      <c r="B49" s="2596" t="str">
        <f>'预评函-2'!A6</f>
        <v>抵押价格</v>
      </c>
    </row>
    <row r="50" spans="1:2">
      <c r="A50" s="2595" t="s">
        <v>2707</v>
      </c>
      <c r="B50" s="2596">
        <f ca="1">'预评函-2'!R6</f>
        <v>140753</v>
      </c>
    </row>
    <row r="51" spans="1:2">
      <c r="A51" s="2595" t="s">
        <v>2723</v>
      </c>
      <c r="B51" s="2596" t="str">
        <f>'预评函-2'!A7</f>
        <v>——</v>
      </c>
    </row>
    <row r="52" spans="1:2">
      <c r="A52" s="2595" t="s">
        <v>2708</v>
      </c>
      <c r="B52" s="2596" t="str">
        <f>'预评函-2'!R7</f>
        <v>——</v>
      </c>
    </row>
    <row r="53" spans="1:2">
      <c r="A53" s="2595" t="s">
        <v>2724</v>
      </c>
      <c r="B53" s="2596">
        <f>'预评函-2'!A8</f>
        <v>0</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土地估价师</v>
      </c>
    </row>
    <row r="70" spans="1:2">
      <c r="A70" s="2595" t="s">
        <v>2671</v>
      </c>
      <c r="B70" s="2602">
        <f>'预评函-3'!B20</f>
        <v>0</v>
      </c>
    </row>
    <row r="71" spans="1:2">
      <c r="A71" s="2595" t="s">
        <v>2672</v>
      </c>
      <c r="B71" s="2596" t="str">
        <f>'预评函-3'!A21</f>
        <v>土地估价师</v>
      </c>
    </row>
    <row r="72" spans="1:2" s="2610" customFormat="1" ht="15" thickBot="1">
      <c r="A72" s="2617" t="s">
        <v>2672</v>
      </c>
      <c r="B72" s="2623">
        <f>'预评函-3'!B21</f>
        <v>0</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C44" sqref="C44"/>
    </sheetView>
  </sheetViews>
  <sheetFormatPr defaultColWidth="10" defaultRowHeight="14.25"/>
  <cols>
    <col min="1" max="1" width="15.375" style="1613" customWidth="1"/>
    <col min="2" max="2" width="11.375" style="1613" customWidth="1"/>
    <col min="3" max="3" width="12.625" style="1613" customWidth="1"/>
    <col min="4"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51" t="str">
        <f>IF(B10="北京市","北京市",C10)&amp;F10&amp;B16&amp;"国有建设用地使用权"&amp;B9&amp;"预评估"</f>
        <v>北京市出让国有建设用地使用权抵押价格预评估</v>
      </c>
      <c r="C1" s="3352"/>
      <c r="D1" s="3352"/>
      <c r="E1" s="3352"/>
      <c r="F1" s="3352"/>
      <c r="G1" s="3352"/>
      <c r="H1" s="3352"/>
      <c r="I1" s="3353"/>
      <c r="J1" s="3074"/>
      <c r="K1" s="2310" t="str">
        <f>IF(B10="北京市","北京市",C10)&amp;F10&amp;B16&amp;"国有建设用地使用权"&amp;B9</f>
        <v>北京市出让国有建设用地使用权抵押价格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北京市出让国有建设用地使用权</v>
      </c>
      <c r="L2" s="3053"/>
      <c r="M2" s="3053"/>
      <c r="N2" s="3054"/>
      <c r="O2" s="3055"/>
      <c r="P2" s="3054"/>
      <c r="Q2" s="3054"/>
      <c r="R2" s="3054"/>
      <c r="S2" s="3054"/>
      <c r="T2" s="3054"/>
      <c r="U2" s="3054"/>
    </row>
    <row r="3" spans="1:21">
      <c r="A3" s="1588" t="s">
        <v>1928</v>
      </c>
      <c r="B3" s="1589"/>
      <c r="C3" s="2997" t="s">
        <v>1984</v>
      </c>
      <c r="D3" s="1589">
        <v>44216</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2868</v>
      </c>
      <c r="C4" s="1759">
        <f>SUMIF(土地估价师,B4,估价师及机构信息!E3:E16)</f>
        <v>0</v>
      </c>
      <c r="D4" s="1756" t="s">
        <v>2868</v>
      </c>
      <c r="E4" s="1759">
        <f>SUMIF(土地估价师,D4,估价师及机构信息!E3:E16)</f>
        <v>0</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土地估价师、土地估价师</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2957</v>
      </c>
      <c r="C8" s="1598"/>
      <c r="D8" s="3357" t="s">
        <v>1933</v>
      </c>
      <c r="E8" s="1757" t="s">
        <v>3005</v>
      </c>
      <c r="F8" s="1599"/>
      <c r="G8" s="3075"/>
      <c r="H8" s="3075"/>
      <c r="I8" s="3078"/>
      <c r="J8" s="3074"/>
      <c r="K8" s="3057"/>
      <c r="L8" s="3053"/>
      <c r="M8" s="3053"/>
      <c r="N8" s="3054"/>
      <c r="O8" s="3055"/>
      <c r="P8" s="3054"/>
      <c r="Q8" s="3054"/>
      <c r="R8" s="3054"/>
      <c r="S8" s="3054"/>
      <c r="T8" s="3054"/>
      <c r="U8" s="3054"/>
    </row>
    <row r="9" spans="1:21" ht="15" thickBot="1">
      <c r="A9" s="2999" t="s">
        <v>1932</v>
      </c>
      <c r="B9" s="1600" t="s">
        <v>3005</v>
      </c>
      <c r="C9" s="1601"/>
      <c r="D9" s="3358"/>
      <c r="E9" s="1600"/>
      <c r="F9" s="1664"/>
      <c r="G9" s="3079"/>
      <c r="H9" s="3079"/>
      <c r="I9" s="3080"/>
      <c r="J9" s="3074"/>
      <c r="K9" s="3057"/>
      <c r="L9" s="3053"/>
      <c r="M9" s="3053"/>
      <c r="N9" s="3054"/>
      <c r="O9" s="3055"/>
      <c r="P9" s="3054"/>
      <c r="Q9" s="3054"/>
      <c r="R9" s="3054"/>
      <c r="S9" s="3054"/>
      <c r="T9" s="3054"/>
      <c r="U9" s="3054"/>
    </row>
    <row r="10" spans="1:21" ht="15" thickTop="1">
      <c r="A10" s="3000" t="s">
        <v>1988</v>
      </c>
      <c r="B10" s="1640" t="s">
        <v>1934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3006</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54"/>
      <c r="C12" s="3355"/>
      <c r="D12" s="3356"/>
      <c r="E12" s="1620" t="s">
        <v>2050</v>
      </c>
      <c r="F12" s="3372" t="s">
        <v>2869</v>
      </c>
      <c r="G12" s="3373"/>
      <c r="H12" s="3373"/>
      <c r="I12" s="3374"/>
      <c r="J12" s="3074"/>
      <c r="K12" s="3057"/>
      <c r="L12" s="3053"/>
      <c r="M12" s="3053"/>
      <c r="N12" s="3054"/>
      <c r="O12" s="3055"/>
      <c r="P12" s="3054"/>
      <c r="Q12" s="3054"/>
      <c r="R12" s="3054"/>
      <c r="S12" s="3054"/>
      <c r="T12" s="3054"/>
      <c r="U12" s="3054"/>
    </row>
    <row r="13" spans="1:21">
      <c r="A13" s="1611" t="s">
        <v>2048</v>
      </c>
      <c r="B13" s="3354"/>
      <c r="C13" s="3355"/>
      <c r="D13" s="3356"/>
      <c r="E13" s="1620" t="s">
        <v>2050</v>
      </c>
      <c r="F13" s="3372" t="s">
        <v>2870</v>
      </c>
      <c r="G13" s="3373"/>
      <c r="H13" s="3373"/>
      <c r="I13" s="3374"/>
      <c r="J13" s="3074"/>
      <c r="K13" s="3057"/>
      <c r="L13" s="3053"/>
      <c r="M13" s="3053"/>
      <c r="N13" s="3054"/>
      <c r="O13" s="3055"/>
      <c r="P13" s="3054"/>
      <c r="Q13" s="3054"/>
      <c r="R13" s="3054"/>
      <c r="S13" s="3054"/>
      <c r="T13" s="3054"/>
      <c r="U13" s="3054"/>
    </row>
    <row r="14" spans="1:21">
      <c r="A14" s="1588" t="s">
        <v>2051</v>
      </c>
      <c r="B14" s="1620"/>
      <c r="C14" s="1758" t="s">
        <v>3007</v>
      </c>
      <c r="D14" s="1654" t="str">
        <f>IF(C14="不一致","是否符合证载地类范围","")</f>
        <v/>
      </c>
      <c r="E14" s="1620"/>
      <c r="F14" s="1704" t="s">
        <v>3008</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2952</v>
      </c>
      <c r="C16" s="1620" t="s">
        <v>1937</v>
      </c>
      <c r="D16" s="2488" t="s">
        <v>1938</v>
      </c>
      <c r="E16" s="1643" t="s">
        <v>3009</v>
      </c>
      <c r="F16" s="1643" t="s">
        <v>1668</v>
      </c>
      <c r="G16" s="1643" t="s">
        <v>3010</v>
      </c>
      <c r="H16" s="1643"/>
      <c r="I16" s="1610" t="s">
        <v>1943</v>
      </c>
      <c r="J16" s="3074"/>
      <c r="K16" s="2311" t="str">
        <f>IF(D17="","",D16&amp;TEXT(D17,"yyyy年m月d日;;"))</f>
        <v/>
      </c>
      <c r="L16" s="1620" t="str">
        <f>IF(OR(K16="",M16=""),"","、")</f>
        <v/>
      </c>
      <c r="M16" s="2311" t="str">
        <f>IF(E17="","",E16&amp;TEXT(E17,"yyyy年m月d日;;"))</f>
        <v>商业2052年11月4日</v>
      </c>
      <c r="N16" s="1620" t="str">
        <f>IF(OR(M16="",O16=""),"","、")</f>
        <v>、</v>
      </c>
      <c r="O16" s="2311" t="str">
        <f>IF(F17="","",F16&amp;TEXT(F17,"yyyy年m月d日;;"))</f>
        <v>办公2062年11月4日</v>
      </c>
      <c r="P16" s="1620" t="str">
        <f>IF(OR(O16="",Q16=""),"","、")</f>
        <v>、</v>
      </c>
      <c r="Q16" s="2311" t="str">
        <f>IF(G17="","",G16&amp;TEXT(G17,"yyyy年m月d日;;"))</f>
        <v>车库2062年11月4日</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55827</v>
      </c>
      <c r="F17" s="1621">
        <v>59479</v>
      </c>
      <c r="G17" s="1621">
        <v>59479</v>
      </c>
      <c r="H17" s="1621"/>
      <c r="I17" s="1621"/>
      <c r="J17" s="3074"/>
      <c r="K17" s="3052" t="str">
        <f>CONCATENATE(K16,L16,M16,N16,O16,P16,Q16,R16,S16,T16,,U16)</f>
        <v>商业2052年11月4日、办公2062年11月4日、车库2062年11月4日</v>
      </c>
      <c r="L17" s="3053"/>
      <c r="M17" s="3053"/>
      <c r="N17" s="3054"/>
      <c r="O17" s="3055"/>
      <c r="P17" s="3054"/>
      <c r="Q17" s="3054"/>
      <c r="R17" s="3054"/>
      <c r="S17" s="3054"/>
      <c r="T17" s="3054"/>
      <c r="U17" s="3054"/>
    </row>
    <row r="18" spans="1:21">
      <c r="A18" s="1680"/>
      <c r="B18" s="1607"/>
      <c r="C18" s="3003" t="s">
        <v>1945</v>
      </c>
      <c r="D18" s="1608"/>
      <c r="E18" s="1608">
        <v>40</v>
      </c>
      <c r="F18" s="1608">
        <v>50</v>
      </c>
      <c r="G18" s="1608">
        <v>50</v>
      </c>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31.81</v>
      </c>
      <c r="F19" s="1609">
        <f>IF(B16="出让",IF(F17="","",ROUNDDOWN(MIN((F17-$D$3)/365,F18),2)),F18)</f>
        <v>41.81</v>
      </c>
      <c r="G19" s="1609">
        <f>IF(B16="出让",IF(G17="","",ROUNDDOWN(MIN((G17-$D$3)/365,G18),2)),G18)</f>
        <v>41.81</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69"/>
      <c r="E20" s="3370"/>
      <c r="F20" s="3370"/>
      <c r="G20" s="3370"/>
      <c r="H20" s="3370"/>
      <c r="I20" s="3371"/>
      <c r="J20" s="3074"/>
      <c r="K20" s="3057"/>
      <c r="L20" s="3053"/>
      <c r="M20" s="3053"/>
      <c r="N20" s="3054"/>
      <c r="O20" s="3055"/>
      <c r="P20" s="3054"/>
      <c r="Q20" s="3054"/>
      <c r="R20" s="3054"/>
      <c r="S20" s="3054"/>
      <c r="T20" s="3054"/>
      <c r="U20" s="3054"/>
    </row>
    <row r="21" spans="1:21">
      <c r="A21" s="1680" t="s">
        <v>1947</v>
      </c>
      <c r="B21" s="1681" t="s">
        <v>1948</v>
      </c>
      <c r="C21" s="1676">
        <f>'数据-汇总表'!E3</f>
        <v>147743.9</v>
      </c>
      <c r="D21" s="1677" t="s">
        <v>1949</v>
      </c>
      <c r="E21" s="3359" t="s">
        <v>1987</v>
      </c>
      <c r="F21" s="3360"/>
      <c r="G21" s="3360"/>
      <c r="H21" s="3360"/>
      <c r="I21" s="3361"/>
      <c r="J21" s="3074"/>
      <c r="K21" s="3057"/>
      <c r="L21" s="3053"/>
      <c r="M21" s="3053"/>
      <c r="N21" s="3054"/>
      <c r="O21" s="3055"/>
      <c r="P21" s="3054"/>
      <c r="Q21" s="3054"/>
      <c r="R21" s="3054"/>
      <c r="S21" s="3054"/>
      <c r="T21" s="3054"/>
      <c r="U21" s="3054"/>
    </row>
    <row r="22" spans="1:21">
      <c r="A22" s="2802" t="s">
        <v>943</v>
      </c>
      <c r="B22" s="1588" t="s">
        <v>1950</v>
      </c>
      <c r="C22" s="1610">
        <f>'数据-汇总表'!D3</f>
        <v>15721.96</v>
      </c>
      <c r="D22" s="1611" t="s">
        <v>1949</v>
      </c>
      <c r="E22" s="3359" t="s">
        <v>2871</v>
      </c>
      <c r="F22" s="3360"/>
      <c r="G22" s="3360"/>
      <c r="H22" s="3360"/>
      <c r="I22" s="3361"/>
      <c r="J22" s="3074"/>
      <c r="K22" s="3057"/>
      <c r="L22" s="3053"/>
      <c r="M22" s="3053"/>
      <c r="N22" s="3054"/>
      <c r="O22" s="3055"/>
      <c r="P22" s="3054"/>
      <c r="Q22" s="3054"/>
      <c r="R22" s="3054"/>
      <c r="S22" s="3054"/>
      <c r="T22" s="3054"/>
      <c r="U22" s="3054"/>
    </row>
    <row r="23" spans="1:21" ht="43.5" thickBot="1">
      <c r="A23" s="1682" t="s">
        <v>1951</v>
      </c>
      <c r="B23" s="1622" t="s">
        <v>1952</v>
      </c>
      <c r="C23" s="1623"/>
      <c r="D23" s="1624" t="s">
        <v>1953</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62" t="s">
        <v>1955</v>
      </c>
      <c r="C24" s="3363"/>
      <c r="D24" s="3364" t="s">
        <v>1956</v>
      </c>
      <c r="E24" s="3365"/>
      <c r="F24" s="1629" t="s">
        <v>1957</v>
      </c>
      <c r="G24" s="3074"/>
      <c r="H24" s="3074"/>
      <c r="I24" s="3078"/>
      <c r="J24" s="3074"/>
      <c r="K24" s="335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5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5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36" t="s">
        <v>1990</v>
      </c>
      <c r="B31" s="1681" t="s">
        <v>1991</v>
      </c>
      <c r="C31" s="3375"/>
      <c r="D31" s="3376"/>
      <c r="E31" s="3074"/>
      <c r="F31" s="3074"/>
      <c r="G31" s="3074"/>
      <c r="H31" s="3074"/>
      <c r="I31" s="3078"/>
      <c r="J31" s="3074"/>
      <c r="K31" s="3060"/>
      <c r="L31" s="3054"/>
      <c r="M31" s="3054"/>
      <c r="N31" s="3054"/>
      <c r="O31" s="3054"/>
      <c r="P31" s="3054"/>
      <c r="Q31" s="3054"/>
      <c r="R31" s="3054"/>
      <c r="S31" s="3054"/>
      <c r="T31" s="3054"/>
      <c r="U31" s="3054"/>
    </row>
    <row r="32" spans="1:21">
      <c r="A32" s="3336"/>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36"/>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37"/>
      <c r="B34" s="1588" t="s">
        <v>1994</v>
      </c>
      <c r="C34" s="3338"/>
      <c r="D34" s="3339"/>
      <c r="E34" s="3074"/>
      <c r="F34" s="3074"/>
      <c r="G34" s="3074"/>
      <c r="H34" s="3074"/>
      <c r="I34" s="3078"/>
      <c r="J34" s="3074"/>
      <c r="K34" s="3060"/>
      <c r="L34" s="3054"/>
      <c r="M34" s="3054"/>
      <c r="N34" s="3054"/>
      <c r="O34" s="3054"/>
      <c r="P34" s="3054"/>
      <c r="Q34" s="3054"/>
      <c r="R34" s="3054"/>
      <c r="S34" s="3054"/>
      <c r="T34" s="3054"/>
      <c r="U34" s="3054"/>
    </row>
    <row r="35" spans="1:28">
      <c r="A35" s="3340" t="s">
        <v>839</v>
      </c>
      <c r="B35" s="1643"/>
      <c r="C35" s="1690" t="str">
        <f>IF(B35="场地平整","——","具体情况：")</f>
        <v>具体情况：</v>
      </c>
      <c r="D35" s="3342"/>
      <c r="E35" s="3343"/>
      <c r="F35" s="3343"/>
      <c r="G35" s="3343"/>
      <c r="H35" s="3343"/>
      <c r="I35" s="3344"/>
      <c r="J35" s="3074"/>
      <c r="K35" s="3061"/>
      <c r="L35" s="3053"/>
      <c r="M35" s="3053"/>
      <c r="N35" s="3054"/>
      <c r="O35" s="3055"/>
      <c r="P35" s="3054"/>
      <c r="Q35" s="3054"/>
      <c r="R35" s="3054"/>
      <c r="S35" s="3054"/>
      <c r="T35" s="3054"/>
      <c r="U35" s="3054"/>
    </row>
    <row r="36" spans="1:28">
      <c r="A36" s="3336"/>
      <c r="B36" s="3345" t="s">
        <v>2043</v>
      </c>
      <c r="C36" s="3346"/>
      <c r="D36" s="1706"/>
      <c r="E36" s="3347"/>
      <c r="F36" s="3347"/>
      <c r="G36" s="1611" t="str">
        <f>IF(B35="场地未平整","估价结果处理","")</f>
        <v/>
      </c>
      <c r="H36" s="3348"/>
      <c r="I36" s="3348"/>
      <c r="J36" s="3074"/>
      <c r="K36" s="3061"/>
      <c r="L36" s="3053"/>
      <c r="M36" s="3053"/>
      <c r="N36" s="3054"/>
      <c r="O36" s="3055"/>
      <c r="P36" s="3054"/>
      <c r="Q36" s="3054"/>
      <c r="R36" s="3054"/>
      <c r="S36" s="3054"/>
      <c r="T36" s="3054"/>
      <c r="U36" s="3054"/>
    </row>
    <row r="37" spans="1:28" ht="28.5">
      <c r="A37" s="3336"/>
      <c r="B37" s="3366"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36"/>
      <c r="B38" s="3367"/>
      <c r="C38" s="1596" t="s">
        <v>842</v>
      </c>
      <c r="D38" s="1705">
        <f>ROUNDDOWN(MIN(('数据-取费表'!$B$2-D37)/365,D34),1)</f>
        <v>121.1</v>
      </c>
      <c r="E38" s="1648" t="s">
        <v>843</v>
      </c>
      <c r="F38" s="3074"/>
      <c r="G38" s="3074"/>
      <c r="H38" s="3074"/>
      <c r="I38" s="3078"/>
      <c r="J38" s="3074"/>
      <c r="K38" s="3061"/>
      <c r="L38" s="3054"/>
      <c r="M38" s="3054"/>
      <c r="N38" s="3054"/>
      <c r="O38" s="3054"/>
      <c r="P38" s="3054"/>
      <c r="Q38" s="3054"/>
      <c r="R38" s="3054"/>
      <c r="S38" s="3054"/>
      <c r="T38" s="3054"/>
      <c r="U38" s="3054"/>
    </row>
    <row r="39" spans="1:28">
      <c r="A39" s="3337"/>
      <c r="B39" s="3368"/>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49" t="s">
        <v>1974</v>
      </c>
      <c r="T40" s="1652" t="str">
        <f>NUMBERSTRING(7-K40,1)&amp;"通"</f>
        <v>七通</v>
      </c>
      <c r="U40" s="3054"/>
    </row>
    <row r="41" spans="1:28">
      <c r="A41" s="1590"/>
      <c r="B41" s="3341" t="s">
        <v>1712</v>
      </c>
      <c r="C41" s="3341"/>
      <c r="D41" s="3341"/>
      <c r="E41" s="3341"/>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49"/>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t="s">
        <v>1400</v>
      </c>
      <c r="C43" s="1658" t="s">
        <v>1400</v>
      </c>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t="s">
        <v>3011</v>
      </c>
      <c r="C44" s="1658" t="s">
        <v>3011</v>
      </c>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2872</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16621</v>
      </c>
      <c r="B3" s="22">
        <f>IF(C3="否",G5-AT5,G5)</f>
        <v>156272.4</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v>15721.96</v>
      </c>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156272.4</v>
      </c>
      <c r="H5" s="27">
        <f t="shared" ref="H5:AT5" si="0">SUM(H13:H641)</f>
        <v>139585.93</v>
      </c>
      <c r="I5" s="27">
        <f t="shared" si="0"/>
        <v>50449.86</v>
      </c>
      <c r="J5" s="27">
        <f t="shared" si="0"/>
        <v>0</v>
      </c>
      <c r="K5" s="27">
        <f t="shared" si="0"/>
        <v>48987.09</v>
      </c>
      <c r="L5" s="27">
        <f t="shared" si="0"/>
        <v>0</v>
      </c>
      <c r="M5" s="27">
        <f t="shared" si="0"/>
        <v>15896.35</v>
      </c>
      <c r="N5" s="27">
        <f t="shared" si="0"/>
        <v>0</v>
      </c>
      <c r="O5" s="27">
        <f t="shared" si="0"/>
        <v>24252.63</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8157.97</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8157.97</v>
      </c>
      <c r="AO5" s="27">
        <f t="shared" si="0"/>
        <v>0</v>
      </c>
      <c r="AP5" s="27">
        <f t="shared" si="0"/>
        <v>0</v>
      </c>
      <c r="AQ5" s="27">
        <f t="shared" si="0"/>
        <v>0</v>
      </c>
      <c r="AR5" s="27">
        <f t="shared" si="0"/>
        <v>0</v>
      </c>
      <c r="AS5" s="27">
        <f t="shared" si="0"/>
        <v>0</v>
      </c>
      <c r="AT5" s="27">
        <f t="shared" si="0"/>
        <v>8528.5</v>
      </c>
      <c r="AU5" s="976"/>
      <c r="AV5" s="26" t="s">
        <v>168</v>
      </c>
      <c r="AW5" s="977"/>
      <c r="AX5" s="977"/>
      <c r="AY5" s="28" t="s">
        <v>3</v>
      </c>
      <c r="AZ5" s="29">
        <f t="shared" ref="AZ5:BT5" si="1">SUM(AZ13:AZ641)</f>
        <v>147743.9</v>
      </c>
      <c r="BA5" s="29">
        <f t="shared" si="1"/>
        <v>139585.93</v>
      </c>
      <c r="BB5" s="29">
        <f t="shared" si="1"/>
        <v>50449.86</v>
      </c>
      <c r="BC5" s="29">
        <f t="shared" si="1"/>
        <v>48987.09</v>
      </c>
      <c r="BD5" s="29">
        <f t="shared" si="1"/>
        <v>15896.35</v>
      </c>
      <c r="BE5" s="29">
        <f t="shared" si="1"/>
        <v>24252.63</v>
      </c>
      <c r="BF5" s="29">
        <f t="shared" si="1"/>
        <v>0</v>
      </c>
      <c r="BG5" s="29">
        <f t="shared" si="1"/>
        <v>0</v>
      </c>
      <c r="BH5" s="29">
        <f t="shared" si="1"/>
        <v>0</v>
      </c>
      <c r="BI5" s="29">
        <f t="shared" si="1"/>
        <v>0</v>
      </c>
      <c r="BJ5" s="29">
        <f t="shared" si="1"/>
        <v>0</v>
      </c>
      <c r="BK5" s="29">
        <f t="shared" si="1"/>
        <v>0</v>
      </c>
      <c r="BL5" s="29">
        <f t="shared" si="1"/>
        <v>8157.97</v>
      </c>
      <c r="BM5" s="29">
        <f t="shared" si="1"/>
        <v>0</v>
      </c>
      <c r="BN5" s="29">
        <f t="shared" si="1"/>
        <v>0</v>
      </c>
      <c r="BO5" s="29">
        <f t="shared" si="1"/>
        <v>0</v>
      </c>
      <c r="BP5" s="29">
        <f t="shared" si="1"/>
        <v>0</v>
      </c>
      <c r="BQ5" s="29">
        <f t="shared" si="1"/>
        <v>0</v>
      </c>
      <c r="BR5" s="29">
        <f t="shared" si="1"/>
        <v>8157.97</v>
      </c>
      <c r="BS5" s="29">
        <f t="shared" si="1"/>
        <v>0</v>
      </c>
      <c r="BT5" s="30">
        <f t="shared" si="1"/>
        <v>0</v>
      </c>
    </row>
    <row r="6" spans="1:72" s="37" customFormat="1" ht="12.75">
      <c r="A6" s="26" t="s">
        <v>169</v>
      </c>
      <c r="B6" s="31"/>
      <c r="C6" s="31"/>
      <c r="D6" s="32"/>
      <c r="E6" s="27">
        <f>H6+AC6+AT6</f>
        <v>15713.909999999998</v>
      </c>
      <c r="F6" s="27" t="s">
        <v>1</v>
      </c>
      <c r="G6" s="27" t="s">
        <v>2</v>
      </c>
      <c r="H6" s="33">
        <f>SUMIF(I$12:AB$12,"总值",I6:AB6)</f>
        <v>14846.239999999998</v>
      </c>
      <c r="I6" s="27">
        <f t="shared" ref="I6:AB6" si="2">ROUND($A$3*I5/$B$3,2)</f>
        <v>5365.8</v>
      </c>
      <c r="J6" s="27">
        <f t="shared" si="2"/>
        <v>0</v>
      </c>
      <c r="K6" s="27">
        <f t="shared" si="2"/>
        <v>5210.2299999999996</v>
      </c>
      <c r="L6" s="27">
        <f t="shared" si="2"/>
        <v>0</v>
      </c>
      <c r="M6" s="27">
        <f t="shared" si="2"/>
        <v>1690.72</v>
      </c>
      <c r="N6" s="27">
        <f t="shared" si="2"/>
        <v>0</v>
      </c>
      <c r="O6" s="27">
        <f t="shared" si="2"/>
        <v>2579.4899999999998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867.67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867.67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15721.96</v>
      </c>
      <c r="AZ6" s="27" t="s">
        <v>3</v>
      </c>
      <c r="BA6" s="27">
        <f>ROUND($AY$6*BA5/$AZ$5,2)</f>
        <v>14853.84</v>
      </c>
      <c r="BB6" s="27">
        <f>ROUND($AY$6*BB5/$AZ$5,2)</f>
        <v>5368.55</v>
      </c>
      <c r="BC6" s="27">
        <f t="shared" ref="BC6:BH6" si="4">ROUND($AY$6*BC5/$AZ$5,2)</f>
        <v>5212.8900000000003</v>
      </c>
      <c r="BD6" s="27">
        <f t="shared" si="4"/>
        <v>1691.59</v>
      </c>
      <c r="BE6" s="27">
        <f t="shared" si="4"/>
        <v>2580.81</v>
      </c>
      <c r="BF6" s="27">
        <f t="shared" si="4"/>
        <v>0</v>
      </c>
      <c r="BG6" s="27">
        <f t="shared" si="4"/>
        <v>0</v>
      </c>
      <c r="BH6" s="27">
        <f t="shared" si="4"/>
        <v>0</v>
      </c>
      <c r="BI6" s="27">
        <f t="shared" ref="BI6:BT6" si="5">ROUND($AY$6*BI5/$AZ$5,2)</f>
        <v>0</v>
      </c>
      <c r="BJ6" s="27">
        <f t="shared" si="5"/>
        <v>0</v>
      </c>
      <c r="BK6" s="27">
        <f t="shared" si="5"/>
        <v>0</v>
      </c>
      <c r="BL6" s="27">
        <f t="shared" si="5"/>
        <v>868.12</v>
      </c>
      <c r="BM6" s="27">
        <f t="shared" si="5"/>
        <v>0</v>
      </c>
      <c r="BN6" s="27">
        <f t="shared" si="5"/>
        <v>0</v>
      </c>
      <c r="BO6" s="27">
        <f t="shared" si="5"/>
        <v>0</v>
      </c>
      <c r="BP6" s="27">
        <f t="shared" si="5"/>
        <v>0</v>
      </c>
      <c r="BQ6" s="27">
        <f t="shared" si="5"/>
        <v>0</v>
      </c>
      <c r="BR6" s="27">
        <f t="shared" si="5"/>
        <v>868.12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3012</v>
      </c>
      <c r="J9" s="51"/>
      <c r="K9" s="2732" t="s">
        <v>3012</v>
      </c>
      <c r="L9" s="51"/>
      <c r="M9" s="2732" t="s">
        <v>3013</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1668</v>
      </c>
      <c r="J10" s="51"/>
      <c r="K10" s="2734" t="s">
        <v>3009</v>
      </c>
      <c r="L10" s="51"/>
      <c r="M10" s="2734" t="s">
        <v>3009</v>
      </c>
      <c r="N10" s="51"/>
      <c r="O10" s="66" t="s">
        <v>3014</v>
      </c>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t="str">
        <f>K10</f>
        <v>商业</v>
      </c>
      <c r="BD11" s="50" t="str">
        <f>M10</f>
        <v>商业</v>
      </c>
      <c r="BE11" s="50" t="str">
        <f>O10</f>
        <v>车库—办公</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15713.92</v>
      </c>
      <c r="F13" s="81"/>
      <c r="G13" s="82">
        <f t="shared" ref="G13:G20" si="7">H13+AC13+AT13</f>
        <v>156272.4</v>
      </c>
      <c r="H13" s="33">
        <f t="shared" ref="H13:H20" si="8">SUMIF(I$12:AB$12,"总值",I13:AB13)</f>
        <v>139585.93</v>
      </c>
      <c r="I13" s="2731">
        <v>50449.86</v>
      </c>
      <c r="J13" s="2731"/>
      <c r="K13" s="2731">
        <v>48987.09</v>
      </c>
      <c r="L13" s="2731"/>
      <c r="M13" s="2731">
        <v>15896.35</v>
      </c>
      <c r="N13" s="83"/>
      <c r="O13" s="83">
        <f>31910.63-(8365.45-707.45)</f>
        <v>24252.63</v>
      </c>
      <c r="P13" s="83"/>
      <c r="Q13" s="83"/>
      <c r="R13" s="83"/>
      <c r="S13" s="83"/>
      <c r="T13" s="83"/>
      <c r="U13" s="83"/>
      <c r="V13" s="83"/>
      <c r="W13" s="83"/>
      <c r="X13" s="83"/>
      <c r="Y13" s="83"/>
      <c r="Z13" s="83"/>
      <c r="AA13" s="83"/>
      <c r="AB13" s="83"/>
      <c r="AC13" s="27">
        <f t="shared" ref="AC13:AC20" si="9">SUMIF(AD$12:AS$12,"总值",AD13:AS13)</f>
        <v>8157.97</v>
      </c>
      <c r="AD13" s="2735"/>
      <c r="AE13" s="2735"/>
      <c r="AF13" s="2735"/>
      <c r="AG13" s="2735"/>
      <c r="AH13" s="2735"/>
      <c r="AI13" s="2735"/>
      <c r="AJ13" s="2735"/>
      <c r="AK13" s="2735"/>
      <c r="AL13" s="2735"/>
      <c r="AM13" s="2735"/>
      <c r="AN13" s="2735">
        <f>374.3+688.76+1429.1+5665.81</f>
        <v>8157.97</v>
      </c>
      <c r="AO13" s="2735"/>
      <c r="AP13" s="2735"/>
      <c r="AQ13" s="2735"/>
      <c r="AR13" s="2735"/>
      <c r="AS13" s="2735"/>
      <c r="AT13" s="2736">
        <f>8365.45+163.05</f>
        <v>8528.5</v>
      </c>
      <c r="AU13" s="2737"/>
      <c r="AV13" s="17">
        <f t="shared" ref="AV13:AX20" si="10">A13</f>
        <v>0</v>
      </c>
      <c r="AW13" s="17">
        <f t="shared" si="10"/>
        <v>0</v>
      </c>
      <c r="AX13" s="17">
        <f t="shared" si="10"/>
        <v>0</v>
      </c>
      <c r="AY13" s="984">
        <f t="shared" ref="AY13:AY20" si="11">ROUND($AY$6*AZ13/$AZ$5,2)</f>
        <v>15721.96</v>
      </c>
      <c r="AZ13" s="27">
        <f t="shared" ref="AZ13:AZ20" si="12">BA13+BL13</f>
        <v>147743.9</v>
      </c>
      <c r="BA13" s="27">
        <f t="shared" ref="BA13:BA20" si="13">SUM(BB13:BK13)</f>
        <v>139585.93</v>
      </c>
      <c r="BB13" s="27">
        <f t="shared" ref="BB13:BB20" si="14">IF($D13="是",I13-J13,0)</f>
        <v>50449.86</v>
      </c>
      <c r="BC13" s="27">
        <f t="shared" ref="BC13:BC20" si="15">IF($D13="是",K13-L13,0)</f>
        <v>48987.09</v>
      </c>
      <c r="BD13" s="27">
        <f t="shared" ref="BD13:BD20" si="16">IF($D13="是",M13-N13,0)</f>
        <v>15896.35</v>
      </c>
      <c r="BE13" s="27">
        <f t="shared" ref="BE13:BE20" si="17">IF($D13="是",O13-P13,0)</f>
        <v>24252.63</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8157.97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8157.97</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E10" zoomScaleNormal="70" zoomScaleSheetLayoutView="100" workbookViewId="0">
      <selection activeCell="D19" sqref="D19"/>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8" t="s">
        <v>203</v>
      </c>
      <c r="B2" s="3388"/>
      <c r="C2" s="3388"/>
      <c r="D2" s="1889" t="s">
        <v>204</v>
      </c>
      <c r="E2" s="106" t="s">
        <v>205</v>
      </c>
      <c r="F2" s="3083"/>
      <c r="G2" s="1181"/>
      <c r="H2" s="1182"/>
      <c r="I2" s="1183" t="s">
        <v>849</v>
      </c>
      <c r="J2" s="3083"/>
      <c r="K2" s="3083"/>
      <c r="L2" s="3083"/>
      <c r="M2" s="3083"/>
      <c r="N2" s="3083"/>
      <c r="O2" s="3083"/>
      <c r="P2" s="3083"/>
    </row>
    <row r="3" spans="1:16" ht="15.75" thickBot="1">
      <c r="A3" s="3389" t="s">
        <v>206</v>
      </c>
      <c r="B3" s="3389"/>
      <c r="C3" s="3389"/>
      <c r="D3" s="107">
        <f>'数据-基础表'!AY6</f>
        <v>15721.96</v>
      </c>
      <c r="E3" s="107">
        <f>'数据-基础表'!AZ5</f>
        <v>147743.9</v>
      </c>
      <c r="F3" s="3083"/>
      <c r="G3" s="278" t="s">
        <v>850</v>
      </c>
      <c r="H3" s="273" t="s">
        <v>851</v>
      </c>
      <c r="I3" s="1890">
        <f>ROUND('数据-基础表'!B3/'数据-基础表'!A3,2)</f>
        <v>9.4</v>
      </c>
      <c r="J3" s="3083"/>
      <c r="K3" s="3083"/>
      <c r="L3" s="3083"/>
      <c r="M3" s="3083"/>
      <c r="N3" s="3083"/>
      <c r="O3" s="3083"/>
      <c r="P3" s="3083"/>
    </row>
    <row r="4" spans="1:16" ht="15">
      <c r="A4" s="3390"/>
      <c r="B4" s="3391"/>
      <c r="C4" s="3392"/>
      <c r="D4" s="108" t="s">
        <v>204</v>
      </c>
      <c r="E4" s="109" t="s">
        <v>205</v>
      </c>
      <c r="F4" s="3083"/>
      <c r="G4" s="1184"/>
      <c r="H4" s="273" t="s">
        <v>852</v>
      </c>
      <c r="I4" s="1890">
        <f>ROUND(SUMIF('数据-基础表'!I9:AS9,"地上",'数据-基础表'!I5:AS5)/'数据-基础表'!A3,2)</f>
        <v>5.98</v>
      </c>
      <c r="J4" s="3083"/>
      <c r="K4" s="3083"/>
      <c r="L4" s="3083"/>
      <c r="M4" s="3083"/>
      <c r="N4" s="3083"/>
      <c r="O4" s="3083"/>
      <c r="P4" s="3083"/>
    </row>
    <row r="5" spans="1:16">
      <c r="A5" s="110" t="s">
        <v>207</v>
      </c>
      <c r="B5" s="3393" t="s">
        <v>230</v>
      </c>
      <c r="C5" s="3393"/>
      <c r="D5" s="111">
        <f>ROUND($D$3*E5/$E$3,2)</f>
        <v>0</v>
      </c>
      <c r="E5" s="112">
        <f>SUMIF('数据-基础表'!$11:$11,"住宅",'数据-基础表'!$5:$5)</f>
        <v>0</v>
      </c>
      <c r="F5" s="3083"/>
      <c r="G5" s="278" t="s">
        <v>853</v>
      </c>
      <c r="H5" s="273" t="s">
        <v>851</v>
      </c>
      <c r="I5" s="1890">
        <f>ROUND(E31/D31,2)</f>
        <v>9.4</v>
      </c>
      <c r="J5" s="3083"/>
      <c r="K5" s="3083"/>
      <c r="L5" s="3083"/>
      <c r="M5" s="3083"/>
      <c r="N5" s="3083"/>
      <c r="O5" s="3083"/>
      <c r="P5" s="3083"/>
    </row>
    <row r="6" spans="1:16" ht="15" thickBot="1">
      <c r="A6" s="113"/>
      <c r="B6" s="3393" t="s">
        <v>208</v>
      </c>
      <c r="C6" s="3393"/>
      <c r="D6" s="111">
        <f>ROUND($D$3*E6/$E$3,2)</f>
        <v>15721.96</v>
      </c>
      <c r="E6" s="112">
        <f>E3-E5</f>
        <v>147743.9</v>
      </c>
      <c r="F6" s="3083"/>
      <c r="G6" s="1184"/>
      <c r="H6" s="273" t="s">
        <v>852</v>
      </c>
      <c r="I6" s="1890">
        <f>ROUND(F31/D31,2)</f>
        <v>6.32</v>
      </c>
      <c r="J6" s="3083"/>
      <c r="K6" s="3083"/>
      <c r="L6" s="3083"/>
      <c r="M6" s="3083"/>
      <c r="N6" s="3083"/>
      <c r="O6" s="3083"/>
      <c r="P6" s="3083"/>
    </row>
    <row r="7" spans="1:16" ht="15">
      <c r="A7" s="3385"/>
      <c r="B7" s="3386"/>
      <c r="C7" s="3387"/>
      <c r="D7" s="108" t="s">
        <v>204</v>
      </c>
      <c r="E7" s="114" t="s">
        <v>231</v>
      </c>
      <c r="F7" s="3083"/>
      <c r="G7" s="1139" t="s">
        <v>1636</v>
      </c>
      <c r="H7" s="1140"/>
      <c r="I7" s="1760">
        <v>4</v>
      </c>
      <c r="J7" s="3083"/>
      <c r="K7" s="3083"/>
      <c r="L7" s="3083"/>
      <c r="M7" s="3083"/>
      <c r="N7" s="3083"/>
      <c r="O7" s="3083"/>
      <c r="P7" s="3083"/>
    </row>
    <row r="8" spans="1:16">
      <c r="A8" s="110" t="s">
        <v>209</v>
      </c>
      <c r="B8" s="115" t="s">
        <v>210</v>
      </c>
      <c r="C8" s="111" t="s">
        <v>211</v>
      </c>
      <c r="D8" s="111">
        <f t="shared" ref="D8:D15" si="0">ROUND($D$3*E8/$E$3,2)</f>
        <v>10581.44</v>
      </c>
      <c r="E8" s="116">
        <f>SUMIF('数据-基础表'!BB10:BK10,"地上",'数据-基础表'!BB5:BK5)</f>
        <v>99436.95</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1691.59</v>
      </c>
      <c r="E10" s="116">
        <f>SUMPRODUCT(('数据-基础表'!BB10:BK10="地下")*('数据-基础表'!BB11:BK11="商业")*('数据-基础表'!BB5:BK5))</f>
        <v>15896.35</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2580.81</v>
      </c>
      <c r="E15" s="116">
        <f>SUMPRODUCT(('数据-基础表'!BB10:BK10="地下")*('数据-基础表'!BB11:BK11="车库—办公")*('数据-基础表'!BB5:BK5))</f>
        <v>24252.63</v>
      </c>
      <c r="F15" s="3083"/>
      <c r="G15" s="3084"/>
      <c r="H15" s="3084"/>
      <c r="I15" s="3083"/>
      <c r="J15" s="3083"/>
      <c r="K15" s="3083"/>
      <c r="L15" s="3083"/>
      <c r="M15" s="3083"/>
      <c r="N15" s="3083"/>
      <c r="O15" s="3083"/>
      <c r="P15" s="3083"/>
    </row>
    <row r="16" spans="1:16" ht="15.75" thickBot="1">
      <c r="A16" s="113"/>
      <c r="B16" s="118"/>
      <c r="C16" s="115" t="s">
        <v>215</v>
      </c>
      <c r="D16" s="115">
        <f>SUM(D8:D15)</f>
        <v>14853.84</v>
      </c>
      <c r="E16" s="120">
        <f>SUM(E8:E15)</f>
        <v>139585.93</v>
      </c>
      <c r="F16" s="3083"/>
      <c r="G16" s="3084"/>
      <c r="H16" s="956" t="s">
        <v>219</v>
      </c>
      <c r="I16" s="957"/>
      <c r="J16" s="1898"/>
      <c r="K16" s="3379" t="s">
        <v>2548</v>
      </c>
      <c r="L16" s="3380"/>
      <c r="M16" s="3380"/>
      <c r="N16" s="3380"/>
      <c r="O16" s="3380"/>
      <c r="P16" s="3381"/>
    </row>
    <row r="17" spans="1:19" ht="15">
      <c r="A17" s="121" t="s">
        <v>216</v>
      </c>
      <c r="B17" s="122" t="s">
        <v>217</v>
      </c>
      <c r="C17" s="2178" t="s">
        <v>2301</v>
      </c>
      <c r="D17" s="108" t="s">
        <v>204</v>
      </c>
      <c r="E17" s="124" t="s">
        <v>205</v>
      </c>
      <c r="F17" s="125"/>
      <c r="G17" s="1319"/>
      <c r="H17" s="958" t="s">
        <v>218</v>
      </c>
      <c r="I17" s="959" t="s">
        <v>2300</v>
      </c>
      <c r="J17" s="1898"/>
      <c r="K17" s="3382" t="s">
        <v>2549</v>
      </c>
      <c r="L17" s="3383"/>
      <c r="M17" s="3384"/>
      <c r="N17" s="3382" t="s">
        <v>2550</v>
      </c>
      <c r="O17" s="3383"/>
      <c r="P17" s="3384"/>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3015</v>
      </c>
      <c r="D19" s="111">
        <f t="shared" ref="D19:D26" si="1">ROUND($D$3*E19/$E$3,2)</f>
        <v>5368.55</v>
      </c>
      <c r="E19" s="134">
        <f t="shared" ref="E19:E26" si="2">SUM(F19:G19)</f>
        <v>50449.86</v>
      </c>
      <c r="F19" s="3085">
        <f>'数据-基础表'!I13</f>
        <v>50449.86</v>
      </c>
      <c r="G19" s="3086"/>
      <c r="H19" s="962">
        <f>ROUND($D$3*I19/$E$3,2)</f>
        <v>313.76</v>
      </c>
      <c r="I19" s="116">
        <f>IF($I$17="自定义",P19,M19)</f>
        <v>2948.5</v>
      </c>
      <c r="J19" s="1898"/>
      <c r="K19" s="2452">
        <f t="shared" ref="K19:K26" si="3">ROUND(E$28*E19/E$27,2)</f>
        <v>2948.5</v>
      </c>
      <c r="L19" s="273">
        <f t="shared" ref="L19:L26" si="4">ROUND(IF(COUNTIF(C19,"*住宅*")&gt;0,E$29*E19/E$32,0),2)</f>
        <v>0</v>
      </c>
      <c r="M19" s="2453">
        <f>K19+L19</f>
        <v>2948.5</v>
      </c>
      <c r="N19" s="2454"/>
      <c r="O19" s="2455"/>
      <c r="P19" s="2456">
        <f>N19+O19</f>
        <v>0</v>
      </c>
      <c r="R19" s="273">
        <f t="shared" ref="R19:S26" si="5">D19+H19</f>
        <v>5682.31</v>
      </c>
      <c r="S19" s="2181">
        <f t="shared" si="5"/>
        <v>53398.36</v>
      </c>
    </row>
    <row r="20" spans="1:19">
      <c r="A20" s="137"/>
      <c r="B20" s="115" t="s">
        <v>226</v>
      </c>
      <c r="C20" s="2738" t="s">
        <v>3016</v>
      </c>
      <c r="D20" s="111">
        <f t="shared" si="1"/>
        <v>6904.48</v>
      </c>
      <c r="E20" s="134">
        <f t="shared" si="2"/>
        <v>64883.439999999995</v>
      </c>
      <c r="F20" s="3085">
        <f>'数据-基础表'!K13</f>
        <v>48987.09</v>
      </c>
      <c r="G20" s="3086">
        <f>'数据-基础表'!M13</f>
        <v>15896.35</v>
      </c>
      <c r="H20" s="962">
        <f t="shared" ref="H20:H26" si="6">ROUND($D$3*I20/$E$3,2)</f>
        <v>403.53</v>
      </c>
      <c r="I20" s="116">
        <f t="shared" ref="I20:I26" si="7">IF($I$17="自定义",P20,M20)</f>
        <v>3792.05</v>
      </c>
      <c r="J20" s="1898"/>
      <c r="K20" s="2452">
        <f t="shared" si="3"/>
        <v>3792.05</v>
      </c>
      <c r="L20" s="273">
        <f t="shared" si="4"/>
        <v>0</v>
      </c>
      <c r="M20" s="2453">
        <f t="shared" ref="M20:M26" si="8">K20+L20</f>
        <v>3792.05</v>
      </c>
      <c r="N20" s="2454"/>
      <c r="O20" s="2455"/>
      <c r="P20" s="2456">
        <f t="shared" ref="P20:P26" si="9">N20+O20</f>
        <v>0</v>
      </c>
      <c r="R20" s="273">
        <f t="shared" si="5"/>
        <v>7308.0099999999993</v>
      </c>
      <c r="S20" s="2181">
        <f t="shared" si="5"/>
        <v>68675.489999999991</v>
      </c>
    </row>
    <row r="21" spans="1:19">
      <c r="A21" s="137"/>
      <c r="B21" s="115" t="s">
        <v>226</v>
      </c>
      <c r="C21" s="2738" t="s">
        <v>3017</v>
      </c>
      <c r="D21" s="111">
        <f t="shared" si="1"/>
        <v>2580.81</v>
      </c>
      <c r="E21" s="134">
        <f t="shared" si="2"/>
        <v>24252.63</v>
      </c>
      <c r="F21" s="3085"/>
      <c r="G21" s="3086">
        <f>'数据-基础表'!O13</f>
        <v>24252.63</v>
      </c>
      <c r="H21" s="962">
        <f t="shared" si="6"/>
        <v>150.83000000000001</v>
      </c>
      <c r="I21" s="116">
        <f t="shared" si="7"/>
        <v>1417.42</v>
      </c>
      <c r="J21" s="1898"/>
      <c r="K21" s="2452">
        <f t="shared" si="3"/>
        <v>1417.42</v>
      </c>
      <c r="L21" s="273">
        <f t="shared" si="4"/>
        <v>0</v>
      </c>
      <c r="M21" s="2453">
        <f t="shared" si="8"/>
        <v>1417.42</v>
      </c>
      <c r="N21" s="2454"/>
      <c r="O21" s="2455"/>
      <c r="P21" s="2456">
        <f t="shared" si="9"/>
        <v>0</v>
      </c>
      <c r="R21" s="273">
        <f t="shared" si="5"/>
        <v>2731.64</v>
      </c>
      <c r="S21" s="2181">
        <f t="shared" si="5"/>
        <v>25670.050000000003</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14853.839999999998</v>
      </c>
      <c r="E27" s="141">
        <f>IF(SUM(E19:E26)='数据-基础表'!BA5,SUM(E19:E26),IF(F27="地上面积有误","面积有误","地下面积有误"))</f>
        <v>139585.93</v>
      </c>
      <c r="F27" s="134">
        <f>IF(SUM(F19:F26)=E8,SUM(F19:F26),"地上面积有误")</f>
        <v>99436.95</v>
      </c>
      <c r="G27" s="112">
        <f>SUM(G19:G26)</f>
        <v>40148.980000000003</v>
      </c>
      <c r="H27" s="963">
        <f>SUM(H19:H26)</f>
        <v>868.12</v>
      </c>
      <c r="I27" s="964">
        <f>SUM(I19:I26)</f>
        <v>8157.97</v>
      </c>
      <c r="J27" s="1898"/>
      <c r="K27" s="2461">
        <f>SUM(K19:K26)</f>
        <v>8157.97</v>
      </c>
      <c r="L27" s="2462">
        <f>SUM(L19:L26)</f>
        <v>0</v>
      </c>
      <c r="M27" s="2463">
        <f>SUM(M19:M26)</f>
        <v>8157.97</v>
      </c>
      <c r="N27" s="2461">
        <f t="shared" ref="N27:O27" si="10">SUM(N19:N26)</f>
        <v>0</v>
      </c>
      <c r="O27" s="2462">
        <f t="shared" si="10"/>
        <v>0</v>
      </c>
      <c r="P27" s="2464">
        <f>SUM(P19:P26)</f>
        <v>0</v>
      </c>
      <c r="R27" s="2185">
        <f>IF(SUM(R19:R26)=$D$3,SUM(R19:R26),SUM(R19:R26)&amp;"误差"&amp;ROUND(SUM(R19:R26)-$D$3,2))</f>
        <v>15721.96</v>
      </c>
      <c r="S27" s="273">
        <f>IF(SUM(S19:S26)=$E$3,SUM(S19:S26),SUM(S19:S26)&amp;"误差"&amp;ROUND(SUM(S19:S26)-E3,2))</f>
        <v>147743.9</v>
      </c>
    </row>
    <row r="28" spans="1:19">
      <c r="A28" s="137"/>
      <c r="B28" s="115" t="s">
        <v>227</v>
      </c>
      <c r="C28" s="135" t="s">
        <v>228</v>
      </c>
      <c r="D28" s="111">
        <f>ROUND($D$3*E28/$E$3,2)</f>
        <v>868.12</v>
      </c>
      <c r="E28" s="134">
        <f>SUM(F28:G28)</f>
        <v>8157.97</v>
      </c>
      <c r="F28" s="142">
        <f>'数据-基础表'!BQ5+'数据-基础表'!BS5</f>
        <v>0</v>
      </c>
      <c r="G28" s="143">
        <f>'数据-基础表'!BR5+'数据-基础表'!BT5</f>
        <v>8157.97</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868.12</v>
      </c>
      <c r="E30" s="134">
        <f>SUM(E28:E29)</f>
        <v>8157.97</v>
      </c>
      <c r="F30" s="134">
        <f>SUM(F28:F29)</f>
        <v>0</v>
      </c>
      <c r="G30" s="112">
        <f>SUM(G28:G29)</f>
        <v>8157.97</v>
      </c>
      <c r="H30" s="3083"/>
      <c r="I30" s="3083"/>
      <c r="J30" s="3083"/>
      <c r="K30" s="3083"/>
      <c r="L30" s="3083"/>
      <c r="M30" s="3083"/>
      <c r="N30" s="3083"/>
      <c r="O30" s="3083"/>
      <c r="P30" s="3083"/>
    </row>
    <row r="31" spans="1:19" ht="32.25" customHeight="1" thickBot="1">
      <c r="A31" s="1321"/>
      <c r="B31" s="1322" t="s">
        <v>229</v>
      </c>
      <c r="C31" s="2210" t="s">
        <v>2310</v>
      </c>
      <c r="D31" s="1323">
        <f>D27+D30</f>
        <v>15721.96</v>
      </c>
      <c r="E31" s="1323">
        <f>E27+E30</f>
        <v>147743.9</v>
      </c>
      <c r="F31" s="1324">
        <f>F27+F30</f>
        <v>99436.95</v>
      </c>
      <c r="G31" s="1325">
        <f>G27+G30</f>
        <v>48306.950000000004</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activeCell="D1" sqref="D1"/>
      <selection pane="bottomLeft" activeCell="A4" sqref="A4"/>
      <selection pane="bottomRight" activeCell="AJ32" sqref="AJ32"/>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44216</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2976</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办公</v>
      </c>
      <c r="B6" s="2217" t="str">
        <f>IF(A6=0,"","经营性")</f>
        <v>经营性</v>
      </c>
      <c r="C6" s="171" t="s">
        <v>1668</v>
      </c>
      <c r="D6" s="2188">
        <f>SUMIF(项目基本情况!D$15:I$15,C6,项目基本情况!D$18:I$18)</f>
        <v>50</v>
      </c>
      <c r="E6" s="2189">
        <f>IF(B6="","",SUMIF(项目基本情况!D$15:I$15,C6,项目基本情况!D$17:I$17))</f>
        <v>59479</v>
      </c>
      <c r="F6" s="172">
        <f>SUMIF(项目基本情况!D$15:I$15,C6,项目基本情况!D$19:I$19)</f>
        <v>41.81</v>
      </c>
      <c r="G6" s="173">
        <f>IF(ISERROR(ROUND(POWER(1+H6,D6-F6)*(POWER(1+H6,F6)-1)/(POWER(1+H6,D6)-1),3)),0,ROUND(POWER(1+H6,D6-F6)*(POWER(1+H6,F6)-1)/(POWER(1+H6,D6)-1),3))</f>
        <v>0.95299999999999996</v>
      </c>
      <c r="H6" s="2739">
        <v>0.05</v>
      </c>
      <c r="I6" s="2739">
        <v>0.06</v>
      </c>
      <c r="J6" s="174">
        <v>8.5000000000000006E-2</v>
      </c>
      <c r="K6" s="177">
        <f>SUMIF('数据-汇总表'!C$19:C$33,'数据-取费表'!A6,'数据-汇总表'!E$19:E$33)</f>
        <v>50449.86</v>
      </c>
      <c r="L6" s="2740">
        <v>4500</v>
      </c>
      <c r="M6" s="175">
        <f t="shared" ref="M6:M14" si="0">ROUND(K6*L6/10000,0)</f>
        <v>22702</v>
      </c>
      <c r="N6" s="2741">
        <v>0</v>
      </c>
      <c r="O6" s="175">
        <f>IF($N$5="成新度","——",ROUND(M6*N6,0))</f>
        <v>0</v>
      </c>
      <c r="P6" s="176">
        <f>IF($N$5="成新度","——",M6-O6)</f>
        <v>22702</v>
      </c>
      <c r="Q6" s="2742">
        <v>0.15</v>
      </c>
      <c r="R6" s="177">
        <f>SUMIF('数据-汇总表'!C$19:C$33,A6,'数据-汇总表'!R$19:R$33)</f>
        <v>5682.31</v>
      </c>
      <c r="S6" s="132">
        <f>IF('数据-汇总表'!$I$17="按面积比例",SUMIF('数据-汇总表'!C$19:C$33,A6,'数据-汇总表'!K$19:K$33),SUMIF('数据-汇总表'!C$19:C$33,A6,'数据-汇总表'!N$19:N$33))</f>
        <v>2948.5</v>
      </c>
      <c r="T6" s="2114">
        <f>IF($T$4="按面积比例",IF(ISERROR(ROUND($M$14*S6/S$16,0)),"0",ROUND($M$14*S6/S$16,0)),"需自行计算录入")</f>
        <v>737</v>
      </c>
      <c r="U6" s="178">
        <v>5</v>
      </c>
      <c r="V6" s="179">
        <v>1.4999999999999999E-2</v>
      </c>
      <c r="W6" s="179">
        <v>0.1</v>
      </c>
      <c r="X6" s="2201"/>
      <c r="Y6" s="180">
        <v>1</v>
      </c>
      <c r="Z6" s="181"/>
      <c r="AA6" s="174"/>
      <c r="AB6" s="174"/>
      <c r="AC6" s="2204"/>
      <c r="AD6" s="182"/>
      <c r="AE6" s="960">
        <f ca="1">IF(AN6="",0,SUMIF(INDIRECT("'"&amp;AN6&amp;"'"&amp;"!E:E"),$AE$5,INDIRECT("'"&amp;AN6&amp;"'"&amp;"!F:F")))</f>
        <v>38.81</v>
      </c>
      <c r="AF6" s="139"/>
      <c r="AG6" s="1196">
        <f>IF(AF6="",0,AE6-AF6)</f>
        <v>0</v>
      </c>
      <c r="AH6" s="139"/>
      <c r="AI6" s="185">
        <v>365</v>
      </c>
      <c r="AJ6" s="186"/>
      <c r="AK6" s="187">
        <v>1.4999999999999999E-2</v>
      </c>
      <c r="AL6" s="188">
        <v>2E-3</v>
      </c>
      <c r="AM6" s="2753">
        <v>0.02</v>
      </c>
      <c r="AN6" s="2247" t="s">
        <v>3092</v>
      </c>
      <c r="AO6" s="3093"/>
      <c r="AP6" s="1187">
        <f>ROUND(1-1/(1+H6)^F6,3)</f>
        <v>0.87</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t="str">
        <f>'数据-汇总表'!C20</f>
        <v>商业</v>
      </c>
      <c r="B7" s="2217" t="str">
        <f t="shared" ref="B7:B13" si="1">IF(A7=0,"","经营性")</f>
        <v>经营性</v>
      </c>
      <c r="C7" s="171" t="s">
        <v>3009</v>
      </c>
      <c r="D7" s="2188">
        <f>SUMIF(项目基本情况!D$15:I$15,C7,项目基本情况!D$18:I$18)</f>
        <v>40</v>
      </c>
      <c r="E7" s="2189">
        <f>IF(B7="","",SUMIF(项目基本情况!D$15:I$15,C7,项目基本情况!D$17:I$17))</f>
        <v>55827</v>
      </c>
      <c r="F7" s="172">
        <f>SUMIF(项目基本情况!D$15:I$15,C7,项目基本情况!D$19:I$19)</f>
        <v>31.81</v>
      </c>
      <c r="G7" s="173">
        <f t="shared" ref="G7:G11" si="2">IF(ISERROR(ROUND(POWER(1+H7,D7-F7)*(POWER(1+H7,F7)-1)/(POWER(1+H7,D7)-1),3)),0,ROUND(POWER(1+H7,D7-F7)*(POWER(1+H7,F7)-1)/(POWER(1+H7,D7)-1),3))</f>
        <v>0.92700000000000005</v>
      </c>
      <c r="H7" s="2739">
        <v>5.5E-2</v>
      </c>
      <c r="I7" s="2739">
        <v>6.5000000000000002E-2</v>
      </c>
      <c r="J7" s="174">
        <v>8.5000000000000006E-2</v>
      </c>
      <c r="K7" s="177">
        <f>SUMIF('数据-汇总表'!C$19:C$33,'数据-取费表'!A7,'数据-汇总表'!E$19:E$33)</f>
        <v>64883.439999999995</v>
      </c>
      <c r="L7" s="2740">
        <v>4000</v>
      </c>
      <c r="M7" s="175">
        <f t="shared" si="0"/>
        <v>25953</v>
      </c>
      <c r="N7" s="2741">
        <v>0</v>
      </c>
      <c r="O7" s="175">
        <f t="shared" ref="O7:O14" si="3">IF($N$5="成新度","——",ROUND(M7*N7,0))</f>
        <v>0</v>
      </c>
      <c r="P7" s="176">
        <f t="shared" ref="P7:P14" si="4">IF($N$5="成新度","——",M7-O7)</f>
        <v>25953</v>
      </c>
      <c r="Q7" s="2742">
        <v>0.15</v>
      </c>
      <c r="R7" s="177">
        <f>SUMIF('数据-汇总表'!C$19:C$33,A7,'数据-汇总表'!R$19:R$33)</f>
        <v>7308.0099999999993</v>
      </c>
      <c r="S7" s="132">
        <f>IF('数据-汇总表'!$I$17="按面积比例",SUMIF('数据-汇总表'!C$19:C$33,A7,'数据-汇总表'!K$19:K$33),SUMIF('数据-汇总表'!C$19:C$33,A7,'数据-汇总表'!N$19:N$33))</f>
        <v>3792.05</v>
      </c>
      <c r="T7" s="2114">
        <f t="shared" ref="T7:T13" si="5">IF($T$4="按面积比例",IF(ISERROR(ROUND($M$14*S7/S$16,0)),"0",ROUND($M$14*S7/S$16,0)),"需自行计算录入")</f>
        <v>948</v>
      </c>
      <c r="U7" s="178">
        <v>6</v>
      </c>
      <c r="V7" s="179">
        <v>1.4999999999999999E-2</v>
      </c>
      <c r="W7" s="179">
        <v>0.1</v>
      </c>
      <c r="X7" s="2201"/>
      <c r="Y7" s="180">
        <v>1</v>
      </c>
      <c r="Z7" s="181"/>
      <c r="AA7" s="174"/>
      <c r="AB7" s="174"/>
      <c r="AC7" s="2204"/>
      <c r="AD7" s="182"/>
      <c r="AE7" s="960">
        <f t="shared" ref="AE7:AE13" ca="1" si="6">IF(AN7="",0,SUMIF(INDIRECT("'"&amp;AN7&amp;"'"&amp;"!E:E"),$AE$5,INDIRECT("'"&amp;AN7&amp;"'"&amp;"!F:F")))</f>
        <v>28.81</v>
      </c>
      <c r="AF7" s="139"/>
      <c r="AG7" s="1196">
        <f t="shared" ref="AG7:AG13" si="7">IF(AF7="",0,AE7-AF7)</f>
        <v>0</v>
      </c>
      <c r="AH7" s="139"/>
      <c r="AI7" s="185">
        <v>365</v>
      </c>
      <c r="AJ7" s="186"/>
      <c r="AK7" s="187">
        <v>1.4999999999999999E-2</v>
      </c>
      <c r="AL7" s="188">
        <v>2E-3</v>
      </c>
      <c r="AM7" s="2245">
        <v>0.02</v>
      </c>
      <c r="AN7" s="2247" t="s">
        <v>3091</v>
      </c>
      <c r="AO7" s="3093"/>
      <c r="AP7" s="1187">
        <f t="shared" ref="AP7:AP13" si="8">ROUND(1-1/(1+H7)^F7,3)</f>
        <v>0.81799999999999995</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t="str">
        <f>'数据-汇总表'!C21</f>
        <v>地下车库</v>
      </c>
      <c r="B8" s="2217" t="str">
        <f t="shared" si="1"/>
        <v>经营性</v>
      </c>
      <c r="C8" s="171" t="s">
        <v>3010</v>
      </c>
      <c r="D8" s="2188">
        <f>SUMIF(项目基本情况!D$15:I$15,C8,项目基本情况!D$18:I$18)</f>
        <v>50</v>
      </c>
      <c r="E8" s="2189">
        <f>IF(B8="","",SUMIF(项目基本情况!D$15:I$15,C8,项目基本情况!D$17:I$17))</f>
        <v>59479</v>
      </c>
      <c r="F8" s="172">
        <f>SUMIF(项目基本情况!D$15:I$15,C8,项目基本情况!D$19:I$19)</f>
        <v>41.81</v>
      </c>
      <c r="G8" s="173">
        <f t="shared" si="2"/>
        <v>0.94599999999999995</v>
      </c>
      <c r="H8" s="2739">
        <v>4.4999999999999998E-2</v>
      </c>
      <c r="I8" s="2739">
        <v>0.05</v>
      </c>
      <c r="J8" s="174">
        <v>8.5000000000000006E-2</v>
      </c>
      <c r="K8" s="177">
        <f>SUMIF('数据-汇总表'!C$19:C$33,'数据-取费表'!A8,'数据-汇总表'!E$19:E$33)</f>
        <v>24252.63</v>
      </c>
      <c r="L8" s="2740">
        <v>3000</v>
      </c>
      <c r="M8" s="175">
        <f>ROUND(K8*L8/10000,0)</f>
        <v>7276</v>
      </c>
      <c r="N8" s="2741">
        <v>0</v>
      </c>
      <c r="O8" s="175">
        <f t="shared" si="3"/>
        <v>0</v>
      </c>
      <c r="P8" s="176">
        <f t="shared" si="4"/>
        <v>7276</v>
      </c>
      <c r="Q8" s="2742">
        <v>0.05</v>
      </c>
      <c r="R8" s="177">
        <f>SUMIF('数据-汇总表'!C$19:C$33,A8,'数据-汇总表'!R$19:R$33)</f>
        <v>2731.64</v>
      </c>
      <c r="S8" s="132">
        <f>IF('数据-汇总表'!$I$17="按面积比例",SUMIF('数据-汇总表'!C$19:C$33,A8,'数据-汇总表'!K$19:K$33),SUMIF('数据-汇总表'!C$19:C$33,A8,'数据-汇总表'!N$19:N$33))</f>
        <v>1417.42</v>
      </c>
      <c r="T8" s="2114">
        <f t="shared" si="5"/>
        <v>354</v>
      </c>
      <c r="U8" s="178">
        <v>600</v>
      </c>
      <c r="V8" s="179">
        <v>0</v>
      </c>
      <c r="W8" s="179">
        <v>0.2</v>
      </c>
      <c r="X8" s="2201"/>
      <c r="Y8" s="180">
        <v>1</v>
      </c>
      <c r="Z8" s="181"/>
      <c r="AA8" s="174"/>
      <c r="AB8" s="174"/>
      <c r="AC8" s="2204"/>
      <c r="AD8" s="182"/>
      <c r="AE8" s="960">
        <f t="shared" ca="1" si="6"/>
        <v>38.81</v>
      </c>
      <c r="AF8" s="139"/>
      <c r="AG8" s="1196">
        <f t="shared" si="7"/>
        <v>0</v>
      </c>
      <c r="AH8" s="139">
        <f>ROUND('数据-汇总表'!G21/35,0)</f>
        <v>693</v>
      </c>
      <c r="AI8" s="185">
        <v>12</v>
      </c>
      <c r="AJ8" s="186"/>
      <c r="AK8" s="187">
        <v>1.4999999999999999E-2</v>
      </c>
      <c r="AL8" s="188">
        <v>1.5E-3</v>
      </c>
      <c r="AM8" s="2245">
        <v>1.4999999999999999E-2</v>
      </c>
      <c r="AN8" s="2247" t="s">
        <v>3093</v>
      </c>
      <c r="AO8" s="3093"/>
      <c r="AP8" s="1187">
        <f t="shared" si="8"/>
        <v>0.84099999999999997</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8157.97</v>
      </c>
      <c r="L14" s="191">
        <v>2500</v>
      </c>
      <c r="M14" s="175">
        <f t="shared" si="0"/>
        <v>2039</v>
      </c>
      <c r="N14" s="192">
        <v>0</v>
      </c>
      <c r="O14" s="175">
        <f t="shared" si="3"/>
        <v>0</v>
      </c>
      <c r="P14" s="176">
        <f t="shared" si="4"/>
        <v>2039</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0.94</v>
      </c>
      <c r="H16" s="201">
        <f>ROUND(SUMPRODUCT(H6:H13,K6:K13)/SUMPRODUCT((H6:H13&gt;0)*(K6:K13)),3)</f>
        <v>5.0999999999999997E-2</v>
      </c>
      <c r="I16" s="202"/>
      <c r="J16" s="202"/>
      <c r="K16" s="203">
        <f>SUM(K6:K15)</f>
        <v>147743.9</v>
      </c>
      <c r="L16" s="204">
        <f>ROUND(M16*10000/SUM(K6:K14),0)</f>
        <v>3924</v>
      </c>
      <c r="M16" s="204">
        <f>SUM(M6:M14)</f>
        <v>57970</v>
      </c>
      <c r="N16" s="205">
        <f>ROUND(SUMPRODUCT(M6:M14,N6:N14)/M16,3)</f>
        <v>0</v>
      </c>
      <c r="O16" s="204">
        <f>SUM(O6:O14)</f>
        <v>0</v>
      </c>
      <c r="P16" s="204">
        <f>SUM(P6:P14)</f>
        <v>57970</v>
      </c>
      <c r="Q16" s="206">
        <f>ROUND(SUMPRODUCT(Q6:Q13,K6:K13)/SUMPRODUCT((Q6:Q13&gt;0)*(K6:K13)),2)</f>
        <v>0.13</v>
      </c>
      <c r="R16" s="2191">
        <f>SUM(R6:R13)</f>
        <v>15721.96</v>
      </c>
      <c r="S16" s="207">
        <f>SUM(S6:S13)</f>
        <v>8157.97</v>
      </c>
      <c r="T16" s="208">
        <f>IF(SUMIF(T6:T13,"&lt;9E307")=M14,SUMIF(T6:T13,"&lt;9E307"),"有误，请检查")</f>
        <v>2039</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0.84099999999999997</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2989</v>
      </c>
      <c r="D19" s="3094"/>
      <c r="E19" s="3093"/>
      <c r="F19" s="3093"/>
      <c r="G19" s="3093"/>
      <c r="H19" s="3093"/>
      <c r="I19" s="3093"/>
      <c r="J19" s="3093"/>
      <c r="K19" s="3092"/>
      <c r="L19" s="3092"/>
      <c r="M19" s="3090"/>
      <c r="N19" s="3090"/>
      <c r="O19" s="3090"/>
      <c r="P19" s="3090"/>
      <c r="Q19" s="3090"/>
      <c r="R19" s="3090"/>
      <c r="S19" s="3090"/>
      <c r="T19" s="1901"/>
      <c r="U19" s="3285" t="s">
        <v>3018</v>
      </c>
      <c r="V19" s="3285" t="s">
        <v>3019</v>
      </c>
      <c r="W19" s="3285" t="s">
        <v>3020</v>
      </c>
      <c r="X19" s="3285" t="s">
        <v>3021</v>
      </c>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3</v>
      </c>
      <c r="C20" s="3105" t="s">
        <v>2323</v>
      </c>
      <c r="D20" s="3094"/>
      <c r="E20" s="3093"/>
      <c r="F20" s="3093"/>
      <c r="G20" s="3093"/>
      <c r="H20" s="3093"/>
      <c r="I20" s="3093"/>
      <c r="J20" s="3093"/>
      <c r="K20" s="3092"/>
      <c r="L20" s="3092"/>
      <c r="M20" s="3090"/>
      <c r="N20" s="3090"/>
      <c r="O20" s="3090"/>
      <c r="P20" s="3090"/>
      <c r="Q20" s="3090"/>
      <c r="R20" s="3090"/>
      <c r="S20" s="3090"/>
      <c r="T20" s="1901">
        <v>1</v>
      </c>
      <c r="U20" s="1901">
        <f>ROUND('数据-汇总表'!F20/4,2)</f>
        <v>12246.77</v>
      </c>
      <c r="V20" s="1901">
        <v>9.5</v>
      </c>
      <c r="W20" s="1901">
        <v>1</v>
      </c>
      <c r="X20" s="1901">
        <f>ROUND(U20/$U$25,2)</f>
        <v>0.19</v>
      </c>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1901">
        <v>2</v>
      </c>
      <c r="U21" s="1901">
        <f>U20</f>
        <v>12246.77</v>
      </c>
      <c r="V21" s="1901">
        <f>V20*W21</f>
        <v>5.7</v>
      </c>
      <c r="W21" s="1901">
        <v>0.6</v>
      </c>
      <c r="X21" s="1901">
        <f t="shared" ref="X21:X24" si="9">ROUND(U21/$U$25,2)</f>
        <v>0.19</v>
      </c>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3</v>
      </c>
      <c r="C22" s="3093"/>
      <c r="D22" s="3094"/>
      <c r="E22" s="3093"/>
      <c r="F22" s="3093"/>
      <c r="G22" s="3093"/>
      <c r="H22" s="3093"/>
      <c r="I22" s="3093"/>
      <c r="J22" s="3093"/>
      <c r="K22" s="3092"/>
      <c r="L22" s="3092"/>
      <c r="M22" s="3090"/>
      <c r="N22" s="3090"/>
      <c r="O22" s="3090"/>
      <c r="P22" s="3090"/>
      <c r="Q22" s="3090"/>
      <c r="R22" s="3090"/>
      <c r="S22" s="3090"/>
      <c r="T22" s="1901">
        <v>3</v>
      </c>
      <c r="U22" s="1901">
        <f>U20</f>
        <v>12246.77</v>
      </c>
      <c r="V22" s="1901">
        <f>V20*W22</f>
        <v>5.2250000000000005</v>
      </c>
      <c r="W22" s="1901">
        <v>0.55000000000000004</v>
      </c>
      <c r="X22" s="1901">
        <f t="shared" si="9"/>
        <v>0.19</v>
      </c>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1901">
        <v>4</v>
      </c>
      <c r="U23" s="1901">
        <f>'数据-汇总表'!F20-U20-U21-U22</f>
        <v>12246.779999999992</v>
      </c>
      <c r="V23" s="1901">
        <f>V20*W23</f>
        <v>4.75</v>
      </c>
      <c r="W23" s="1901">
        <v>0.5</v>
      </c>
      <c r="X23" s="1901">
        <f t="shared" si="9"/>
        <v>0.19</v>
      </c>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3</v>
      </c>
      <c r="C24" s="3093"/>
      <c r="D24" s="3094"/>
      <c r="E24" s="3093"/>
      <c r="F24" s="3093"/>
      <c r="G24" s="3093"/>
      <c r="H24" s="3093"/>
      <c r="I24" s="3093"/>
      <c r="J24" s="3093"/>
      <c r="K24" s="3092"/>
      <c r="L24" s="3092"/>
      <c r="M24" s="3090"/>
      <c r="N24" s="3090"/>
      <c r="O24" s="3090"/>
      <c r="P24" s="3090"/>
      <c r="Q24" s="3090"/>
      <c r="R24" s="3090"/>
      <c r="S24" s="3090"/>
      <c r="T24" s="1901">
        <v>-1</v>
      </c>
      <c r="U24" s="1901">
        <f>'数据-汇总表'!G20</f>
        <v>15896.35</v>
      </c>
      <c r="V24" s="1901">
        <f>V20*W24</f>
        <v>4.75</v>
      </c>
      <c r="W24" s="1901">
        <v>0.5</v>
      </c>
      <c r="X24" s="1901">
        <f t="shared" si="9"/>
        <v>0.24</v>
      </c>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1901"/>
      <c r="U25" s="1901">
        <f>U20+U21+U22+U23+U24</f>
        <v>64883.439999999988</v>
      </c>
      <c r="V25" s="1901">
        <f>V20*X20+V21*X21+V22*X22+V23*X23+V24*X24</f>
        <v>5.9232499999999995</v>
      </c>
      <c r="W25" s="1901"/>
      <c r="X25" s="1901"/>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2990</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200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f ca="1">'剩余法-待开发'!C22</f>
        <v>2955</v>
      </c>
      <c r="C29" s="3107" t="s">
        <v>2327</v>
      </c>
      <c r="D29" s="3302">
        <f ca="1">B29/'剩余法-待开发'!D19</f>
        <v>2.0000825753212145E-2</v>
      </c>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2977</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2978</v>
      </c>
      <c r="D34" s="3109" t="s">
        <v>2986</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200</v>
      </c>
      <c r="C35" s="3108" t="s">
        <v>2979</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2980</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2981</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2981</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4.7500000000000001E-2</v>
      </c>
      <c r="C40" s="3108" t="s">
        <v>2982</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2987</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2983</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2984</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2991</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2983</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2985</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1.5</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1400</v>
      </c>
      <c r="C53" s="3101" t="s">
        <v>2873</v>
      </c>
      <c r="D53" s="3112" t="s">
        <v>2988</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2874</v>
      </c>
      <c r="B54" s="184"/>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2875</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2876</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2877</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2878</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2879</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2880</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2881</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2882</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2883</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4" customWidth="1"/>
    <col min="2" max="2" width="23.5" style="3159" customWidth="1"/>
    <col min="3" max="3" width="32.25" style="3161" customWidth="1"/>
    <col min="4" max="4" width="2.625" style="3161" customWidth="1"/>
    <col min="5" max="5" width="5.875" style="3161" customWidth="1"/>
    <col min="6" max="6" width="23.625" style="3159" customWidth="1"/>
    <col min="7" max="7" width="33.375" style="3160" customWidth="1"/>
    <col min="8" max="8" width="11.875" style="3159" customWidth="1"/>
    <col min="9" max="9" width="16.75" style="3160" customWidth="1"/>
    <col min="10" max="10" width="2.625" style="3161" customWidth="1"/>
    <col min="11" max="11" width="11.875" style="3159" customWidth="1"/>
    <col min="12" max="12" width="16.75" style="3160" customWidth="1"/>
    <col min="13" max="13" width="2.625" style="3161" customWidth="1"/>
    <col min="14" max="14" width="11.875" style="3159" customWidth="1"/>
    <col min="15" max="15" width="16.75" style="3160" customWidth="1"/>
    <col min="16" max="16" width="2.625" style="3161" customWidth="1"/>
    <col min="17" max="17" width="11.875" style="3159" customWidth="1"/>
    <col min="18" max="18" width="16.75" style="3162" customWidth="1"/>
    <col min="19" max="16384" width="9" style="3124"/>
  </cols>
  <sheetData>
    <row r="1" spans="1:18" s="3118" customFormat="1" ht="19.5" thickBot="1">
      <c r="A1" s="3394" t="s">
        <v>1654</v>
      </c>
      <c r="B1" s="3395"/>
      <c r="C1" s="3395"/>
      <c r="D1" s="3395"/>
      <c r="E1" s="3395"/>
      <c r="F1" s="3395"/>
      <c r="G1" s="3395"/>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40.5">
      <c r="A3" s="3125" t="s">
        <v>1657</v>
      </c>
      <c r="B3" s="3126" t="s">
        <v>1644</v>
      </c>
      <c r="C3" s="3127" t="s">
        <v>2890</v>
      </c>
      <c r="D3" s="3128"/>
      <c r="E3" s="3129" t="s">
        <v>1657</v>
      </c>
      <c r="F3" s="3130" t="s">
        <v>1645</v>
      </c>
      <c r="G3" s="3131" t="s">
        <v>2889</v>
      </c>
      <c r="H3" s="3124"/>
      <c r="I3" s="3124"/>
      <c r="J3" s="3124"/>
      <c r="K3" s="3124"/>
      <c r="L3" s="3124"/>
      <c r="M3" s="3124"/>
      <c r="N3" s="3124"/>
      <c r="O3" s="3124"/>
      <c r="P3" s="3124"/>
      <c r="Q3" s="3124"/>
      <c r="R3" s="3124"/>
    </row>
    <row r="4" spans="1:18" ht="40.5">
      <c r="A4" s="3129"/>
      <c r="B4" s="3132" t="s">
        <v>1658</v>
      </c>
      <c r="C4" s="3133" t="s">
        <v>2891</v>
      </c>
      <c r="D4" s="3128"/>
      <c r="E4" s="3134"/>
      <c r="F4" s="3135" t="s">
        <v>1659</v>
      </c>
      <c r="G4" s="3136" t="s">
        <v>2886</v>
      </c>
      <c r="H4" s="3124"/>
      <c r="I4" s="3124"/>
      <c r="J4" s="3124"/>
      <c r="K4" s="3124"/>
      <c r="L4" s="3124"/>
      <c r="M4" s="3124"/>
      <c r="N4" s="3124"/>
      <c r="O4" s="3124"/>
      <c r="P4" s="3124"/>
      <c r="Q4" s="3124"/>
      <c r="R4" s="3124"/>
    </row>
    <row r="5" spans="1:18" ht="41.25">
      <c r="A5" s="3129"/>
      <c r="B5" s="3132" t="s">
        <v>1660</v>
      </c>
      <c r="C5" s="3133" t="s">
        <v>2892</v>
      </c>
      <c r="D5" s="3128"/>
      <c r="E5" s="3134"/>
      <c r="F5" s="3132" t="s">
        <v>2528</v>
      </c>
      <c r="G5" s="3136" t="s">
        <v>2887</v>
      </c>
      <c r="H5" s="3124"/>
      <c r="I5" s="3124"/>
      <c r="J5" s="3124"/>
      <c r="K5" s="3124"/>
      <c r="L5" s="3124"/>
      <c r="M5" s="3124"/>
      <c r="N5" s="3124"/>
      <c r="O5" s="3124"/>
      <c r="P5" s="3124"/>
      <c r="Q5" s="3124"/>
      <c r="R5" s="3124"/>
    </row>
    <row r="6" spans="1:18" ht="40.5">
      <c r="A6" s="3129"/>
      <c r="B6" s="3132" t="s">
        <v>1646</v>
      </c>
      <c r="C6" s="3136" t="s">
        <v>2886</v>
      </c>
      <c r="D6" s="3128"/>
      <c r="E6" s="3134"/>
      <c r="F6" s="3132" t="s">
        <v>2529</v>
      </c>
      <c r="G6" s="3136" t="s">
        <v>2884</v>
      </c>
      <c r="H6" s="3124"/>
      <c r="I6" s="3124"/>
      <c r="J6" s="3124"/>
      <c r="K6" s="3124"/>
      <c r="L6" s="3124"/>
      <c r="M6" s="3124"/>
      <c r="N6" s="3124"/>
      <c r="O6" s="3124"/>
      <c r="P6" s="3124"/>
      <c r="Q6" s="3124"/>
      <c r="R6" s="3124"/>
    </row>
    <row r="7" spans="1:18" ht="27.75" thickBot="1">
      <c r="A7" s="3129"/>
      <c r="B7" s="3132" t="s">
        <v>2528</v>
      </c>
      <c r="C7" s="3136" t="s">
        <v>2887</v>
      </c>
      <c r="D7" s="3137"/>
      <c r="E7" s="3138"/>
      <c r="F7" s="3139" t="s">
        <v>1661</v>
      </c>
      <c r="G7" s="3140" t="s">
        <v>2888</v>
      </c>
      <c r="H7" s="3124"/>
      <c r="I7" s="3124"/>
      <c r="J7" s="3124"/>
      <c r="K7" s="3124"/>
      <c r="L7" s="3124"/>
      <c r="M7" s="3124"/>
      <c r="N7" s="3124"/>
      <c r="O7" s="3124"/>
      <c r="P7" s="3124"/>
      <c r="Q7" s="3124"/>
      <c r="R7" s="3124"/>
    </row>
    <row r="8" spans="1:18">
      <c r="A8" s="3129"/>
      <c r="B8" s="3132" t="s">
        <v>2529</v>
      </c>
      <c r="C8" s="3136" t="s">
        <v>2884</v>
      </c>
      <c r="D8" s="3137"/>
      <c r="E8" s="3137"/>
      <c r="F8" s="3141"/>
      <c r="G8" s="3141"/>
      <c r="H8" s="3124"/>
      <c r="I8" s="3124"/>
      <c r="J8" s="3124"/>
      <c r="K8" s="3124"/>
      <c r="L8" s="3124"/>
      <c r="M8" s="3124"/>
      <c r="N8" s="3124"/>
      <c r="O8" s="3124"/>
      <c r="P8" s="3124"/>
      <c r="Q8" s="3124"/>
      <c r="R8" s="3124"/>
    </row>
    <row r="9" spans="1:18" ht="27">
      <c r="A9" s="3129"/>
      <c r="B9" s="3132" t="s">
        <v>1647</v>
      </c>
      <c r="C9" s="3133" t="s">
        <v>2885</v>
      </c>
      <c r="D9" s="3128"/>
      <c r="E9" s="3137"/>
      <c r="F9" s="3141"/>
      <c r="G9" s="3141"/>
      <c r="H9" s="3124"/>
      <c r="I9" s="3124"/>
      <c r="J9" s="3124"/>
      <c r="K9" s="3124"/>
      <c r="L9" s="3124"/>
      <c r="M9" s="3124"/>
      <c r="N9" s="3124"/>
      <c r="O9" s="3124"/>
      <c r="P9" s="3124"/>
      <c r="Q9" s="3124"/>
      <c r="R9" s="3124"/>
    </row>
    <row r="10" spans="1:18" s="3148" customFormat="1" ht="15" thickBot="1">
      <c r="A10" s="3142"/>
      <c r="B10" s="3143" t="s">
        <v>1662</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8.75">
      <c r="A12" s="3149"/>
      <c r="B12" s="3137"/>
      <c r="C12" s="3128"/>
      <c r="D12" s="3151"/>
      <c r="E12" s="3128"/>
      <c r="F12" s="3137"/>
      <c r="G12" s="3150"/>
      <c r="H12" s="3152"/>
      <c r="I12" s="3153"/>
      <c r="J12" s="3152"/>
      <c r="K12" s="3152"/>
      <c r="L12" s="3154"/>
      <c r="M12" s="3152"/>
      <c r="N12" s="3155"/>
      <c r="O12" s="3156"/>
      <c r="P12" s="3157"/>
      <c r="Q12" s="3155"/>
      <c r="R12" s="3117"/>
    </row>
    <row r="13" spans="1:18" ht="19.5" thickBot="1">
      <c r="A13" s="3158" t="s">
        <v>1663</v>
      </c>
      <c r="B13" s="3151"/>
      <c r="C13" s="3151"/>
      <c r="D13" s="3122"/>
      <c r="E13" s="3151"/>
      <c r="F13" s="3151"/>
      <c r="G13" s="3151"/>
    </row>
    <row r="14" spans="1:18" ht="14.25" thickBot="1">
      <c r="A14" s="3163"/>
      <c r="B14" s="3163"/>
      <c r="C14" s="3164" t="s">
        <v>1655</v>
      </c>
      <c r="D14" s="3128"/>
      <c r="E14" s="3165"/>
      <c r="F14" s="3165"/>
      <c r="G14" s="3121" t="s">
        <v>1656</v>
      </c>
    </row>
    <row r="15" spans="1:18" ht="40.5">
      <c r="A15" s="3166" t="s">
        <v>1648</v>
      </c>
      <c r="B15" s="3167" t="s">
        <v>1644</v>
      </c>
      <c r="C15" s="3168" t="str">
        <f>C3</f>
        <v>估价对象周边居住用地比例、居住小区规模和社区发展完善程度，综合评价居住社区成熟度一般</v>
      </c>
      <c r="D15" s="3128"/>
      <c r="E15" s="3169" t="s">
        <v>1649</v>
      </c>
      <c r="F15" s="3167" t="s">
        <v>1664</v>
      </c>
      <c r="G15" s="3170" t="str">
        <f>G3</f>
        <v>估价对象位于XX开发区，园区建设成熟度XX，产业集聚程度XX</v>
      </c>
    </row>
    <row r="16" spans="1:18" ht="40.5">
      <c r="A16" s="3171"/>
      <c r="B16" s="3172" t="s">
        <v>1658</v>
      </c>
      <c r="C16" s="3173" t="str">
        <f>C4</f>
        <v>估价对象位于XX商圈，周边商业氛围成熟，人流量大，商业繁华度好</v>
      </c>
      <c r="D16" s="3128"/>
      <c r="E16" s="3174"/>
      <c r="F16" s="3175" t="s">
        <v>1659</v>
      </c>
      <c r="G16" s="3176" t="str">
        <f>G4</f>
        <v>估价对象周边道路状况、公共交通通达情况、停车便捷程度，综合评价交通便捷度较好</v>
      </c>
    </row>
    <row r="17" spans="1:7" ht="40.5">
      <c r="A17" s="3171"/>
      <c r="B17" s="3172" t="s">
        <v>1660</v>
      </c>
      <c r="C17" s="3173" t="str">
        <f>C5</f>
        <v>估价对象位于XX商圈，周边办公楼项目较多，入驻率高，办公集聚程度较好</v>
      </c>
      <c r="D17" s="3137"/>
      <c r="E17" s="3174"/>
      <c r="F17" s="3175" t="s">
        <v>1665</v>
      </c>
      <c r="G17" s="3177"/>
    </row>
    <row r="18" spans="1:7" ht="40.5">
      <c r="A18" s="3171"/>
      <c r="B18" s="3175" t="s">
        <v>1646</v>
      </c>
      <c r="C18" s="3176" t="str">
        <f>C6</f>
        <v>估价对象周边道路状况、公共交通通达情况、停车便捷程度，综合评价交通便捷度较好</v>
      </c>
      <c r="D18" s="3137"/>
      <c r="E18" s="3174"/>
      <c r="F18" s="3175" t="s">
        <v>1661</v>
      </c>
      <c r="G18" s="3176" t="str">
        <f>G7</f>
        <v>该园区内是否有污染型企业，绿化情况，卫生条件，整体环境状况判断</v>
      </c>
    </row>
    <row r="19" spans="1:7" ht="27">
      <c r="A19" s="3171"/>
      <c r="B19" s="3175" t="s">
        <v>1650</v>
      </c>
      <c r="C19" s="3177"/>
      <c r="D19" s="3128"/>
      <c r="E19" s="3174"/>
      <c r="F19" s="3132" t="s">
        <v>2528</v>
      </c>
      <c r="G19" s="3176" t="str">
        <f>G5</f>
        <v>估价对象所在区域公共配套设施齐备情况</v>
      </c>
    </row>
    <row r="20" spans="1:7" ht="27">
      <c r="A20" s="3171"/>
      <c r="B20" s="3175" t="s">
        <v>1651</v>
      </c>
      <c r="C20" s="3173" t="str">
        <f>C9</f>
        <v>区域自然环境：；人文环境；综合评价环境状况一般</v>
      </c>
      <c r="D20" s="3137"/>
      <c r="E20" s="3174"/>
      <c r="F20" s="3132" t="s">
        <v>2529</v>
      </c>
      <c r="G20" s="3176" t="str">
        <f>G6</f>
        <v>估价对象所在区域基础设施水平</v>
      </c>
    </row>
    <row r="21" spans="1:7" ht="27">
      <c r="A21" s="3171"/>
      <c r="B21" s="3132" t="s">
        <v>2528</v>
      </c>
      <c r="C21" s="3176" t="str">
        <f>C7</f>
        <v>估价对象所在区域公共配套设施齐备情况</v>
      </c>
      <c r="D21" s="3128"/>
      <c r="E21" s="3174"/>
      <c r="F21" s="3175" t="s">
        <v>1652</v>
      </c>
      <c r="G21" s="3178"/>
    </row>
    <row r="22" spans="1:7" ht="14.25">
      <c r="A22" s="3171"/>
      <c r="B22" s="3132" t="s">
        <v>2529</v>
      </c>
      <c r="C22" s="3176" t="str">
        <f>C8</f>
        <v>估价对象所在区域基础设施水平</v>
      </c>
      <c r="D22" s="3128"/>
      <c r="E22" s="3174"/>
      <c r="F22" s="3175" t="s">
        <v>1662</v>
      </c>
      <c r="G22" s="3177"/>
    </row>
    <row r="23" spans="1:7" ht="15" thickBot="1">
      <c r="A23" s="3171"/>
      <c r="B23" s="3175" t="s">
        <v>1652</v>
      </c>
      <c r="C23" s="3178"/>
      <c r="E23" s="3179"/>
      <c r="F23" s="3180" t="s">
        <v>1666</v>
      </c>
      <c r="G23" s="3181"/>
    </row>
    <row r="24" spans="1:7" ht="14.25" thickBot="1">
      <c r="A24" s="3182"/>
      <c r="B24" s="3180" t="s">
        <v>1653</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7" customWidth="1"/>
    <col min="2" max="16384" width="14.625" style="3187"/>
  </cols>
  <sheetData>
    <row r="1" spans="1:10" ht="16.5">
      <c r="A1" s="3186" t="s">
        <v>2824</v>
      </c>
      <c r="B1" s="3186">
        <f>SUM(B14:B23)</f>
        <v>147743.9</v>
      </c>
      <c r="C1" s="3195"/>
      <c r="D1" s="3195"/>
      <c r="E1" s="3195"/>
      <c r="F1" s="3195"/>
      <c r="G1" s="3196"/>
      <c r="H1" s="3196"/>
      <c r="I1" s="3196"/>
      <c r="J1" s="3196"/>
    </row>
    <row r="2" spans="1:10" ht="16.5">
      <c r="A2" s="3186" t="s">
        <v>2825</v>
      </c>
      <c r="B2" s="3186">
        <f>SUM(C14:C23)</f>
        <v>15721.96</v>
      </c>
      <c r="C2" s="3195"/>
      <c r="D2" s="3195"/>
      <c r="E2" s="3195"/>
      <c r="F2" s="3195"/>
      <c r="G2" s="3196"/>
      <c r="H2" s="3196"/>
      <c r="I2" s="3196"/>
      <c r="J2" s="3196"/>
    </row>
    <row r="3" spans="1:10" ht="16.5">
      <c r="A3" s="3186" t="s">
        <v>2826</v>
      </c>
      <c r="B3" s="3188">
        <f>项目基本情况!D3</f>
        <v>44216</v>
      </c>
      <c r="C3" s="3195"/>
      <c r="D3" s="3195"/>
      <c r="E3" s="3195"/>
      <c r="F3" s="3195"/>
      <c r="G3" s="3196"/>
      <c r="H3" s="3196"/>
      <c r="I3" s="3196"/>
      <c r="J3" s="3196"/>
    </row>
    <row r="4" spans="1:10" ht="33">
      <c r="A4" s="3186" t="s">
        <v>2827</v>
      </c>
      <c r="B4" s="3186" t="s">
        <v>2828</v>
      </c>
      <c r="C4" s="3186" t="s">
        <v>2829</v>
      </c>
      <c r="D4" s="3186" t="s">
        <v>2830</v>
      </c>
      <c r="E4" s="3195"/>
      <c r="F4" s="3195"/>
      <c r="G4" s="3196"/>
      <c r="H4" s="3196"/>
      <c r="I4" s="3196"/>
      <c r="J4" s="3196"/>
    </row>
    <row r="5" spans="1:10" ht="16.5">
      <c r="A5" s="3186" t="s">
        <v>2831</v>
      </c>
      <c r="B5" s="3186">
        <f ca="1">SUM(D14:D23)</f>
        <v>140753</v>
      </c>
      <c r="C5" s="3186">
        <f ca="1">ROUND(B5*10000/$B$1,0)</f>
        <v>9527</v>
      </c>
      <c r="D5" s="3186">
        <f ca="1">ROUND(B5*10000/$B$2,0)</f>
        <v>89526</v>
      </c>
      <c r="E5" s="3195"/>
      <c r="F5" s="3195"/>
      <c r="G5" s="3196"/>
      <c r="H5" s="3196"/>
      <c r="I5" s="3196"/>
      <c r="J5" s="3196"/>
    </row>
    <row r="6" spans="1:10" ht="16.5">
      <c r="A6" s="3186" t="s">
        <v>2832</v>
      </c>
      <c r="B6" s="3186">
        <f ca="1">SUM(G14:G23)</f>
        <v>140753</v>
      </c>
      <c r="C6" s="3186">
        <f t="shared" ref="C6:C8" ca="1" si="0">ROUND(B6*10000/$B$1,0)</f>
        <v>9527</v>
      </c>
      <c r="D6" s="3186">
        <f t="shared" ref="D6:D8" ca="1" si="1">ROUND(B6*10000/$B$2,0)</f>
        <v>89526</v>
      </c>
      <c r="E6" s="3195"/>
      <c r="F6" s="3195"/>
      <c r="G6" s="3196"/>
      <c r="H6" s="3196"/>
      <c r="I6" s="3196"/>
      <c r="J6" s="3196"/>
    </row>
    <row r="7" spans="1:10" ht="16.5">
      <c r="A7" s="3186" t="s">
        <v>2833</v>
      </c>
      <c r="B7" s="3186">
        <f>SUM(H14:H23)</f>
        <v>0</v>
      </c>
      <c r="C7" s="3186">
        <f t="shared" si="0"/>
        <v>0</v>
      </c>
      <c r="D7" s="3186">
        <f t="shared" si="1"/>
        <v>0</v>
      </c>
      <c r="E7" s="3195"/>
      <c r="F7" s="3195"/>
      <c r="G7" s="3196"/>
      <c r="H7" s="3196"/>
      <c r="I7" s="3196"/>
      <c r="J7" s="3196"/>
    </row>
    <row r="8" spans="1:10" ht="16.5">
      <c r="A8" s="3186" t="s">
        <v>2834</v>
      </c>
      <c r="B8" s="3186">
        <f>SUM(I14:I23)</f>
        <v>0</v>
      </c>
      <c r="C8" s="3186">
        <f t="shared" si="0"/>
        <v>0</v>
      </c>
      <c r="D8" s="3186">
        <f t="shared" si="1"/>
        <v>0</v>
      </c>
      <c r="E8" s="3195"/>
      <c r="F8" s="3195"/>
      <c r="G8" s="3196"/>
      <c r="H8" s="3196"/>
      <c r="I8" s="3196"/>
      <c r="J8" s="3196"/>
    </row>
    <row r="9" spans="1:10" ht="16.5">
      <c r="A9" s="3186" t="s">
        <v>2835</v>
      </c>
      <c r="B9" s="3194"/>
      <c r="C9" s="3195"/>
      <c r="D9" s="3195"/>
      <c r="E9" s="3195"/>
      <c r="F9" s="3195"/>
      <c r="G9" s="3196"/>
      <c r="H9" s="3196"/>
      <c r="I9" s="3196"/>
      <c r="J9" s="3196"/>
    </row>
    <row r="10" spans="1:10" ht="16.5">
      <c r="A10" s="3186" t="s">
        <v>2836</v>
      </c>
      <c r="B10" s="3194"/>
      <c r="C10" s="3195"/>
      <c r="D10" s="3195"/>
      <c r="E10" s="3195"/>
      <c r="F10" s="3195"/>
      <c r="G10" s="3196"/>
      <c r="H10" s="3196"/>
      <c r="I10" s="3196"/>
      <c r="J10" s="3196"/>
    </row>
    <row r="11" spans="1:10" ht="16.5">
      <c r="A11" s="3186" t="s">
        <v>2853</v>
      </c>
      <c r="B11" s="3194"/>
      <c r="C11" s="3195"/>
      <c r="D11" s="3195"/>
      <c r="E11" s="3195"/>
      <c r="F11" s="3195"/>
      <c r="G11" s="3196"/>
      <c r="H11" s="3196"/>
      <c r="I11" s="3196"/>
      <c r="J11" s="3196"/>
    </row>
    <row r="12" spans="1:10" ht="16.5">
      <c r="A12" s="3195"/>
      <c r="B12" s="3195"/>
      <c r="C12" s="3195"/>
      <c r="D12" s="3195"/>
      <c r="E12" s="3195"/>
      <c r="F12" s="3195"/>
      <c r="G12" s="3196"/>
      <c r="H12" s="3196"/>
      <c r="I12" s="3196"/>
      <c r="J12" s="3196"/>
    </row>
    <row r="13" spans="1:10" ht="33">
      <c r="A13" s="3189" t="s">
        <v>2852</v>
      </c>
      <c r="B13" s="3190" t="s">
        <v>2824</v>
      </c>
      <c r="C13" s="3190" t="s">
        <v>2825</v>
      </c>
      <c r="D13" s="3190" t="s">
        <v>2837</v>
      </c>
      <c r="E13" s="3186" t="s">
        <v>2851</v>
      </c>
      <c r="F13" s="3186" t="s">
        <v>2830</v>
      </c>
      <c r="G13" s="3190" t="s">
        <v>2838</v>
      </c>
      <c r="H13" s="3190" t="s">
        <v>2839</v>
      </c>
      <c r="I13" s="3190" t="s">
        <v>2840</v>
      </c>
      <c r="J13" s="3196"/>
    </row>
    <row r="14" spans="1:10" ht="16.5">
      <c r="A14" s="3191" t="s">
        <v>2850</v>
      </c>
      <c r="B14" s="3192">
        <f>结果表!L38</f>
        <v>147743.9</v>
      </c>
      <c r="C14" s="3192">
        <f>结果表!K38</f>
        <v>15721.96</v>
      </c>
      <c r="D14" s="3192">
        <f ca="1">结果表!C42</f>
        <v>140753</v>
      </c>
      <c r="E14" s="3192">
        <f ca="1">ROUND(D14*10000/B14,0)</f>
        <v>9527</v>
      </c>
      <c r="F14" s="3192">
        <f ca="1">ROUND(D14*10000/C14,0)</f>
        <v>89526</v>
      </c>
      <c r="G14" s="3192">
        <f ca="1">结果表!C44</f>
        <v>140753</v>
      </c>
      <c r="H14" s="3192" t="str">
        <f>结果表!C45</f>
        <v>——</v>
      </c>
      <c r="I14" s="3192" t="str">
        <f>结果表!C46</f>
        <v>——</v>
      </c>
      <c r="J14" s="3196"/>
    </row>
    <row r="15" spans="1:10" ht="16.5">
      <c r="A15" s="3191" t="s">
        <v>2841</v>
      </c>
      <c r="B15" s="3193"/>
      <c r="C15" s="3193"/>
      <c r="D15" s="3193"/>
      <c r="E15" s="3192" t="e">
        <f t="shared" ref="E15:E23" si="2">ROUND(D15*10000/B15,0)</f>
        <v>#DIV/0!</v>
      </c>
      <c r="F15" s="3192" t="e">
        <f t="shared" ref="F15:F23" si="3">ROUND(D15*10000/C15,0)</f>
        <v>#DIV/0!</v>
      </c>
      <c r="G15" s="2758"/>
      <c r="H15" s="2758"/>
      <c r="I15" s="3193"/>
      <c r="J15" s="3196"/>
    </row>
    <row r="16" spans="1:10" ht="16.5">
      <c r="A16" s="3191" t="s">
        <v>2842</v>
      </c>
      <c r="B16" s="3193"/>
      <c r="C16" s="3193"/>
      <c r="D16" s="3193"/>
      <c r="E16" s="3192" t="e">
        <f t="shared" si="2"/>
        <v>#DIV/0!</v>
      </c>
      <c r="F16" s="3192" t="e">
        <f t="shared" si="3"/>
        <v>#DIV/0!</v>
      </c>
      <c r="G16" s="2758"/>
      <c r="H16" s="2758"/>
      <c r="I16" s="3193"/>
      <c r="J16" s="3196"/>
    </row>
    <row r="17" spans="1:10" ht="16.5">
      <c r="A17" s="3191" t="s">
        <v>2843</v>
      </c>
      <c r="B17" s="3193"/>
      <c r="C17" s="3193"/>
      <c r="D17" s="3193"/>
      <c r="E17" s="3192" t="e">
        <f t="shared" si="2"/>
        <v>#DIV/0!</v>
      </c>
      <c r="F17" s="3192" t="e">
        <f t="shared" si="3"/>
        <v>#DIV/0!</v>
      </c>
      <c r="G17" s="2758"/>
      <c r="H17" s="2758"/>
      <c r="I17" s="3193"/>
      <c r="J17" s="3196"/>
    </row>
    <row r="18" spans="1:10" ht="16.5">
      <c r="A18" s="3191" t="s">
        <v>2844</v>
      </c>
      <c r="B18" s="3193"/>
      <c r="C18" s="3193"/>
      <c r="D18" s="3193"/>
      <c r="E18" s="3192" t="e">
        <f t="shared" si="2"/>
        <v>#DIV/0!</v>
      </c>
      <c r="F18" s="3192" t="e">
        <f t="shared" si="3"/>
        <v>#DIV/0!</v>
      </c>
      <c r="G18" s="3193"/>
      <c r="H18" s="3193"/>
      <c r="I18" s="3193"/>
      <c r="J18" s="3196"/>
    </row>
    <row r="19" spans="1:10" ht="16.5">
      <c r="A19" s="3191" t="s">
        <v>2845</v>
      </c>
      <c r="B19" s="3193"/>
      <c r="C19" s="3193"/>
      <c r="D19" s="3193"/>
      <c r="E19" s="3192" t="e">
        <f t="shared" si="2"/>
        <v>#DIV/0!</v>
      </c>
      <c r="F19" s="3192" t="e">
        <f t="shared" si="3"/>
        <v>#DIV/0!</v>
      </c>
      <c r="G19" s="3193"/>
      <c r="H19" s="3193"/>
      <c r="I19" s="3193"/>
      <c r="J19" s="3196"/>
    </row>
    <row r="20" spans="1:10" ht="16.5">
      <c r="A20" s="3191" t="s">
        <v>2846</v>
      </c>
      <c r="B20" s="3193"/>
      <c r="C20" s="3193"/>
      <c r="D20" s="3193"/>
      <c r="E20" s="3192" t="e">
        <f t="shared" si="2"/>
        <v>#DIV/0!</v>
      </c>
      <c r="F20" s="3192" t="e">
        <f t="shared" si="3"/>
        <v>#DIV/0!</v>
      </c>
      <c r="G20" s="3193"/>
      <c r="H20" s="3193"/>
      <c r="I20" s="3193"/>
      <c r="J20" s="3196"/>
    </row>
    <row r="21" spans="1:10" ht="16.5">
      <c r="A21" s="3191" t="s">
        <v>2847</v>
      </c>
      <c r="B21" s="3193"/>
      <c r="C21" s="3193"/>
      <c r="D21" s="3193"/>
      <c r="E21" s="3192" t="e">
        <f t="shared" si="2"/>
        <v>#DIV/0!</v>
      </c>
      <c r="F21" s="3192" t="e">
        <f t="shared" si="3"/>
        <v>#DIV/0!</v>
      </c>
      <c r="G21" s="3193"/>
      <c r="H21" s="3193"/>
      <c r="I21" s="3193"/>
      <c r="J21" s="3196"/>
    </row>
    <row r="22" spans="1:10" ht="16.5">
      <c r="A22" s="3191" t="s">
        <v>2848</v>
      </c>
      <c r="B22" s="3193"/>
      <c r="C22" s="3193"/>
      <c r="D22" s="3193"/>
      <c r="E22" s="3192" t="e">
        <f t="shared" si="2"/>
        <v>#DIV/0!</v>
      </c>
      <c r="F22" s="3192" t="e">
        <f t="shared" si="3"/>
        <v>#DIV/0!</v>
      </c>
      <c r="G22" s="3193"/>
      <c r="H22" s="3193"/>
      <c r="I22" s="3193"/>
      <c r="J22" s="3196"/>
    </row>
    <row r="23" spans="1:10" ht="16.5">
      <c r="A23" s="3191" t="s">
        <v>2849</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19" zoomScale="80" zoomScaleNormal="100" zoomScaleSheetLayoutView="80" zoomScalePageLayoutView="80" workbookViewId="0">
      <selection activeCell="R31" sqref="R31"/>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0" t="str">
        <f>项目基本情况!K2</f>
        <v>北京市出让国有建设用地使用权</v>
      </c>
      <c r="B2" s="3441"/>
      <c r="C2" s="3442"/>
      <c r="D2" s="3442"/>
      <c r="E2" s="3442"/>
      <c r="F2" s="3442"/>
      <c r="G2" s="3441"/>
      <c r="H2" s="3441"/>
      <c r="I2" s="3443"/>
      <c r="J2" s="1913"/>
      <c r="K2" s="1912"/>
      <c r="L2" s="1912"/>
      <c r="M2" s="1912"/>
      <c r="N2" s="1912"/>
      <c r="O2" s="1912"/>
      <c r="P2" s="1912"/>
      <c r="Q2" s="1912"/>
      <c r="R2" s="1912"/>
      <c r="S2" s="1912"/>
      <c r="T2" s="1912"/>
      <c r="U2" s="1912"/>
      <c r="V2" s="1912"/>
    </row>
    <row r="3" spans="1:22" ht="14.25">
      <c r="A3" s="3433" t="s">
        <v>298</v>
      </c>
      <c r="B3" s="3434"/>
      <c r="C3" s="3434"/>
      <c r="D3" s="3434"/>
      <c r="E3" s="3434"/>
      <c r="F3" s="3434"/>
      <c r="G3" s="3434"/>
      <c r="H3" s="3434"/>
      <c r="I3" s="3434"/>
      <c r="J3" s="1913"/>
      <c r="K3" s="1912"/>
      <c r="L3" s="1912"/>
      <c r="M3" s="1912"/>
      <c r="N3" s="1912"/>
      <c r="O3" s="1912"/>
      <c r="P3" s="1912"/>
      <c r="Q3" s="1912"/>
      <c r="R3" s="1912"/>
      <c r="S3" s="1912"/>
      <c r="T3" s="1912"/>
      <c r="U3" s="1912"/>
      <c r="V3" s="1912"/>
    </row>
    <row r="4" spans="1:22" ht="14.25">
      <c r="A4" s="256" t="s">
        <v>299</v>
      </c>
      <c r="B4" s="257" t="s">
        <v>300</v>
      </c>
      <c r="C4" s="258" t="s">
        <v>3094</v>
      </c>
      <c r="D4" s="258" t="s">
        <v>3095</v>
      </c>
      <c r="E4" s="3399" t="s">
        <v>301</v>
      </c>
      <c r="F4" s="3400"/>
      <c r="G4" s="3400"/>
      <c r="H4" s="3400"/>
      <c r="I4" s="3435"/>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398" t="s">
        <v>302</v>
      </c>
      <c r="B5" s="3427">
        <v>25</v>
      </c>
      <c r="C5" s="3425"/>
      <c r="D5" s="3429"/>
      <c r="E5" s="259" t="s">
        <v>303</v>
      </c>
      <c r="F5" s="260"/>
      <c r="G5" s="260"/>
      <c r="H5" s="260"/>
      <c r="I5" s="261"/>
      <c r="J5" s="1913"/>
      <c r="K5" s="1912"/>
      <c r="L5" s="1912"/>
      <c r="M5" s="1912"/>
      <c r="N5" s="1912"/>
      <c r="O5" s="1912"/>
      <c r="P5" s="1912"/>
      <c r="Q5" s="1912"/>
      <c r="R5" s="1912"/>
      <c r="S5" s="1912"/>
      <c r="T5" s="1912"/>
      <c r="U5" s="1912"/>
      <c r="V5" s="1912"/>
    </row>
    <row r="6" spans="1:22" ht="14.25">
      <c r="A6" s="3398"/>
      <c r="B6" s="3427"/>
      <c r="C6" s="3428"/>
      <c r="D6" s="3429"/>
      <c r="E6" s="259" t="s">
        <v>304</v>
      </c>
      <c r="F6" s="260"/>
      <c r="G6" s="260"/>
      <c r="H6" s="260"/>
      <c r="I6" s="261"/>
      <c r="J6" s="1913"/>
      <c r="K6" s="1912"/>
      <c r="L6" s="1912"/>
      <c r="M6" s="1912"/>
      <c r="N6" s="1912"/>
      <c r="O6" s="1912"/>
      <c r="P6" s="1912"/>
      <c r="Q6" s="1912"/>
      <c r="R6" s="1912"/>
      <c r="S6" s="1912"/>
      <c r="T6" s="1912"/>
      <c r="U6" s="1912"/>
      <c r="V6" s="1912"/>
    </row>
    <row r="7" spans="1:22" ht="14.25">
      <c r="A7" s="3398"/>
      <c r="B7" s="3427"/>
      <c r="C7" s="3426"/>
      <c r="D7" s="3429"/>
      <c r="E7" s="259" t="s">
        <v>305</v>
      </c>
      <c r="F7" s="260"/>
      <c r="G7" s="260"/>
      <c r="H7" s="260"/>
      <c r="I7" s="261"/>
      <c r="J7" s="1913"/>
      <c r="K7" s="1912"/>
      <c r="L7" s="1912"/>
      <c r="M7" s="1912"/>
      <c r="N7" s="1912"/>
      <c r="O7" s="1912"/>
      <c r="P7" s="1912"/>
      <c r="Q7" s="1912"/>
      <c r="R7" s="1912"/>
      <c r="S7" s="1912"/>
      <c r="T7" s="1912"/>
      <c r="U7" s="1912"/>
      <c r="V7" s="1912"/>
    </row>
    <row r="8" spans="1:22" ht="14.25">
      <c r="A8" s="3398" t="s">
        <v>306</v>
      </c>
      <c r="B8" s="3427">
        <v>15</v>
      </c>
      <c r="C8" s="3425"/>
      <c r="D8" s="3429"/>
      <c r="E8" s="259" t="s">
        <v>307</v>
      </c>
      <c r="F8" s="260"/>
      <c r="G8" s="260"/>
      <c r="H8" s="260"/>
      <c r="I8" s="261"/>
      <c r="J8" s="1913"/>
      <c r="K8" s="1912"/>
      <c r="L8" s="1912"/>
      <c r="M8" s="1912"/>
      <c r="N8" s="1912"/>
      <c r="O8" s="1912"/>
      <c r="P8" s="1912"/>
      <c r="Q8" s="1912"/>
      <c r="R8" s="1912"/>
      <c r="S8" s="1912"/>
      <c r="T8" s="1912"/>
      <c r="U8" s="1912"/>
      <c r="V8" s="1912"/>
    </row>
    <row r="9" spans="1:22" ht="14.25">
      <c r="A9" s="3398"/>
      <c r="B9" s="3427"/>
      <c r="C9" s="3426"/>
      <c r="D9" s="3429"/>
      <c r="E9" s="259" t="s">
        <v>308</v>
      </c>
      <c r="F9" s="260"/>
      <c r="G9" s="260"/>
      <c r="H9" s="260"/>
      <c r="I9" s="261"/>
      <c r="J9" s="1913"/>
      <c r="K9" s="1912"/>
      <c r="L9" s="1912"/>
      <c r="M9" s="1912"/>
      <c r="N9" s="1912"/>
      <c r="O9" s="1912"/>
      <c r="P9" s="1912"/>
      <c r="Q9" s="1912"/>
      <c r="R9" s="1912"/>
      <c r="S9" s="1912"/>
      <c r="T9" s="1912"/>
      <c r="U9" s="1912"/>
      <c r="V9" s="1912"/>
    </row>
    <row r="10" spans="1:22" ht="14.25">
      <c r="A10" s="3398" t="s">
        <v>309</v>
      </c>
      <c r="B10" s="3427">
        <v>15</v>
      </c>
      <c r="C10" s="3425"/>
      <c r="D10" s="3429"/>
      <c r="E10" s="259" t="s">
        <v>310</v>
      </c>
      <c r="F10" s="260"/>
      <c r="G10" s="260"/>
      <c r="H10" s="260"/>
      <c r="I10" s="261"/>
      <c r="J10" s="1913"/>
      <c r="K10" s="1912"/>
      <c r="L10" s="1912"/>
      <c r="M10" s="1912"/>
      <c r="N10" s="1912"/>
      <c r="O10" s="1912"/>
      <c r="P10" s="1912"/>
      <c r="Q10" s="1912"/>
      <c r="R10" s="1912"/>
      <c r="S10" s="1912"/>
      <c r="T10" s="1912"/>
      <c r="U10" s="1912"/>
      <c r="V10" s="1912"/>
    </row>
    <row r="11" spans="1:22" ht="14.25">
      <c r="A11" s="3398"/>
      <c r="B11" s="3427"/>
      <c r="C11" s="3426"/>
      <c r="D11" s="3429"/>
      <c r="E11" s="259" t="s">
        <v>311</v>
      </c>
      <c r="F11" s="260"/>
      <c r="G11" s="260"/>
      <c r="H11" s="260"/>
      <c r="I11" s="261"/>
      <c r="J11" s="1913"/>
      <c r="K11" s="1912"/>
      <c r="L11" s="1912"/>
      <c r="M11" s="1912"/>
      <c r="N11" s="1912"/>
      <c r="O11" s="1912"/>
      <c r="P11" s="1912"/>
      <c r="Q11" s="1912"/>
      <c r="R11" s="1912"/>
      <c r="S11" s="1912"/>
      <c r="T11" s="1912"/>
      <c r="U11" s="1912"/>
      <c r="V11" s="1912"/>
    </row>
    <row r="12" spans="1:22" ht="14.25">
      <c r="A12" s="3398" t="s">
        <v>312</v>
      </c>
      <c r="B12" s="3427">
        <v>15</v>
      </c>
      <c r="C12" s="3425"/>
      <c r="D12" s="3429"/>
      <c r="E12" s="259" t="s">
        <v>313</v>
      </c>
      <c r="F12" s="260"/>
      <c r="G12" s="260"/>
      <c r="H12" s="260"/>
      <c r="I12" s="261"/>
      <c r="J12" s="1913"/>
      <c r="K12" s="1912"/>
      <c r="L12" s="1912"/>
      <c r="M12" s="1912"/>
      <c r="N12" s="1912"/>
      <c r="O12" s="1912"/>
      <c r="P12" s="1912"/>
      <c r="Q12" s="1912"/>
      <c r="R12" s="1912"/>
      <c r="S12" s="1912"/>
      <c r="T12" s="1912"/>
      <c r="U12" s="1912"/>
      <c r="V12" s="1912"/>
    </row>
    <row r="13" spans="1:22" ht="14.25">
      <c r="A13" s="3398"/>
      <c r="B13" s="3427"/>
      <c r="C13" s="3426"/>
      <c r="D13" s="3429"/>
      <c r="E13" s="259" t="s">
        <v>314</v>
      </c>
      <c r="F13" s="260"/>
      <c r="G13" s="260"/>
      <c r="H13" s="260"/>
      <c r="I13" s="261"/>
      <c r="J13" s="1913"/>
      <c r="K13" s="1912"/>
      <c r="L13" s="1912"/>
      <c r="M13" s="1912"/>
      <c r="N13" s="1912"/>
      <c r="O13" s="1912"/>
      <c r="P13" s="1912"/>
      <c r="Q13" s="1912"/>
      <c r="R13" s="1912"/>
      <c r="S13" s="1912"/>
      <c r="T13" s="1912"/>
      <c r="U13" s="1912"/>
      <c r="V13" s="1912"/>
    </row>
    <row r="14" spans="1:22" ht="14.25">
      <c r="A14" s="3398" t="s">
        <v>315</v>
      </c>
      <c r="B14" s="3427">
        <v>30</v>
      </c>
      <c r="C14" s="3425">
        <v>5</v>
      </c>
      <c r="D14" s="3429">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98"/>
      <c r="B15" s="3427"/>
      <c r="C15" s="3428"/>
      <c r="D15" s="3429"/>
      <c r="E15" s="259" t="s">
        <v>317</v>
      </c>
      <c r="F15" s="260"/>
      <c r="G15" s="260"/>
      <c r="H15" s="260"/>
      <c r="I15" s="261"/>
      <c r="J15" s="1913"/>
      <c r="K15" s="1912"/>
      <c r="L15" s="1912"/>
      <c r="M15" s="1912"/>
      <c r="N15" s="1912"/>
      <c r="O15" s="1912"/>
      <c r="P15" s="1912"/>
      <c r="Q15" s="1912"/>
      <c r="R15" s="1912"/>
      <c r="S15" s="1912"/>
      <c r="T15" s="1912"/>
      <c r="U15" s="1912"/>
      <c r="V15" s="1912"/>
    </row>
    <row r="16" spans="1:22" ht="14.25">
      <c r="A16" s="3398"/>
      <c r="B16" s="3427"/>
      <c r="C16" s="3426"/>
      <c r="D16" s="342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30" t="s">
        <v>2965</v>
      </c>
      <c r="F18" s="3431"/>
      <c r="G18" s="3431"/>
      <c r="H18" s="3431"/>
      <c r="I18" s="3431"/>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158191</v>
      </c>
      <c r="D19" s="269">
        <f ca="1">SUMIF(INDIRECT("'"&amp;D4&amp;"'"&amp;"!A:A"),结果表!B19,INDIRECT("'"&amp;D4&amp;"'"&amp;"!B:B"))</f>
        <v>123314</v>
      </c>
      <c r="E19" s="266" t="s">
        <v>323</v>
      </c>
      <c r="F19" s="267" t="s">
        <v>322</v>
      </c>
      <c r="G19" s="270">
        <f ca="1">ROUND(C19*$C$18+D19*$D$18,0)</f>
        <v>140753</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10707</v>
      </c>
      <c r="D20" s="275">
        <f ca="1">SUMIF(INDIRECT("'"&amp;D4&amp;"'"&amp;"!A:A"),结果表!B20,INDIRECT("'"&amp;D4&amp;"'"&amp;"!B:B"))</f>
        <v>8346</v>
      </c>
      <c r="E20" s="272"/>
      <c r="F20" s="273" t="s">
        <v>325</v>
      </c>
      <c r="G20" s="276">
        <f ca="1">ROUND(C20*$C$18+D20*$D$18,0)</f>
        <v>9527</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100618</v>
      </c>
      <c r="D21" s="149">
        <f ca="1">SUMIF(INDIRECT("'"&amp;D4&amp;"'"&amp;"!A:A"),结果表!B21,INDIRECT("'"&amp;D4&amp;"'"&amp;"!B:B"))</f>
        <v>78434</v>
      </c>
      <c r="E21" s="272"/>
      <c r="F21" s="278" t="s">
        <v>327</v>
      </c>
      <c r="G21" s="280">
        <f ca="1">ROUND(C21*$C$18+D21*$D$18,0)</f>
        <v>89526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0.28283082212887423</v>
      </c>
      <c r="E22" s="282"/>
      <c r="F22" s="283"/>
      <c r="G22" s="284">
        <f ca="1">ROUND(G19/('数据-汇总表'!D3/666.67),0)</f>
        <v>5968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0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05"/>
      <c r="B25" s="1275" t="s">
        <v>331</v>
      </c>
      <c r="C25" s="288">
        <f>IF(B30=0,0,C30)</f>
        <v>0</v>
      </c>
      <c r="D25" s="289"/>
      <c r="E25" s="309"/>
      <c r="F25" s="309"/>
      <c r="G25" s="309"/>
      <c r="H25" s="309"/>
      <c r="I25" s="309"/>
      <c r="J25" s="1912"/>
      <c r="K25" s="1209" t="str">
        <f ca="1">项目基本情况!B16&amp;"国有建设用地使用权价格："&amp;O38&amp;"万元"</f>
        <v>出让国有建设用地使用权价格：140753万元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大写金额：人民币壹拾肆亿零柒佰伍拾叁万元整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单位面积地价：89526元/平方米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楼面地价：9527元/平方米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抵押价格：140753万元</v>
      </c>
      <c r="L29" s="1206"/>
      <c r="M29" s="1206"/>
      <c r="N29" s="1206"/>
      <c r="O29" s="1205"/>
      <c r="P29" s="1912"/>
      <c r="V29" s="1912"/>
    </row>
    <row r="30" spans="1:26" ht="18.75" thickBot="1">
      <c r="A30" s="2801" t="s">
        <v>336</v>
      </c>
      <c r="B30" s="307"/>
      <c r="C30" s="307"/>
      <c r="D30" s="308"/>
      <c r="E30" s="3004" t="s">
        <v>2966</v>
      </c>
      <c r="F30" s="309"/>
      <c r="G30" s="309"/>
      <c r="H30" s="309"/>
      <c r="I30" s="309"/>
      <c r="J30" s="1912"/>
      <c r="K30" s="1212" t="str">
        <f ca="1">IF(K29="——","——","大写金额：人民币"&amp;NUMBERSTRING(INT(O39*10000),2)&amp;"元整")</f>
        <v>大写金额：人民币壹拾肆亿零柒佰伍拾叁万元整</v>
      </c>
      <c r="L30" s="1206"/>
      <c r="M30" s="1206"/>
      <c r="N30" s="1206"/>
      <c r="O30" s="1205"/>
      <c r="P30" s="1912"/>
      <c r="V30" s="1912"/>
    </row>
    <row r="31" spans="1:26" ht="24" customHeight="1" thickBot="1">
      <c r="A31" s="3432" t="s">
        <v>2967</v>
      </c>
      <c r="B31" s="3432"/>
      <c r="C31" s="3432"/>
      <c r="D31" s="3432"/>
      <c r="E31" s="3432"/>
      <c r="F31" s="3432"/>
      <c r="G31" s="3432"/>
      <c r="H31" s="3432"/>
      <c r="I31" s="3432"/>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140753</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9527</v>
      </c>
      <c r="D33" s="1334" t="s">
        <v>1682</v>
      </c>
      <c r="E33" s="3404" t="s">
        <v>338</v>
      </c>
      <c r="F33" s="294" t="s">
        <v>339</v>
      </c>
      <c r="G33" s="295"/>
      <c r="H33" s="968"/>
      <c r="I33" s="1213"/>
      <c r="J33" s="1912"/>
      <c r="K33" s="1212" t="str">
        <f>IF(项目基本情况!E9="——","——","抵押净值："&amp;C46&amp;"万元")</f>
        <v>抵押净值：——万元</v>
      </c>
      <c r="L33" s="1206"/>
      <c r="M33" s="1206"/>
      <c r="N33" s="1206"/>
      <c r="O33" s="1205"/>
      <c r="P33" s="1912"/>
      <c r="V33" s="1912"/>
    </row>
    <row r="34" spans="1:26" s="1208" customFormat="1" ht="18.75" thickBot="1">
      <c r="A34" s="298"/>
      <c r="B34" s="1335" t="s">
        <v>1683</v>
      </c>
      <c r="C34" s="262">
        <f ca="1">ROUND(C32*10000/'数据-汇总表'!D3,0)</f>
        <v>89526</v>
      </c>
      <c r="D34" s="1336" t="s">
        <v>1682</v>
      </c>
      <c r="E34" s="3448"/>
      <c r="F34" s="127" t="s">
        <v>341</v>
      </c>
      <c r="G34" s="297"/>
      <c r="H34" s="105"/>
      <c r="I34" s="309"/>
      <c r="J34" s="1912"/>
      <c r="K34" s="1215" t="e">
        <f>IF(K33="——","——","大写金额：人民币"&amp;NUMBERSTRING(INT(O41*10000),2)&amp;"元整")</f>
        <v>#VALUE!</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5968</v>
      </c>
      <c r="D35" s="1339" t="s">
        <v>1684</v>
      </c>
      <c r="E35" s="3449"/>
      <c r="F35" s="299" t="s">
        <v>342</v>
      </c>
      <c r="G35" s="970"/>
      <c r="H35" s="969" t="s">
        <v>343</v>
      </c>
      <c r="I35" s="309"/>
      <c r="J35" s="1912"/>
      <c r="K35" s="3422" t="s">
        <v>350</v>
      </c>
      <c r="L35" s="3422" t="s">
        <v>351</v>
      </c>
      <c r="M35" s="1218" t="s">
        <v>352</v>
      </c>
      <c r="N35" s="3422" t="s">
        <v>353</v>
      </c>
      <c r="O35" s="3422" t="s">
        <v>354</v>
      </c>
      <c r="P35" s="1912"/>
      <c r="V35" s="1912"/>
    </row>
    <row r="36" spans="1:26" ht="16.5" customHeight="1">
      <c r="A36" s="301" t="s">
        <v>344</v>
      </c>
      <c r="B36" s="302" t="s">
        <v>333</v>
      </c>
      <c r="C36" s="303" t="s">
        <v>345</v>
      </c>
      <c r="D36" s="303" t="s">
        <v>346</v>
      </c>
      <c r="E36" s="304" t="s">
        <v>347</v>
      </c>
      <c r="F36" s="309"/>
      <c r="G36" s="309"/>
      <c r="H36" s="309"/>
      <c r="I36" s="309"/>
      <c r="J36" s="1914"/>
      <c r="K36" s="3423"/>
      <c r="L36" s="3423"/>
      <c r="M36" s="1220" t="s">
        <v>355</v>
      </c>
      <c r="N36" s="3423"/>
      <c r="O36" s="3423"/>
      <c r="P36" s="1912"/>
      <c r="V36" s="1912"/>
    </row>
    <row r="37" spans="1:26" ht="16.5" customHeight="1" thickBot="1">
      <c r="A37" s="1214" t="s">
        <v>348</v>
      </c>
      <c r="B37" s="305"/>
      <c r="C37" s="292"/>
      <c r="D37" s="292"/>
      <c r="E37" s="293"/>
      <c r="F37" s="309"/>
      <c r="G37" s="309"/>
      <c r="H37" s="309"/>
      <c r="I37" s="309"/>
      <c r="J37" s="1914"/>
      <c r="K37" s="3424"/>
      <c r="L37" s="3424"/>
      <c r="M37" s="1221"/>
      <c r="N37" s="3424"/>
      <c r="O37" s="3424"/>
      <c r="P37" s="1912"/>
      <c r="V37" s="1912"/>
    </row>
    <row r="38" spans="1:26" ht="16.5" customHeight="1" thickBot="1">
      <c r="A38" s="1214" t="s">
        <v>349</v>
      </c>
      <c r="B38" s="305"/>
      <c r="C38" s="292"/>
      <c r="D38" s="292"/>
      <c r="E38" s="293"/>
      <c r="F38" s="309"/>
      <c r="G38" s="309"/>
      <c r="H38" s="309"/>
      <c r="I38" s="309"/>
      <c r="J38" s="1914"/>
      <c r="K38" s="1222">
        <f>'数据-汇总表'!D3</f>
        <v>15721.96</v>
      </c>
      <c r="L38" s="1223">
        <f>'数据-汇总表'!E3</f>
        <v>147743.9</v>
      </c>
      <c r="M38" s="1223">
        <f ca="1">C34</f>
        <v>89526</v>
      </c>
      <c r="N38" s="1223">
        <f ca="1">C33</f>
        <v>9527</v>
      </c>
      <c r="O38" s="1224">
        <f ca="1">C32</f>
        <v>140753</v>
      </c>
      <c r="P38" s="1912"/>
      <c r="V38" s="1912"/>
    </row>
    <row r="39" spans="1:26" ht="16.5" customHeight="1" thickBot="1">
      <c r="A39" s="1219"/>
      <c r="B39" s="306"/>
      <c r="C39" s="307"/>
      <c r="D39" s="307"/>
      <c r="E39" s="308"/>
      <c r="F39" s="309"/>
      <c r="G39" s="309"/>
      <c r="H39" s="309"/>
      <c r="I39" s="309"/>
      <c r="J39" s="1914"/>
      <c r="K39" s="3462" t="str">
        <f>MID(A44,3,LEN(A44)-2)</f>
        <v>抵押价格</v>
      </c>
      <c r="L39" s="3463"/>
      <c r="M39" s="3463"/>
      <c r="N39" s="3464"/>
      <c r="O39" s="1341">
        <f ca="1">C44</f>
        <v>140753</v>
      </c>
      <c r="P39" s="1912"/>
      <c r="V39" s="1912"/>
    </row>
    <row r="40" spans="1:26" ht="19.5" thickBot="1">
      <c r="A40" s="104" t="s">
        <v>864</v>
      </c>
      <c r="B40" s="309"/>
      <c r="C40" s="309"/>
      <c r="D40" s="309"/>
      <c r="E40" s="309"/>
      <c r="F40" s="309"/>
      <c r="G40" s="309"/>
      <c r="H40" s="309"/>
      <c r="I40" s="309"/>
      <c r="J40" s="1914"/>
      <c r="K40" s="3462" t="str">
        <f t="shared" ref="K40:K41" si="0">MID(A45,3,LEN(A45)-2)</f>
        <v/>
      </c>
      <c r="L40" s="3463"/>
      <c r="M40" s="3463"/>
      <c r="N40" s="3464"/>
      <c r="O40" s="1341" t="str">
        <f>C45</f>
        <v>——</v>
      </c>
      <c r="P40" s="1912"/>
      <c r="V40" s="1912"/>
    </row>
    <row r="41" spans="1:26" ht="16.5" thickBot="1">
      <c r="A41" s="310" t="s">
        <v>356</v>
      </c>
      <c r="B41" s="311"/>
      <c r="C41" s="312" t="s">
        <v>357</v>
      </c>
      <c r="D41" s="313" t="s">
        <v>358</v>
      </c>
      <c r="E41" s="313" t="s">
        <v>359</v>
      </c>
      <c r="F41" s="314" t="s">
        <v>360</v>
      </c>
      <c r="G41" s="309"/>
      <c r="H41" s="309"/>
      <c r="I41" s="309"/>
      <c r="J41" s="1914"/>
      <c r="K41" s="3462" t="str">
        <f t="shared" si="0"/>
        <v/>
      </c>
      <c r="L41" s="3463"/>
      <c r="M41" s="3463"/>
      <c r="N41" s="3464"/>
      <c r="O41" s="1341" t="str">
        <f>C46</f>
        <v>——</v>
      </c>
      <c r="P41" s="1912"/>
      <c r="V41" s="1912"/>
    </row>
    <row r="42" spans="1:26" ht="29.25">
      <c r="A42" s="3406" t="s">
        <v>2056</v>
      </c>
      <c r="B42" s="3407"/>
      <c r="C42" s="262">
        <f ca="1">C32</f>
        <v>140753</v>
      </c>
      <c r="D42" s="315">
        <f ca="1">C33</f>
        <v>9527</v>
      </c>
      <c r="E42" s="315">
        <f ca="1">C34</f>
        <v>89526</v>
      </c>
      <c r="F42" s="316">
        <f ca="1">C35</f>
        <v>5968</v>
      </c>
      <c r="G42" s="309"/>
      <c r="H42" s="309"/>
      <c r="I42" s="317"/>
      <c r="J42" s="1914"/>
      <c r="K42" s="1225" t="s">
        <v>361</v>
      </c>
      <c r="L42" s="1931" t="s">
        <v>362</v>
      </c>
      <c r="M42" s="1226" t="s">
        <v>363</v>
      </c>
      <c r="N42" s="1932" t="s">
        <v>364</v>
      </c>
      <c r="O42" s="1933" t="s">
        <v>365</v>
      </c>
      <c r="P42" s="1912"/>
      <c r="V42" s="1912"/>
    </row>
    <row r="43" spans="1:26" ht="30">
      <c r="A43" s="3417" t="s">
        <v>2711</v>
      </c>
      <c r="B43" s="3418"/>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158191</v>
      </c>
      <c r="M43" s="1229">
        <f>C18</f>
        <v>0.5</v>
      </c>
      <c r="N43" s="1230">
        <f ca="1">IF(N42="测算结果/万元",G19,G20)</f>
        <v>140753</v>
      </c>
      <c r="O43" s="1231">
        <f ca="1">IF(O42="最终结果/万元",C32,C33)</f>
        <v>140753</v>
      </c>
      <c r="P43" s="1912"/>
      <c r="V43" s="1912"/>
    </row>
    <row r="44" spans="1:26" ht="30.75" thickBot="1">
      <c r="A44" s="3406" t="str">
        <f>IF(OR(项目基本情况!E8="抵押价格",项目基本情况!E8="已注销及未注销"),"3.抵押价格","——")</f>
        <v>3.抵押价格</v>
      </c>
      <c r="B44" s="3407"/>
      <c r="C44" s="262">
        <f ca="1">IF(A44="——","——",C42-C43)</f>
        <v>140753</v>
      </c>
      <c r="D44" s="315">
        <f ca="1">ROUND(C44*10000/'数据-汇总表'!E3,0)</f>
        <v>9527</v>
      </c>
      <c r="E44" s="315">
        <f ca="1">ROUND(C44*10000/'数据-汇总表'!D3,0)</f>
        <v>89526</v>
      </c>
      <c r="F44" s="316">
        <f ca="1">ROUND(C44/('数据-汇总表'!D3/666.67),0)</f>
        <v>5968</v>
      </c>
      <c r="G44" s="309"/>
      <c r="H44" s="309"/>
      <c r="I44" s="317"/>
      <c r="J44" s="1914"/>
      <c r="K44" s="1232" t="str">
        <f>D4</f>
        <v>剩余法-待开发</v>
      </c>
      <c r="L44" s="1233">
        <f ca="1">IF(L42="估价结果/万元",D19,D20)</f>
        <v>123314</v>
      </c>
      <c r="M44" s="1234">
        <f>D18</f>
        <v>0.5</v>
      </c>
      <c r="N44" s="1235"/>
      <c r="O44" s="1236"/>
      <c r="P44" s="1912"/>
      <c r="V44" s="1912"/>
    </row>
    <row r="45" spans="1:26" ht="15">
      <c r="A45" s="3412" t="str">
        <f>IF(项目基本情况!E8="已注销及未注销","4.抵押担保权已注销时的抵押价格",IF(项目基本情况!E8="已注销","3.抵押担保权已注销时的抵押价格","——"))</f>
        <v>——</v>
      </c>
      <c r="B45" s="3413"/>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08" t="str">
        <f>IF(项目基本情况!E9="抵押净值",IF(A45="——","4.抵押净值","5.抵押净值"),"——")</f>
        <v>——</v>
      </c>
      <c r="B46" s="3409"/>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56" t="s">
        <v>374</v>
      </c>
      <c r="B63" s="3457"/>
      <c r="C63" s="3458"/>
      <c r="D63" s="339">
        <f ca="1">ROUND(C42*F63,0)</f>
        <v>140753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14" t="s">
        <v>378</v>
      </c>
      <c r="B64" s="3415"/>
      <c r="C64" s="3415"/>
      <c r="D64" s="3415"/>
      <c r="E64" s="3415"/>
      <c r="F64" s="3415"/>
      <c r="G64" s="3416"/>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10" t="s">
        <v>386</v>
      </c>
      <c r="B66" s="3411"/>
      <c r="C66" s="3411"/>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71" t="s">
        <v>385</v>
      </c>
      <c r="M66" s="3472"/>
      <c r="N66" s="2313"/>
      <c r="O66" s="2314"/>
      <c r="P66" s="2315"/>
      <c r="Q66" s="1912"/>
      <c r="R66" s="1912"/>
      <c r="S66" s="1912"/>
      <c r="T66" s="1912"/>
      <c r="U66" s="1912"/>
      <c r="V66" s="1912"/>
    </row>
    <row r="67" spans="1:22" ht="25.5" customHeight="1">
      <c r="A67" s="350" t="s">
        <v>389</v>
      </c>
      <c r="B67" s="3401" t="s">
        <v>390</v>
      </c>
      <c r="C67" s="3401"/>
      <c r="D67" s="351">
        <v>0</v>
      </c>
      <c r="E67" s="41" t="s">
        <v>391</v>
      </c>
      <c r="F67" s="62" t="s">
        <v>21</v>
      </c>
      <c r="G67" s="3459"/>
      <c r="H67" s="3007" t="s">
        <v>2968</v>
      </c>
      <c r="I67" s="3009"/>
      <c r="J67" s="1919"/>
      <c r="K67" s="1891">
        <v>2</v>
      </c>
      <c r="L67" s="3465" t="s">
        <v>388</v>
      </c>
      <c r="M67" s="3465"/>
      <c r="N67" s="1279">
        <f>'数据-取费表'!B2</f>
        <v>44216</v>
      </c>
      <c r="O67" s="1279"/>
      <c r="P67" s="1279"/>
      <c r="Q67" s="1912"/>
      <c r="R67" s="1912"/>
      <c r="S67" s="1912"/>
      <c r="T67" s="1912"/>
      <c r="U67" s="1912"/>
      <c r="V67" s="1912"/>
    </row>
    <row r="68" spans="1:22" ht="25.5" customHeight="1">
      <c r="A68" s="352"/>
      <c r="B68" s="3401" t="s">
        <v>393</v>
      </c>
      <c r="C68" s="3401"/>
      <c r="D68" s="353"/>
      <c r="E68" s="77"/>
      <c r="F68" s="354"/>
      <c r="G68" s="3460"/>
      <c r="H68" s="3008" t="s">
        <v>2969</v>
      </c>
      <c r="I68" s="3009"/>
      <c r="J68" s="1919"/>
      <c r="K68" s="1891">
        <v>3</v>
      </c>
      <c r="L68" s="3465" t="s">
        <v>392</v>
      </c>
      <c r="M68" s="3465"/>
      <c r="N68" s="1247">
        <f ca="1">C42</f>
        <v>140753</v>
      </c>
      <c r="O68" s="1247"/>
      <c r="P68" s="1247"/>
      <c r="Q68" s="1912"/>
      <c r="R68" s="1912"/>
      <c r="S68" s="1912"/>
      <c r="T68" s="1912"/>
      <c r="U68" s="1912"/>
      <c r="V68" s="1912"/>
    </row>
    <row r="69" spans="1:22" ht="23.45" customHeight="1">
      <c r="A69" s="355"/>
      <c r="B69" s="3401" t="s">
        <v>394</v>
      </c>
      <c r="C69" s="3401"/>
      <c r="D69" s="356"/>
      <c r="E69" s="73"/>
      <c r="F69" s="354"/>
      <c r="G69" s="3461"/>
      <c r="H69" s="3008" t="s">
        <v>2970</v>
      </c>
      <c r="I69" s="3009"/>
      <c r="J69" s="1919"/>
      <c r="K69" s="1248">
        <v>4</v>
      </c>
      <c r="L69" s="3475" t="s">
        <v>2863</v>
      </c>
      <c r="M69" s="3476"/>
      <c r="N69" s="1249">
        <f ca="1">C44</f>
        <v>140753</v>
      </c>
      <c r="O69" s="1249"/>
      <c r="P69" s="1249"/>
      <c r="Q69" s="1912"/>
      <c r="R69" s="1912"/>
      <c r="S69" s="1912"/>
      <c r="T69" s="1912"/>
      <c r="U69" s="1912"/>
      <c r="V69" s="1912"/>
    </row>
    <row r="70" spans="1:22" ht="24" customHeight="1">
      <c r="A70" s="357" t="s">
        <v>395</v>
      </c>
      <c r="B70" s="3401" t="s">
        <v>396</v>
      </c>
      <c r="C70" s="3401"/>
      <c r="D70" s="356">
        <f ca="1">ROUND(D63*'数据-取费表'!B41/(1+'数据-取费表'!C42),0)</f>
        <v>7373</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02" t="s">
        <v>3000</v>
      </c>
      <c r="C71" s="3403"/>
      <c r="D71" s="356">
        <f ca="1">ROUND(D63*'数据-取费表'!B41/(1+'数据-取费表'!C42),0)</f>
        <v>7373</v>
      </c>
      <c r="E71" s="17" t="s">
        <v>397</v>
      </c>
      <c r="F71" s="358">
        <f>'数据-取费表'!B41</f>
        <v>5.5000000000000007E-2</v>
      </c>
      <c r="G71" s="359"/>
      <c r="H71" s="309"/>
      <c r="I71" s="1246"/>
      <c r="J71" s="1919"/>
      <c r="K71" s="2765" t="s">
        <v>398</v>
      </c>
      <c r="L71" s="3477" t="s">
        <v>399</v>
      </c>
      <c r="M71" s="3477"/>
      <c r="N71" s="2765" t="s">
        <v>400</v>
      </c>
      <c r="O71" s="2765" t="s">
        <v>401</v>
      </c>
      <c r="P71" s="2765" t="s">
        <v>402</v>
      </c>
      <c r="Q71" s="1912"/>
      <c r="R71" s="1912"/>
      <c r="S71" s="1912"/>
      <c r="T71" s="1912"/>
      <c r="U71" s="1912"/>
      <c r="V71" s="1912"/>
    </row>
    <row r="72" spans="1:22" ht="12" customHeight="1">
      <c r="A72" s="357" t="s">
        <v>405</v>
      </c>
      <c r="B72" s="3402" t="s">
        <v>3001</v>
      </c>
      <c r="C72" s="3403"/>
      <c r="D72" s="356">
        <f ca="1">C86</f>
        <v>7373</v>
      </c>
      <c r="E72" s="73" t="s">
        <v>406</v>
      </c>
      <c r="F72" s="358">
        <f>'数据-取费表'!B41</f>
        <v>5.5000000000000007E-2</v>
      </c>
      <c r="G72" s="359"/>
      <c r="H72" s="1252"/>
      <c r="I72" s="1246"/>
      <c r="J72" s="1919"/>
      <c r="K72" s="1891">
        <v>1</v>
      </c>
      <c r="L72" s="3452" t="s">
        <v>404</v>
      </c>
      <c r="M72" s="3452"/>
      <c r="N72" s="1250" t="b">
        <f>D66</f>
        <v>0</v>
      </c>
      <c r="O72" s="1774" t="str">
        <f>E66</f>
        <v>销售额×税（费）率</v>
      </c>
      <c r="P72" s="1251">
        <f>F66</f>
        <v>5.5000000000000007E-2</v>
      </c>
      <c r="Q72" s="1912"/>
      <c r="R72" s="1912"/>
      <c r="S72" s="1912"/>
      <c r="T72" s="1912"/>
      <c r="U72" s="1912"/>
      <c r="V72" s="1912"/>
    </row>
    <row r="73" spans="1:22" ht="24" customHeight="1">
      <c r="A73" s="3447" t="s">
        <v>408</v>
      </c>
      <c r="B73" s="3411"/>
      <c r="C73" s="3411"/>
      <c r="D73" s="360">
        <f ca="1">IF(H73="个人住宅",0,ROUND(D63*I73,0))</f>
        <v>70</v>
      </c>
      <c r="E73" s="17" t="s">
        <v>409</v>
      </c>
      <c r="F73" s="358" t="str">
        <f>IF(H73="正常",I73,"免征")</f>
        <v>免征</v>
      </c>
      <c r="G73" s="359"/>
      <c r="H73" s="189"/>
      <c r="I73" s="358">
        <f>'数据-取费表'!B49</f>
        <v>5.0000000000000001E-4</v>
      </c>
      <c r="J73" s="1919"/>
      <c r="K73" s="1891">
        <v>2</v>
      </c>
      <c r="L73" s="3452" t="s">
        <v>407</v>
      </c>
      <c r="M73" s="3452"/>
      <c r="N73" s="1250">
        <f t="shared" ref="N73:P74" ca="1" si="1">D73</f>
        <v>70</v>
      </c>
      <c r="O73" s="1774" t="str">
        <f t="shared" si="1"/>
        <v>销售额×税（费）率</v>
      </c>
      <c r="P73" s="1251" t="str">
        <f t="shared" si="1"/>
        <v>免征</v>
      </c>
      <c r="Q73" s="1912"/>
      <c r="R73" s="1912"/>
      <c r="S73" s="1912"/>
      <c r="T73" s="1912"/>
      <c r="U73" s="1912"/>
      <c r="V73" s="1912"/>
    </row>
    <row r="74" spans="1:22" ht="24.75">
      <c r="A74" s="3447" t="s">
        <v>411</v>
      </c>
      <c r="B74" s="3411"/>
      <c r="C74" s="3411"/>
      <c r="D74" s="360">
        <f ca="1">IF(H74="个人住宅",D75,D76)</f>
        <v>79794</v>
      </c>
      <c r="E74" s="17" t="s">
        <v>412</v>
      </c>
      <c r="F74" s="358" t="str">
        <f>IF(H74="正常",F76,"免征")</f>
        <v>免征</v>
      </c>
      <c r="G74" s="971" t="s">
        <v>413</v>
      </c>
      <c r="H74" s="361"/>
      <c r="I74" s="42"/>
      <c r="J74" s="1919"/>
      <c r="K74" s="1891">
        <v>3</v>
      </c>
      <c r="L74" s="3452" t="s">
        <v>410</v>
      </c>
      <c r="M74" s="3452"/>
      <c r="N74" s="1250">
        <f t="shared" ca="1" si="1"/>
        <v>79794</v>
      </c>
      <c r="O74" s="1774" t="str">
        <f t="shared" si="1"/>
        <v>增值额×税（费）率</v>
      </c>
      <c r="P74" s="1253" t="str">
        <f t="shared" si="1"/>
        <v>免征</v>
      </c>
      <c r="Q74" s="1912"/>
      <c r="R74" s="1912"/>
      <c r="S74" s="1912"/>
      <c r="T74" s="1912"/>
      <c r="U74" s="1912"/>
      <c r="V74" s="1912"/>
    </row>
    <row r="75" spans="1:22" ht="12.75">
      <c r="A75" s="357" t="s">
        <v>414</v>
      </c>
      <c r="B75" s="3399" t="s">
        <v>415</v>
      </c>
      <c r="C75" s="3435"/>
      <c r="D75" s="362">
        <v>0</v>
      </c>
      <c r="E75" s="41" t="s">
        <v>416</v>
      </c>
      <c r="F75" s="363"/>
      <c r="G75" s="359"/>
      <c r="H75" s="42"/>
      <c r="I75" s="42"/>
      <c r="J75" s="1919"/>
      <c r="K75" s="2759">
        <f>IF(H77="非个人房产","",4)</f>
        <v>4</v>
      </c>
      <c r="L75" s="3452" t="str">
        <f>IF(H77="非个人房产","——","个人所得税")</f>
        <v>个人所得税</v>
      </c>
      <c r="M75" s="3452"/>
      <c r="N75" s="1254">
        <f>D77</f>
        <v>0</v>
      </c>
      <c r="O75" s="1787" t="str">
        <f>E77</f>
        <v>差额计税</v>
      </c>
      <c r="P75" s="1255">
        <f>F77</f>
        <v>0.01</v>
      </c>
      <c r="Q75" s="1912"/>
      <c r="R75" s="1912"/>
      <c r="S75" s="1912"/>
      <c r="T75" s="1912"/>
      <c r="U75" s="1912"/>
      <c r="V75" s="1912"/>
    </row>
    <row r="76" spans="1:22" ht="24.75">
      <c r="A76" s="357" t="s">
        <v>395</v>
      </c>
      <c r="B76" s="3399" t="s">
        <v>418</v>
      </c>
      <c r="C76" s="3400"/>
      <c r="D76" s="360">
        <f ca="1">IF(H76="转让取得",C99,C115)</f>
        <v>79794</v>
      </c>
      <c r="E76" s="17" t="s">
        <v>419</v>
      </c>
      <c r="F76" s="53" t="s">
        <v>21</v>
      </c>
      <c r="G76" s="359"/>
      <c r="H76" s="361"/>
      <c r="I76" s="42"/>
      <c r="J76" s="1919"/>
      <c r="K76" s="2759" t="str">
        <f>IF(项目基本情况!K6="上海银行",IF(K75="",4,K75+1),"")</f>
        <v/>
      </c>
      <c r="L76" s="3467" t="str">
        <f>IF(项目基本情况!K6="上海银行","其他处置费用","")</f>
        <v/>
      </c>
      <c r="M76" s="3468"/>
      <c r="N76" s="1250" t="str">
        <f>IF(项目基本情况!K6="上海银行",N89,"")</f>
        <v/>
      </c>
      <c r="O76" s="3469" t="str">
        <f>IF(项目基本情况!K6="上海银行","包含处置中涉及的律师、诉讼、拍卖、评估等费用","")</f>
        <v/>
      </c>
      <c r="P76" s="3470"/>
      <c r="Q76" s="1912"/>
      <c r="R76" s="1912"/>
      <c r="S76" s="1912"/>
      <c r="T76" s="1912"/>
      <c r="U76" s="1912"/>
      <c r="V76" s="1912"/>
    </row>
    <row r="77" spans="1:22" ht="24.75" thickBot="1">
      <c r="A77" s="3454" t="s">
        <v>421</v>
      </c>
      <c r="B77" s="3455"/>
      <c r="C77" s="3455"/>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2971</v>
      </c>
      <c r="J77" s="1919"/>
      <c r="K77" s="3453">
        <f>IF(AND(K75="",K76=""),4,IF(项目基本情况!K6="上海银行",K76+1,K75+1))</f>
        <v>5</v>
      </c>
      <c r="L77" s="3452" t="s">
        <v>2864</v>
      </c>
      <c r="M77" s="2764" t="s">
        <v>417</v>
      </c>
      <c r="N77" s="1256"/>
      <c r="O77" s="1257">
        <f ca="1">SUMIF(N72:N76,"&lt;9e307")</f>
        <v>79864</v>
      </c>
      <c r="P77" s="1258"/>
      <c r="Q77" s="2762">
        <f ca="1">O77/N69</f>
        <v>0.56740531285301199</v>
      </c>
      <c r="R77" s="1912"/>
      <c r="S77" s="1912"/>
      <c r="T77" s="1912"/>
      <c r="U77" s="1912"/>
      <c r="V77" s="1912"/>
    </row>
    <row r="78" spans="1:22" ht="12" customHeight="1">
      <c r="A78" s="1259"/>
      <c r="B78" s="309"/>
      <c r="C78" s="309"/>
      <c r="D78" s="309"/>
      <c r="E78" s="42"/>
      <c r="F78" s="42"/>
      <c r="G78" s="42"/>
      <c r="H78" s="991"/>
      <c r="I78" s="309"/>
      <c r="J78" s="1919"/>
      <c r="K78" s="3453"/>
      <c r="L78" s="3452"/>
      <c r="M78" s="2764" t="s">
        <v>420</v>
      </c>
      <c r="N78" s="1256"/>
      <c r="O78" s="1257" t="str">
        <f ca="1">NUMBERSTRING(INT(O77*10000),2)&amp;"元整"</f>
        <v>柒亿玖仟捌佰陆拾肆万元整</v>
      </c>
      <c r="P78" s="1258"/>
      <c r="Q78" s="1912"/>
      <c r="R78" s="1912"/>
      <c r="S78" s="1912"/>
      <c r="T78" s="1912"/>
      <c r="U78" s="1912"/>
      <c r="V78" s="1912"/>
    </row>
    <row r="79" spans="1:22" ht="13.5" thickBot="1">
      <c r="A79" s="3419" t="s">
        <v>422</v>
      </c>
      <c r="B79" s="3419"/>
      <c r="C79" s="3419"/>
      <c r="D79" s="3419"/>
      <c r="E79" s="3419"/>
      <c r="F79" s="42"/>
      <c r="G79" s="42"/>
      <c r="H79" s="991"/>
      <c r="I79" s="309"/>
      <c r="J79" s="1919"/>
      <c r="K79" s="3473">
        <f>K77+1</f>
        <v>6</v>
      </c>
      <c r="L79" s="3452" t="s">
        <v>2865</v>
      </c>
      <c r="M79" s="2764" t="s">
        <v>417</v>
      </c>
      <c r="N79" s="1256"/>
      <c r="O79" s="1257">
        <f ca="1">N69-O77</f>
        <v>60889</v>
      </c>
      <c r="P79" s="1258"/>
      <c r="Q79" s="1912"/>
      <c r="R79" s="1912"/>
      <c r="S79" s="1912"/>
      <c r="T79" s="1912"/>
      <c r="U79" s="1912"/>
      <c r="V79" s="1912"/>
    </row>
    <row r="80" spans="1:22" ht="25.5">
      <c r="A80" s="3420" t="s">
        <v>423</v>
      </c>
      <c r="B80" s="3421"/>
      <c r="C80" s="982"/>
      <c r="D80" s="982" t="s">
        <v>424</v>
      </c>
      <c r="E80" s="364" t="s">
        <v>425</v>
      </c>
      <c r="F80" s="42"/>
      <c r="G80" s="42"/>
      <c r="H80" s="991"/>
      <c r="I80" s="309"/>
      <c r="J80" s="1912"/>
      <c r="K80" s="3474"/>
      <c r="L80" s="3452"/>
      <c r="M80" s="2764" t="s">
        <v>420</v>
      </c>
      <c r="N80" s="1256"/>
      <c r="O80" s="1257" t="str">
        <f ca="1">NUMBERSTRING(INT(O79*10000),2)&amp;"元整"</f>
        <v>陆亿零捌佰捌拾玖万元整</v>
      </c>
      <c r="P80" s="1258"/>
      <c r="Q80" s="1912"/>
      <c r="R80" s="1912"/>
      <c r="S80" s="1912"/>
      <c r="T80" s="1912"/>
      <c r="U80" s="1912"/>
      <c r="V80" s="1912"/>
    </row>
    <row r="81" spans="1:26" ht="13.5" thickBot="1">
      <c r="A81" s="375" t="s">
        <v>1814</v>
      </c>
      <c r="B81" s="365" t="s">
        <v>426</v>
      </c>
      <c r="C81" s="366">
        <f ca="1">ROUND((C82+C83)/(1+'数据-取费表'!C42),0)</f>
        <v>134050</v>
      </c>
      <c r="D81" s="367"/>
      <c r="E81" s="368"/>
      <c r="F81" s="42"/>
      <c r="G81" s="42"/>
      <c r="H81" s="991"/>
      <c r="I81" s="309"/>
      <c r="J81" s="1912"/>
      <c r="K81" s="2759">
        <f>K79+1</f>
        <v>7</v>
      </c>
      <c r="L81" s="3450" t="s">
        <v>2866</v>
      </c>
      <c r="M81" s="3451"/>
      <c r="N81" s="1260"/>
      <c r="O81" s="1261">
        <f ca="1">ROUND(O79*10000/'数据-汇总表'!E3,0)</f>
        <v>4121</v>
      </c>
      <c r="P81" s="1262"/>
      <c r="Q81" s="1912"/>
      <c r="R81" s="1912"/>
      <c r="S81" s="1912"/>
      <c r="T81" s="1912"/>
      <c r="U81" s="1912"/>
      <c r="V81" s="1912"/>
    </row>
    <row r="82" spans="1:26" ht="13.5" thickTop="1">
      <c r="A82" s="369" t="s">
        <v>1815</v>
      </c>
      <c r="B82" s="370" t="s">
        <v>427</v>
      </c>
      <c r="C82" s="371">
        <f ca="1">D63</f>
        <v>140753</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66" t="s">
        <v>2854</v>
      </c>
      <c r="L83" s="2770" t="s">
        <v>2855</v>
      </c>
      <c r="M83" s="2760">
        <f ca="1">IF(N69&gt;10000,N69*0.5%,IF(AND(N69&gt;1000,N69&lt;=10000),N69*1%,IF(AND(N69&gt;100,N69&lt;=1000),N69*3%,IF(AND(N69&gt;10,N69&lt;=100),N69*5%,N69*8%))))</f>
        <v>703.76499999999999</v>
      </c>
      <c r="N83" s="53">
        <f ca="1">ROUND(M83,1)</f>
        <v>703.8</v>
      </c>
      <c r="O83" s="2763"/>
      <c r="P83" s="1912"/>
      <c r="Q83" s="1912"/>
      <c r="R83" s="1912"/>
      <c r="S83" s="1912"/>
      <c r="T83" s="1912"/>
      <c r="U83" s="1912"/>
      <c r="V83" s="1912"/>
    </row>
    <row r="84" spans="1:26" ht="12.75">
      <c r="A84" s="375" t="s">
        <v>1817</v>
      </c>
      <c r="B84" s="376" t="s">
        <v>429</v>
      </c>
      <c r="C84" s="377"/>
      <c r="D84" s="378" t="s">
        <v>19</v>
      </c>
      <c r="E84" s="2788" t="s">
        <v>2909</v>
      </c>
      <c r="F84" s="42"/>
      <c r="G84" s="42"/>
      <c r="H84" s="991"/>
      <c r="I84" s="309"/>
      <c r="J84" s="1912"/>
      <c r="K84" s="3466"/>
      <c r="L84" s="2770" t="s">
        <v>2856</v>
      </c>
      <c r="M84" s="2760">
        <f ca="1">IF(N69&gt;2000,N69*0.5%,IF(AND(N69&gt;1000,N69&lt;=2000),N69*0.6%,IF(AND(N69&gt;500,N69&lt;=1000),N69*0.7%,IF(AND(N69&gt;200,N69&lt;=500),N69*0.8%,IF(AND(N69&gt;100,N69&lt;=200),N69*0.9%,IF(AND(N69&gt;50,N69&lt;=100),N69*1%,IF(AND(N69&gt;20,N69&lt;=50),N69*1.5%,IF(AND(N69&gt;10,N69&lt;=20),N69*2%,IF(AND(N69&gt;1,N69&lt;=10),N69*2.5%)))))))))</f>
        <v>703.76499999999999</v>
      </c>
      <c r="N84" s="53">
        <f t="shared" ref="N84:N85" ca="1" si="2">ROUND(M84,1)</f>
        <v>703.8</v>
      </c>
      <c r="O84" s="1912" t="s">
        <v>2857</v>
      </c>
      <c r="P84" s="1912"/>
      <c r="Q84" s="1912"/>
      <c r="R84" s="1912"/>
      <c r="S84" s="1912"/>
      <c r="T84" s="1912"/>
      <c r="U84" s="1912"/>
      <c r="V84" s="1912"/>
    </row>
    <row r="85" spans="1:26" ht="12.75">
      <c r="A85" s="375" t="s">
        <v>1818</v>
      </c>
      <c r="B85" s="376" t="s">
        <v>430</v>
      </c>
      <c r="C85" s="379">
        <f ca="1">C81-C84</f>
        <v>134050</v>
      </c>
      <c r="D85" s="372" t="s">
        <v>19</v>
      </c>
      <c r="E85" s="373"/>
      <c r="F85" s="42"/>
      <c r="G85" s="42"/>
      <c r="H85" s="991"/>
      <c r="I85" s="309"/>
      <c r="J85" s="1912"/>
      <c r="K85" s="3466"/>
      <c r="L85" s="2770" t="s">
        <v>2858</v>
      </c>
      <c r="M85" s="2760">
        <f ca="1">IF(N69&gt;1000,N69*0.1%,IF(AND(N69&gt;500,N69&lt;=1000),N69*0.5%,IF(AND(N69&gt;50,N69&lt;=500),N69*1%,IF(AND(N69&gt;1,N69&lt;=50),N69*1.5%))))</f>
        <v>140.75300000000001</v>
      </c>
      <c r="N85" s="53">
        <f t="shared" ca="1" si="2"/>
        <v>140.80000000000001</v>
      </c>
      <c r="O85" s="1912" t="s">
        <v>2857</v>
      </c>
      <c r="P85" s="1912"/>
      <c r="Q85" s="1912"/>
      <c r="R85" s="1912"/>
      <c r="S85" s="1912"/>
      <c r="T85" s="1912"/>
      <c r="U85" s="1912"/>
      <c r="V85" s="1912"/>
    </row>
    <row r="86" spans="1:26" ht="13.5" thickBot="1">
      <c r="A86" s="380" t="s">
        <v>1819</v>
      </c>
      <c r="B86" s="381" t="s">
        <v>431</v>
      </c>
      <c r="C86" s="382">
        <f ca="1">IF(C85&lt;=0,0,ROUND(C85*D86,0))</f>
        <v>7373</v>
      </c>
      <c r="D86" s="383">
        <f>'数据-取费表'!B41</f>
        <v>5.5000000000000007E-2</v>
      </c>
      <c r="E86" s="384"/>
      <c r="F86" s="42"/>
      <c r="G86" s="42"/>
      <c r="H86" s="991"/>
      <c r="I86" s="309"/>
      <c r="J86" s="1912"/>
      <c r="K86" s="3466"/>
      <c r="L86" s="2770" t="s">
        <v>2859</v>
      </c>
      <c r="M86" s="2760">
        <f ca="1">N69*0.5%</f>
        <v>703.76499999999999</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66"/>
      <c r="L87" s="2770" t="s">
        <v>2861</v>
      </c>
      <c r="M87" s="2760">
        <f ca="1">IF(N69&gt;=10000,(8.25+(N69-10000)*0.01%),IF(AND(N69&gt;=8000,N69&lt;10000),(7.85+(N69-8000)*0.02%),IF(AND(N69&gt;=5000,N69&lt;8000),(6.65+(N69-5000)*0.04%),IF(AND(N69&gt;=2000,N69&lt;5000),(4.25+(PN69-2000)*0.08%),IF(AND(N69&gt;=1000,N69&lt;2000),(2.75+(N69-1000)*0.15%),IF(AND(N69&gt;=100,N69&lt;1000),(0.5+(N69-100)*0.25%),IF(AND(N69&gt;0,N69&lt;100),N69*0.5%)))))))</f>
        <v>21.325299999999999</v>
      </c>
      <c r="N87" s="53">
        <f ca="1">ROUND(M87*0.9,1)</f>
        <v>19.2</v>
      </c>
      <c r="O87" s="2763"/>
      <c r="P87" s="1912"/>
      <c r="Q87" s="1912"/>
      <c r="R87" s="1912"/>
      <c r="S87" s="1912"/>
      <c r="T87" s="1912"/>
      <c r="U87" s="1912"/>
      <c r="V87" s="1912"/>
      <c r="W87" s="290"/>
      <c r="X87" s="290"/>
      <c r="Y87" s="290"/>
      <c r="Z87" s="290"/>
    </row>
    <row r="88" spans="1:26" s="1268" customFormat="1" ht="15" thickBot="1">
      <c r="A88" s="3445" t="s">
        <v>432</v>
      </c>
      <c r="B88" s="3446"/>
      <c r="C88" s="3446"/>
      <c r="D88" s="3446"/>
      <c r="E88" s="3446"/>
      <c r="F88" s="3446"/>
      <c r="G88" s="3446"/>
      <c r="H88" s="3446"/>
      <c r="I88" s="1269"/>
      <c r="J88" s="1920"/>
      <c r="K88" s="3466"/>
      <c r="L88" s="2770" t="s">
        <v>2862</v>
      </c>
      <c r="M88" s="2760">
        <f ca="1">IF(N69&gt;10000,N69*0.5%,IF(AND(N69&gt;5000,N69&lt;=10000),N69*1%,IF(AND(N69&gt;1000,N69&lt;=5000),N69*2%,IF(AND(N69&gt;200,N69&lt;=1000),N69*3%,N69*5%))))</f>
        <v>703.76499999999999</v>
      </c>
      <c r="N88" s="53">
        <f ca="1">ROUND(M88,1)</f>
        <v>703.8</v>
      </c>
      <c r="O88" s="2763"/>
      <c r="P88" s="1917"/>
      <c r="Q88" s="1917"/>
      <c r="R88" s="1917"/>
      <c r="S88" s="1917"/>
      <c r="T88" s="1917"/>
      <c r="U88" s="1917"/>
      <c r="V88" s="1917"/>
      <c r="W88" s="1921"/>
      <c r="X88" s="1921"/>
      <c r="Y88" s="1921"/>
      <c r="Z88" s="1921"/>
    </row>
    <row r="89" spans="1:26" s="1268" customFormat="1" ht="14.25">
      <c r="A89" s="3420" t="s">
        <v>423</v>
      </c>
      <c r="B89" s="3421"/>
      <c r="C89" s="982"/>
      <c r="D89" s="982" t="s">
        <v>424</v>
      </c>
      <c r="E89" s="385" t="s">
        <v>433</v>
      </c>
      <c r="F89" s="386"/>
      <c r="G89" s="386"/>
      <c r="H89" s="387"/>
      <c r="I89" s="1270"/>
      <c r="J89" s="1922"/>
      <c r="K89" s="3466"/>
      <c r="L89" s="2770" t="s">
        <v>27</v>
      </c>
      <c r="M89" s="2761"/>
      <c r="N89" s="53">
        <f ca="1">ROUND(SUM(N83:N88),0)</f>
        <v>2272</v>
      </c>
      <c r="O89" s="2771">
        <f ca="1">N89/N69</f>
        <v>1.6141751863192968E-2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134050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670</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02" t="s">
        <v>441</v>
      </c>
      <c r="F94" s="3401"/>
      <c r="G94" s="3401"/>
      <c r="H94" s="3444"/>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670</v>
      </c>
      <c r="D96" s="400">
        <f>'数据-取费表'!B43</f>
        <v>5.000000000000001E-3</v>
      </c>
      <c r="E96" s="3436" t="s">
        <v>2413</v>
      </c>
      <c r="F96" s="3437"/>
      <c r="G96" s="3437"/>
      <c r="H96" s="3438"/>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133380</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199.07462686567163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79794</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5" t="s">
        <v>448</v>
      </c>
      <c r="B101" s="3446"/>
      <c r="C101" s="3446"/>
      <c r="D101" s="3446"/>
      <c r="E101" s="3446"/>
      <c r="F101" s="3446"/>
      <c r="G101" s="3446"/>
      <c r="H101" s="3446"/>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0" t="s">
        <v>423</v>
      </c>
      <c r="B102" s="3421"/>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134050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670</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5" t="s">
        <v>2993</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96" t="s">
        <v>2963</v>
      </c>
      <c r="H108" s="3397"/>
      <c r="I108" s="2860"/>
      <c r="J108" s="1917"/>
      <c r="K108" s="3245" t="s">
        <v>2994</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9" t="s">
        <v>456</v>
      </c>
      <c r="F109" s="3437"/>
      <c r="G109" s="3437"/>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6">
        <v>0</v>
      </c>
      <c r="E110" s="3439" t="s">
        <v>458</v>
      </c>
      <c r="F110" s="3437"/>
      <c r="G110" s="3437"/>
      <c r="H110" s="3438"/>
      <c r="I110" s="11"/>
      <c r="J110" s="1917"/>
      <c r="K110" s="3246" t="s">
        <v>2995</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670</v>
      </c>
      <c r="D111" s="400">
        <f>'数据-取费表'!B43</f>
        <v>5.000000000000001E-3</v>
      </c>
      <c r="E111" s="3436" t="s">
        <v>2413</v>
      </c>
      <c r="F111" s="3437"/>
      <c r="G111" s="3437"/>
      <c r="H111" s="3438"/>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9" t="s">
        <v>2436</v>
      </c>
      <c r="F112" s="3437"/>
      <c r="G112" s="3437"/>
      <c r="H112" s="3438"/>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133380</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199.07462686567163</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79794</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B30" zoomScale="80" zoomScaleNormal="95" zoomScaleSheetLayoutView="80" workbookViewId="0">
      <selection activeCell="M47" sqref="M47"/>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158191</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1675</v>
      </c>
      <c r="B3" s="504">
        <f>ROUND(B2*10000/'数据-汇总表'!E3,0)</f>
        <v>10707</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100618</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6708</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87" t="s">
        <v>516</v>
      </c>
      <c r="D6" s="3488"/>
      <c r="E6" s="3487" t="s">
        <v>517</v>
      </c>
      <c r="F6" s="3488"/>
      <c r="G6" s="3487" t="s">
        <v>518</v>
      </c>
      <c r="H6" s="3488"/>
      <c r="I6" s="3487" t="s">
        <v>519</v>
      </c>
      <c r="J6" s="3488"/>
      <c r="K6" s="508" t="s">
        <v>520</v>
      </c>
      <c r="L6" s="2016"/>
      <c r="M6" s="2015"/>
      <c r="N6" s="2015"/>
      <c r="O6" s="2017"/>
      <c r="P6" s="3489" t="s">
        <v>521</v>
      </c>
      <c r="Q6" s="3490"/>
      <c r="R6" s="3495" t="s">
        <v>517</v>
      </c>
      <c r="S6" s="3496"/>
      <c r="T6" s="3495" t="s">
        <v>518</v>
      </c>
      <c r="U6" s="3496"/>
      <c r="V6" s="3482" t="s">
        <v>519</v>
      </c>
      <c r="W6" s="3482"/>
      <c r="X6" s="1502"/>
      <c r="Y6" s="3495" t="s">
        <v>521</v>
      </c>
      <c r="Z6" s="3496"/>
      <c r="AA6" s="3484" t="s">
        <v>517</v>
      </c>
      <c r="AB6" s="3485" t="s">
        <v>518</v>
      </c>
      <c r="AC6" s="3484" t="s">
        <v>519</v>
      </c>
    </row>
    <row r="7" spans="1:30" ht="20.25">
      <c r="A7" s="509"/>
      <c r="B7" s="510"/>
      <c r="C7" s="3503" t="s">
        <v>2898</v>
      </c>
      <c r="D7" s="3504"/>
      <c r="E7" s="3507" t="s">
        <v>3082</v>
      </c>
      <c r="F7" s="3504"/>
      <c r="G7" s="3503" t="str">
        <f>Sheet3!A6</f>
        <v>朝阳区金盏乡楼梓庄村1113-603地块</v>
      </c>
      <c r="H7" s="3504"/>
      <c r="I7" s="3503" t="str">
        <f>Sheet3!A7</f>
        <v>朝阳区金盏乡楼梓庄村1113-604地块</v>
      </c>
      <c r="J7" s="3504"/>
      <c r="K7" s="508"/>
      <c r="L7" s="2016"/>
      <c r="M7" s="2015"/>
      <c r="N7" s="2015"/>
      <c r="O7" s="2017"/>
      <c r="P7" s="3491"/>
      <c r="Q7" s="3492"/>
      <c r="R7" s="3497"/>
      <c r="S7" s="3498"/>
      <c r="T7" s="3497"/>
      <c r="U7" s="3498"/>
      <c r="V7" s="3482"/>
      <c r="W7" s="3482"/>
      <c r="X7" s="1502"/>
      <c r="Y7" s="3497"/>
      <c r="Z7" s="3498"/>
      <c r="AA7" s="3485"/>
      <c r="AB7" s="3485"/>
      <c r="AC7" s="3485"/>
    </row>
    <row r="8" spans="1:30" ht="21" thickBot="1">
      <c r="A8" s="509"/>
      <c r="B8" s="510"/>
      <c r="C8" s="3505" t="s">
        <v>2902</v>
      </c>
      <c r="D8" s="3506"/>
      <c r="E8" s="3505" t="s">
        <v>2902</v>
      </c>
      <c r="F8" s="3506"/>
      <c r="G8" s="3501" t="s">
        <v>2902</v>
      </c>
      <c r="H8" s="3502"/>
      <c r="I8" s="3501" t="s">
        <v>2902</v>
      </c>
      <c r="J8" s="3502"/>
      <c r="K8" s="508" t="s">
        <v>522</v>
      </c>
      <c r="L8" s="2016"/>
      <c r="M8" s="2015"/>
      <c r="N8" s="2015"/>
      <c r="O8" s="2017"/>
      <c r="P8" s="3493"/>
      <c r="Q8" s="3494"/>
      <c r="R8" s="3497"/>
      <c r="S8" s="3498"/>
      <c r="T8" s="3499"/>
      <c r="U8" s="3500"/>
      <c r="V8" s="3482"/>
      <c r="W8" s="3482"/>
      <c r="X8" s="1502"/>
      <c r="Y8" s="3499"/>
      <c r="Z8" s="3500"/>
      <c r="AA8" s="3486"/>
      <c r="AB8" s="3486"/>
      <c r="AC8" s="3486"/>
    </row>
    <row r="9" spans="1:30" s="1203" customFormat="1" ht="21" thickBot="1">
      <c r="A9" s="2630"/>
      <c r="B9" s="2637" t="s">
        <v>523</v>
      </c>
      <c r="C9" s="2629">
        <f>'数据-取费表'!B2</f>
        <v>44216</v>
      </c>
      <c r="D9" s="514">
        <v>100</v>
      </c>
      <c r="E9" s="515">
        <v>43755</v>
      </c>
      <c r="F9" s="516">
        <f>SUMIF(72:72,YEAR(E9)&amp;"-"&amp;INT((MONTH(E9)+2)/3),73:73)</f>
        <v>99.5</v>
      </c>
      <c r="G9" s="517" t="str">
        <f>Sheet3!G6</f>
        <v>2017-03-30</v>
      </c>
      <c r="H9" s="514">
        <f>SUMIF(72:72,YEAR(G9)&amp;"-"&amp;INT((MONTH(G9)+2)/3),73:73)</f>
        <v>94</v>
      </c>
      <c r="I9" s="517" t="str">
        <f>Sheet3!G7</f>
        <v>2017-03-30</v>
      </c>
      <c r="J9" s="514">
        <f>SUMIF(72:72,YEAR(I9)&amp;"-"&amp;INT((MONTH(I9)+2)/3),73:73)</f>
        <v>94</v>
      </c>
      <c r="K9" s="518"/>
      <c r="L9" s="2018"/>
      <c r="M9" s="2015"/>
      <c r="N9" s="2015"/>
      <c r="O9" s="2019"/>
      <c r="P9" s="3513" t="s">
        <v>524</v>
      </c>
      <c r="Q9" s="3515"/>
      <c r="R9" s="1503" t="s">
        <v>8</v>
      </c>
      <c r="S9" s="1504">
        <f t="shared" ref="S9:S17" si="0">F9</f>
        <v>99.5</v>
      </c>
      <c r="T9" s="1503" t="s">
        <v>8</v>
      </c>
      <c r="U9" s="1504">
        <f t="shared" ref="U9:U17" si="1">H9</f>
        <v>94</v>
      </c>
      <c r="V9" s="1503" t="s">
        <v>8</v>
      </c>
      <c r="W9" s="1504">
        <f t="shared" ref="W9:W17" si="2">J9</f>
        <v>94</v>
      </c>
      <c r="X9" s="1505"/>
      <c r="Y9" s="3513" t="s">
        <v>524</v>
      </c>
      <c r="Z9" s="3514"/>
      <c r="AA9" s="1506">
        <f>D9/F9</f>
        <v>1.0050251256281406</v>
      </c>
      <c r="AB9" s="1506">
        <f>D9/H9</f>
        <v>1.0638297872340425</v>
      </c>
      <c r="AC9" s="1506">
        <f>D9/J9</f>
        <v>1.0638297872340425</v>
      </c>
    </row>
    <row r="10" spans="1:30" s="1203" customFormat="1" ht="21" thickBot="1">
      <c r="A10" s="2631"/>
      <c r="B10" s="2638" t="s">
        <v>525</v>
      </c>
      <c r="C10" s="845" t="s">
        <v>526</v>
      </c>
      <c r="D10" s="514">
        <v>100</v>
      </c>
      <c r="E10" s="3288" t="s">
        <v>3084</v>
      </c>
      <c r="F10" s="516">
        <f>SUMIF(75:75,E10,76:76)-SUMIF(75:75,C10,76:76)+100</f>
        <v>100</v>
      </c>
      <c r="G10" s="519" t="s">
        <v>3083</v>
      </c>
      <c r="H10" s="514">
        <f>SUMIF(75:75,G10,76:76)-SUMIF(75:75,C10,76:76)+100</f>
        <v>100</v>
      </c>
      <c r="I10" s="519" t="s">
        <v>3083</v>
      </c>
      <c r="J10" s="514">
        <f>SUMIF(75:75,I10,76:76)-SUMIF(75:75,C10,76:76)+100</f>
        <v>100</v>
      </c>
      <c r="K10" s="518"/>
      <c r="L10" s="2018"/>
      <c r="M10" s="2015"/>
      <c r="N10" s="2015"/>
      <c r="O10" s="2019"/>
      <c r="P10" s="3513" t="s">
        <v>527</v>
      </c>
      <c r="Q10" s="3514"/>
      <c r="R10" s="1503" t="s">
        <v>8</v>
      </c>
      <c r="S10" s="1504">
        <f t="shared" si="0"/>
        <v>100</v>
      </c>
      <c r="T10" s="1503" t="s">
        <v>8</v>
      </c>
      <c r="U10" s="1504">
        <f t="shared" si="1"/>
        <v>100</v>
      </c>
      <c r="V10" s="1503" t="s">
        <v>8</v>
      </c>
      <c r="W10" s="1504">
        <f t="shared" si="2"/>
        <v>100</v>
      </c>
      <c r="X10" s="1505"/>
      <c r="Y10" s="3513" t="s">
        <v>527</v>
      </c>
      <c r="Z10" s="3514"/>
      <c r="AA10" s="1506">
        <f t="shared" ref="AA10:AA47" si="3">D10/F10</f>
        <v>1</v>
      </c>
      <c r="AB10" s="1506">
        <f t="shared" ref="AB10:AB47" si="4">D10/H10</f>
        <v>1</v>
      </c>
      <c r="AC10" s="1506">
        <f t="shared" ref="AC10:AC47" si="5">D10/J10</f>
        <v>1</v>
      </c>
    </row>
    <row r="11" spans="1:30" s="1203" customFormat="1" ht="20.25">
      <c r="A11" s="2632"/>
      <c r="B11" s="2639" t="s">
        <v>2737</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81"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30" s="1292" customFormat="1" ht="27">
      <c r="A12" s="2633"/>
      <c r="B12" s="2638" t="s">
        <v>2738</v>
      </c>
      <c r="C12" s="899"/>
      <c r="D12" s="253">
        <v>100</v>
      </c>
      <c r="E12" s="523"/>
      <c r="F12" s="253">
        <f>ROUND(100/'数据-取费表'!G16,0)</f>
        <v>106</v>
      </c>
      <c r="G12" s="524"/>
      <c r="H12" s="253">
        <f>ROUND(100/'数据-取费表'!G16,0)</f>
        <v>106</v>
      </c>
      <c r="I12" s="524"/>
      <c r="J12" s="253">
        <f>ROUND(100/'数据-取费表'!G16,0)</f>
        <v>106</v>
      </c>
      <c r="K12" s="525"/>
      <c r="L12" s="2021"/>
      <c r="M12" s="2015"/>
      <c r="N12" s="2015"/>
      <c r="O12" s="2022"/>
      <c r="P12" s="3481"/>
      <c r="Q12" s="1134" t="str">
        <f t="shared" si="6"/>
        <v>土地使用年限（年）</v>
      </c>
      <c r="R12" s="1503" t="s">
        <v>8</v>
      </c>
      <c r="S12" s="1504">
        <f t="shared" si="0"/>
        <v>106</v>
      </c>
      <c r="T12" s="1503" t="s">
        <v>8</v>
      </c>
      <c r="U12" s="1504">
        <f t="shared" si="1"/>
        <v>106</v>
      </c>
      <c r="V12" s="1503" t="s">
        <v>8</v>
      </c>
      <c r="W12" s="1504">
        <f t="shared" si="2"/>
        <v>106</v>
      </c>
      <c r="X12" s="1505"/>
      <c r="Y12" s="3427"/>
      <c r="Z12" s="1133" t="str">
        <f t="shared" si="7"/>
        <v>土地使用年限（年）</v>
      </c>
      <c r="AA12" s="1506">
        <f t="shared" si="3"/>
        <v>0.94339622641509435</v>
      </c>
      <c r="AB12" s="1506">
        <f t="shared" si="4"/>
        <v>0.94339622641509435</v>
      </c>
      <c r="AC12" s="1506">
        <f t="shared" si="5"/>
        <v>0.94339622641509435</v>
      </c>
    </row>
    <row r="13" spans="1:30" ht="20.25">
      <c r="A13" s="2634"/>
      <c r="B13" s="2638" t="s">
        <v>2739</v>
      </c>
      <c r="C13" s="528">
        <f>'数据-汇总表'!I6</f>
        <v>6.32</v>
      </c>
      <c r="D13" s="253">
        <v>100</v>
      </c>
      <c r="E13" s="527">
        <v>2.5</v>
      </c>
      <c r="F13" s="253">
        <f>LOOKUP(E13,82:82,83:83)-LOOKUP(C13,82:82,83:83)+100</f>
        <v>120</v>
      </c>
      <c r="G13" s="528">
        <v>2</v>
      </c>
      <c r="H13" s="253">
        <f>LOOKUP(G13,82:82,83:83)-LOOKUP(C13,82:82,83:83)+100</f>
        <v>120</v>
      </c>
      <c r="I13" s="527">
        <v>2</v>
      </c>
      <c r="J13" s="253">
        <f>LOOKUP(I13,82:82,83:83)-LOOKUP(C13,82:82,83:83)+100</f>
        <v>120</v>
      </c>
      <c r="K13" s="529">
        <v>10</v>
      </c>
      <c r="L13" s="2023"/>
      <c r="M13" s="2015"/>
      <c r="N13" s="2015"/>
      <c r="O13" s="2024"/>
      <c r="P13" s="3481"/>
      <c r="Q13" s="1134" t="str">
        <f t="shared" si="6"/>
        <v>容积率</v>
      </c>
      <c r="R13" s="1503" t="s">
        <v>8</v>
      </c>
      <c r="S13" s="1504">
        <f t="shared" si="0"/>
        <v>120</v>
      </c>
      <c r="T13" s="1503" t="s">
        <v>8</v>
      </c>
      <c r="U13" s="1504">
        <f t="shared" si="1"/>
        <v>120</v>
      </c>
      <c r="V13" s="1503" t="s">
        <v>8</v>
      </c>
      <c r="W13" s="1504">
        <f t="shared" si="2"/>
        <v>120</v>
      </c>
      <c r="X13" s="1505"/>
      <c r="Y13" s="3427"/>
      <c r="Z13" s="1133" t="str">
        <f t="shared" si="7"/>
        <v>容积率</v>
      </c>
      <c r="AA13" s="1506">
        <f t="shared" si="3"/>
        <v>0.83333333333333337</v>
      </c>
      <c r="AB13" s="1506">
        <f t="shared" si="4"/>
        <v>0.83333333333333337</v>
      </c>
      <c r="AC13" s="1506">
        <f t="shared" si="5"/>
        <v>0.83333333333333337</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81"/>
      <c r="Q14" s="1134" t="str">
        <f t="shared" si="6"/>
        <v>配建</v>
      </c>
      <c r="R14" s="1503" t="s">
        <v>8</v>
      </c>
      <c r="S14" s="1504">
        <f t="shared" si="0"/>
        <v>100</v>
      </c>
      <c r="T14" s="1503" t="s">
        <v>8</v>
      </c>
      <c r="U14" s="1504">
        <f t="shared" si="1"/>
        <v>100</v>
      </c>
      <c r="V14" s="1503" t="s">
        <v>8</v>
      </c>
      <c r="W14" s="1504">
        <f t="shared" si="2"/>
        <v>100</v>
      </c>
      <c r="X14" s="1505"/>
      <c r="Y14" s="3427"/>
      <c r="Z14" s="1133" t="str">
        <f t="shared" si="7"/>
        <v>配建</v>
      </c>
      <c r="AA14" s="1506">
        <f>D14/F14</f>
        <v>1</v>
      </c>
      <c r="AB14" s="1506">
        <f>D14/H14</f>
        <v>1</v>
      </c>
      <c r="AC14" s="1506">
        <f>D14/J14</f>
        <v>1</v>
      </c>
    </row>
    <row r="15" spans="1:30" ht="20.25">
      <c r="A15" s="2635"/>
      <c r="B15" s="3301" t="s">
        <v>3097</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81"/>
      <c r="Q15" s="1134" t="str">
        <f t="shared" si="6"/>
        <v>自持</v>
      </c>
      <c r="R15" s="1503" t="s">
        <v>8</v>
      </c>
      <c r="S15" s="1504">
        <f t="shared" si="0"/>
        <v>100</v>
      </c>
      <c r="T15" s="1503" t="s">
        <v>8</v>
      </c>
      <c r="U15" s="1504">
        <f t="shared" si="1"/>
        <v>100</v>
      </c>
      <c r="V15" s="1503" t="s">
        <v>8</v>
      </c>
      <c r="W15" s="1504">
        <f t="shared" si="2"/>
        <v>100</v>
      </c>
      <c r="X15" s="1505"/>
      <c r="Y15" s="3427"/>
      <c r="Z15" s="1133" t="str">
        <f t="shared" si="7"/>
        <v>自持</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81"/>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D16/F16</f>
        <v>1</v>
      </c>
      <c r="AB16" s="1506">
        <f>D16/H16</f>
        <v>1</v>
      </c>
      <c r="AC16" s="1506">
        <f>D16/J16</f>
        <v>1</v>
      </c>
    </row>
    <row r="17" spans="1:29" ht="99.75">
      <c r="A17" s="2628"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v>2</v>
      </c>
      <c r="L17" s="2025"/>
      <c r="M17" s="2015"/>
      <c r="N17" s="2015"/>
      <c r="O17" s="2024"/>
      <c r="P17" s="3516" t="s">
        <v>534</v>
      </c>
      <c r="Q17" s="1507" t="str">
        <f t="shared" si="6"/>
        <v>居住社区成熟度</v>
      </c>
      <c r="R17" s="1508" t="s">
        <v>8</v>
      </c>
      <c r="S17" s="1509">
        <f t="shared" si="0"/>
        <v>100</v>
      </c>
      <c r="T17" s="1508" t="s">
        <v>8</v>
      </c>
      <c r="U17" s="1509">
        <f t="shared" si="1"/>
        <v>100</v>
      </c>
      <c r="V17" s="1508" t="s">
        <v>8</v>
      </c>
      <c r="W17" s="1509">
        <f t="shared" si="2"/>
        <v>100</v>
      </c>
      <c r="X17" s="1502"/>
      <c r="Y17" s="3516"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17"/>
      <c r="Q18" s="1507"/>
      <c r="R18" s="1508"/>
      <c r="S18" s="1509"/>
      <c r="T18" s="1508"/>
      <c r="U18" s="1509"/>
      <c r="V18" s="1508"/>
      <c r="W18" s="1509"/>
      <c r="X18" s="1502"/>
      <c r="Y18" s="351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v>2</v>
      </c>
      <c r="L19" s="2025"/>
      <c r="M19" s="2015"/>
      <c r="N19" s="2015"/>
      <c r="O19" s="2024"/>
      <c r="P19" s="3517"/>
      <c r="Q19" s="1507" t="str">
        <f>B19</f>
        <v>商业繁华度</v>
      </c>
      <c r="R19" s="1508" t="s">
        <v>8</v>
      </c>
      <c r="S19" s="1509">
        <f>F19</f>
        <v>100</v>
      </c>
      <c r="T19" s="1508" t="s">
        <v>8</v>
      </c>
      <c r="U19" s="1509">
        <f>H19</f>
        <v>100</v>
      </c>
      <c r="V19" s="1508" t="s">
        <v>8</v>
      </c>
      <c r="W19" s="1509">
        <f>J19</f>
        <v>100</v>
      </c>
      <c r="X19" s="1502"/>
      <c r="Y19" s="3517"/>
      <c r="Z19" s="1510" t="str">
        <f>Q19</f>
        <v>商业繁华度</v>
      </c>
      <c r="AA19" s="1511">
        <f t="shared" si="3"/>
        <v>1</v>
      </c>
      <c r="AB19" s="1511">
        <f t="shared" si="4"/>
        <v>1</v>
      </c>
      <c r="AC19" s="1511">
        <f t="shared" si="5"/>
        <v>1</v>
      </c>
    </row>
    <row r="20" spans="1:29" ht="20.25">
      <c r="A20" s="526"/>
      <c r="B20" s="560"/>
      <c r="C20" s="3289" t="s">
        <v>3085</v>
      </c>
      <c r="D20" s="557"/>
      <c r="E20" s="3290" t="s">
        <v>3085</v>
      </c>
      <c r="F20" s="553"/>
      <c r="G20" s="3291" t="s">
        <v>3085</v>
      </c>
      <c r="H20" s="549"/>
      <c r="I20" s="3290" t="s">
        <v>3085</v>
      </c>
      <c r="J20" s="549"/>
      <c r="K20" s="525"/>
      <c r="L20" s="2025"/>
      <c r="M20" s="2015"/>
      <c r="N20" s="2015"/>
      <c r="O20" s="2024"/>
      <c r="P20" s="3517"/>
      <c r="Q20" s="1507"/>
      <c r="R20" s="1508"/>
      <c r="S20" s="1509"/>
      <c r="T20" s="1508"/>
      <c r="U20" s="1509"/>
      <c r="V20" s="1508"/>
      <c r="W20" s="1509"/>
      <c r="X20" s="1502"/>
      <c r="Y20" s="3517"/>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v>2</v>
      </c>
      <c r="L21" s="2025"/>
      <c r="M21" s="2015"/>
      <c r="N21" s="2015"/>
      <c r="O21" s="2024"/>
      <c r="P21" s="3517"/>
      <c r="Q21" s="1507" t="str">
        <f>B21</f>
        <v>办公集聚程度</v>
      </c>
      <c r="R21" s="1508" t="s">
        <v>8</v>
      </c>
      <c r="S21" s="1509">
        <f>F21</f>
        <v>100</v>
      </c>
      <c r="T21" s="1508" t="s">
        <v>8</v>
      </c>
      <c r="U21" s="1509">
        <f>H21</f>
        <v>100</v>
      </c>
      <c r="V21" s="1508" t="s">
        <v>8</v>
      </c>
      <c r="W21" s="1509">
        <f>J21</f>
        <v>100</v>
      </c>
      <c r="X21" s="1502"/>
      <c r="Y21" s="3517"/>
      <c r="Z21" s="1510" t="str">
        <f>Q21</f>
        <v>办公集聚程度</v>
      </c>
      <c r="AA21" s="1511">
        <f t="shared" si="3"/>
        <v>1</v>
      </c>
      <c r="AB21" s="1511">
        <f t="shared" si="4"/>
        <v>1</v>
      </c>
      <c r="AC21" s="1511">
        <f t="shared" si="5"/>
        <v>1</v>
      </c>
    </row>
    <row r="22" spans="1:29" ht="20.25">
      <c r="A22" s="526"/>
      <c r="B22" s="560"/>
      <c r="C22" s="3292" t="s">
        <v>3085</v>
      </c>
      <c r="D22" s="551"/>
      <c r="E22" s="3293" t="s">
        <v>3085</v>
      </c>
      <c r="F22" s="549"/>
      <c r="G22" s="3294" t="s">
        <v>3085</v>
      </c>
      <c r="H22" s="549"/>
      <c r="I22" s="3293" t="s">
        <v>3085</v>
      </c>
      <c r="J22" s="549"/>
      <c r="K22" s="525"/>
      <c r="L22" s="2025"/>
      <c r="M22" s="2015"/>
      <c r="N22" s="2015"/>
      <c r="O22" s="2024"/>
      <c r="P22" s="3517"/>
      <c r="Q22" s="1507"/>
      <c r="R22" s="1508"/>
      <c r="S22" s="1509"/>
      <c r="T22" s="1508"/>
      <c r="U22" s="1509"/>
      <c r="V22" s="1508"/>
      <c r="W22" s="1509"/>
      <c r="X22" s="1502"/>
      <c r="Y22" s="351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98</v>
      </c>
      <c r="I23" s="558"/>
      <c r="J23" s="553">
        <f>SUMIF(96:96,I24,97:97)-SUMIF(96:96,C24,97:97)+100</f>
        <v>98</v>
      </c>
      <c r="K23" s="529">
        <v>2</v>
      </c>
      <c r="L23" s="2025"/>
      <c r="M23" s="2015"/>
      <c r="N23" s="2015"/>
      <c r="O23" s="2024"/>
      <c r="P23" s="3517"/>
      <c r="Q23" s="1507" t="str">
        <f>B23</f>
        <v>交通便捷度</v>
      </c>
      <c r="R23" s="1508" t="s">
        <v>8</v>
      </c>
      <c r="S23" s="1509">
        <f>F23</f>
        <v>100</v>
      </c>
      <c r="T23" s="1508" t="s">
        <v>8</v>
      </c>
      <c r="U23" s="1509">
        <f>H23</f>
        <v>98</v>
      </c>
      <c r="V23" s="1508" t="s">
        <v>8</v>
      </c>
      <c r="W23" s="1509">
        <f>J23</f>
        <v>98</v>
      </c>
      <c r="X23" s="1502"/>
      <c r="Y23" s="3517"/>
      <c r="Z23" s="1510" t="str">
        <f>Q23</f>
        <v>交通便捷度</v>
      </c>
      <c r="AA23" s="1511">
        <f t="shared" si="3"/>
        <v>1</v>
      </c>
      <c r="AB23" s="1511">
        <f t="shared" si="4"/>
        <v>1.0204081632653061</v>
      </c>
      <c r="AC23" s="1511">
        <f t="shared" si="5"/>
        <v>1.0204081632653061</v>
      </c>
    </row>
    <row r="24" spans="1:29" ht="20.25">
      <c r="A24" s="526"/>
      <c r="B24" s="572"/>
      <c r="C24" s="3292" t="s">
        <v>3086</v>
      </c>
      <c r="D24" s="551"/>
      <c r="E24" s="3293" t="s">
        <v>3086</v>
      </c>
      <c r="F24" s="549"/>
      <c r="G24" s="3294" t="s">
        <v>3085</v>
      </c>
      <c r="H24" s="549"/>
      <c r="I24" s="3293" t="s">
        <v>3085</v>
      </c>
      <c r="J24" s="549"/>
      <c r="K24" s="525"/>
      <c r="L24" s="2025"/>
      <c r="M24" s="2015"/>
      <c r="N24" s="2015"/>
      <c r="O24" s="2024"/>
      <c r="P24" s="3517"/>
      <c r="Q24" s="1507"/>
      <c r="R24" s="1508"/>
      <c r="S24" s="1509"/>
      <c r="T24" s="1508"/>
      <c r="U24" s="1509"/>
      <c r="V24" s="1508"/>
      <c r="W24" s="1509"/>
      <c r="X24" s="1502"/>
      <c r="Y24" s="351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5"/>
      <c r="M25" s="2015"/>
      <c r="N25" s="2015"/>
      <c r="O25" s="2024"/>
      <c r="P25" s="3517"/>
      <c r="Q25" s="1507" t="str">
        <f t="shared" ref="Q25:Q39" si="8">B25</f>
        <v>区域土地利用方向</v>
      </c>
      <c r="R25" s="1508" t="s">
        <v>8</v>
      </c>
      <c r="S25" s="1509">
        <f>F25</f>
        <v>100</v>
      </c>
      <c r="T25" s="1508" t="s">
        <v>8</v>
      </c>
      <c r="U25" s="1509">
        <f>H25</f>
        <v>100</v>
      </c>
      <c r="V25" s="1508" t="s">
        <v>8</v>
      </c>
      <c r="W25" s="1509">
        <f>J25</f>
        <v>100</v>
      </c>
      <c r="X25" s="1502"/>
      <c r="Y25" s="3517"/>
      <c r="Z25" s="1510" t="str">
        <f>Q25</f>
        <v>区域土地利用方向</v>
      </c>
      <c r="AA25" s="1511">
        <f t="shared" si="3"/>
        <v>1</v>
      </c>
      <c r="AB25" s="1511">
        <f t="shared" si="4"/>
        <v>1</v>
      </c>
      <c r="AC25" s="1511">
        <f t="shared" si="5"/>
        <v>1</v>
      </c>
    </row>
    <row r="26" spans="1:29" ht="20.25">
      <c r="A26" s="509"/>
      <c r="B26" s="994"/>
      <c r="C26" s="3292" t="s">
        <v>3086</v>
      </c>
      <c r="D26" s="551"/>
      <c r="E26" s="3293" t="s">
        <v>3086</v>
      </c>
      <c r="F26" s="549"/>
      <c r="G26" s="3294" t="s">
        <v>3086</v>
      </c>
      <c r="H26" s="549"/>
      <c r="I26" s="3293" t="s">
        <v>3086</v>
      </c>
      <c r="J26" s="549"/>
      <c r="K26" s="525"/>
      <c r="L26" s="2025"/>
      <c r="M26" s="2015"/>
      <c r="N26" s="2015"/>
      <c r="O26" s="2024"/>
      <c r="P26" s="3517"/>
      <c r="Q26" s="1507"/>
      <c r="R26" s="1508"/>
      <c r="S26" s="1509"/>
      <c r="T26" s="1508"/>
      <c r="U26" s="1509"/>
      <c r="V26" s="1508"/>
      <c r="W26" s="1509"/>
      <c r="X26" s="1502"/>
      <c r="Y26" s="351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17"/>
      <c r="Q27" s="1507" t="str">
        <f t="shared" si="8"/>
        <v>自然及人文环境状况</v>
      </c>
      <c r="R27" s="1508" t="s">
        <v>8</v>
      </c>
      <c r="S27" s="1509">
        <f>F27</f>
        <v>100</v>
      </c>
      <c r="T27" s="1508" t="s">
        <v>8</v>
      </c>
      <c r="U27" s="1509">
        <f>H27</f>
        <v>100</v>
      </c>
      <c r="V27" s="1508" t="s">
        <v>8</v>
      </c>
      <c r="W27" s="1509">
        <f>J27</f>
        <v>100</v>
      </c>
      <c r="X27" s="1502"/>
      <c r="Y27" s="3517"/>
      <c r="Z27" s="1510" t="str">
        <f>Q27</f>
        <v>自然及人文环境状况</v>
      </c>
      <c r="AA27" s="1511">
        <f t="shared" si="3"/>
        <v>1</v>
      </c>
      <c r="AB27" s="1511">
        <f t="shared" si="4"/>
        <v>1</v>
      </c>
      <c r="AC27" s="1511">
        <f t="shared" si="5"/>
        <v>1</v>
      </c>
    </row>
    <row r="28" spans="1:29" ht="20.25">
      <c r="A28" s="509"/>
      <c r="B28" s="560"/>
      <c r="C28" s="3292" t="s">
        <v>3086</v>
      </c>
      <c r="D28" s="551"/>
      <c r="E28" s="3295" t="s">
        <v>3086</v>
      </c>
      <c r="F28" s="549"/>
      <c r="G28" s="3292" t="s">
        <v>3086</v>
      </c>
      <c r="H28" s="549"/>
      <c r="I28" s="3295" t="s">
        <v>3086</v>
      </c>
      <c r="J28" s="549"/>
      <c r="K28" s="525"/>
      <c r="L28" s="2025"/>
      <c r="M28" s="2015"/>
      <c r="N28" s="2015"/>
      <c r="O28" s="2024"/>
      <c r="P28" s="3517"/>
      <c r="Q28" s="1507"/>
      <c r="R28" s="1508"/>
      <c r="S28" s="1509"/>
      <c r="T28" s="1508"/>
      <c r="U28" s="1509"/>
      <c r="V28" s="1508"/>
      <c r="W28" s="1509"/>
      <c r="X28" s="1502"/>
      <c r="Y28" s="3517"/>
      <c r="Z28" s="1510"/>
      <c r="AA28" s="1511">
        <v>1</v>
      </c>
      <c r="AB28" s="1511">
        <v>1</v>
      </c>
      <c r="AC28" s="1511">
        <v>1</v>
      </c>
    </row>
    <row r="29" spans="1:29" s="1203" customFormat="1" ht="42.75">
      <c r="A29" s="571"/>
      <c r="B29" s="2436" t="s">
        <v>2530</v>
      </c>
      <c r="C29" s="567" t="str">
        <f>估价对象房地状况!C21</f>
        <v>估价对象所在区域公共配套设施齐备情况</v>
      </c>
      <c r="D29" s="557">
        <v>100</v>
      </c>
      <c r="E29" s="558"/>
      <c r="F29" s="553">
        <f>SUMIF(102:102,E30,103:103)-SUMIF(102:102,C30,103:103)+100</f>
        <v>98</v>
      </c>
      <c r="G29" s="556"/>
      <c r="H29" s="553">
        <f>SUMIF(102:102,G30,103:103)-SUMIF(102:102,C30,103:103)+100</f>
        <v>98</v>
      </c>
      <c r="I29" s="558"/>
      <c r="J29" s="553">
        <f>SUMIF(102:102,I30,103:103)-SUMIF(102:102,C30,103:103)+100</f>
        <v>98</v>
      </c>
      <c r="K29" s="529">
        <v>2</v>
      </c>
      <c r="L29" s="2018"/>
      <c r="M29" s="2015"/>
      <c r="N29" s="2015"/>
      <c r="O29" s="2020"/>
      <c r="P29" s="3517"/>
      <c r="Q29" s="1134" t="str">
        <f t="shared" si="8"/>
        <v>公共配套设施</v>
      </c>
      <c r="R29" s="1503" t="s">
        <v>8</v>
      </c>
      <c r="S29" s="1504">
        <f>F29</f>
        <v>98</v>
      </c>
      <c r="T29" s="1503" t="s">
        <v>8</v>
      </c>
      <c r="U29" s="1504">
        <f>H29</f>
        <v>98</v>
      </c>
      <c r="V29" s="1503" t="s">
        <v>8</v>
      </c>
      <c r="W29" s="1504">
        <f>J29</f>
        <v>98</v>
      </c>
      <c r="X29" s="1505"/>
      <c r="Y29" s="3517"/>
      <c r="Z29" s="1133" t="str">
        <f>Q29</f>
        <v>公共配套设施</v>
      </c>
      <c r="AA29" s="1511">
        <f>D29/F29</f>
        <v>1.0204081632653061</v>
      </c>
      <c r="AB29" s="1511">
        <f>D29/H29</f>
        <v>1.0204081632653061</v>
      </c>
      <c r="AC29" s="1511">
        <f>D29/J29</f>
        <v>1.0204081632653061</v>
      </c>
    </row>
    <row r="30" spans="1:29" s="1203" customFormat="1" ht="20.25">
      <c r="A30" s="571"/>
      <c r="B30" s="560"/>
      <c r="C30" s="3296" t="s">
        <v>3086</v>
      </c>
      <c r="D30" s="551"/>
      <c r="E30" s="3295" t="s">
        <v>3085</v>
      </c>
      <c r="F30" s="549"/>
      <c r="G30" s="3292" t="s">
        <v>3085</v>
      </c>
      <c r="H30" s="549"/>
      <c r="I30" s="3295" t="s">
        <v>3085</v>
      </c>
      <c r="J30" s="549"/>
      <c r="K30" s="525"/>
      <c r="L30" s="2018"/>
      <c r="M30" s="2015"/>
      <c r="N30" s="2015"/>
      <c r="O30" s="2020"/>
      <c r="P30" s="3517"/>
      <c r="Q30" s="1134"/>
      <c r="R30" s="1503"/>
      <c r="S30" s="1504"/>
      <c r="T30" s="1503"/>
      <c r="U30" s="1504"/>
      <c r="V30" s="1503"/>
      <c r="W30" s="1504"/>
      <c r="X30" s="1505"/>
      <c r="Y30" s="3517"/>
      <c r="Z30" s="1133"/>
      <c r="AA30" s="1511">
        <v>1</v>
      </c>
      <c r="AB30" s="1511">
        <v>1</v>
      </c>
      <c r="AC30" s="1511">
        <v>1</v>
      </c>
    </row>
    <row r="31" spans="1:29" s="1203" customFormat="1" ht="28.5">
      <c r="A31" s="571"/>
      <c r="B31" s="2436"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8"/>
      <c r="M31" s="2015"/>
      <c r="N31" s="2015"/>
      <c r="O31" s="2020"/>
      <c r="P31" s="3517"/>
      <c r="Q31" s="2429" t="str">
        <f t="shared" ref="Q31" si="9">B31</f>
        <v>基础设施水平</v>
      </c>
      <c r="R31" s="1503" t="s">
        <v>8</v>
      </c>
      <c r="S31" s="1504">
        <f>F31</f>
        <v>100</v>
      </c>
      <c r="T31" s="1503" t="s">
        <v>8</v>
      </c>
      <c r="U31" s="1504">
        <f>H31</f>
        <v>100</v>
      </c>
      <c r="V31" s="1503" t="s">
        <v>8</v>
      </c>
      <c r="W31" s="1504">
        <f>J31</f>
        <v>100</v>
      </c>
      <c r="X31" s="1505"/>
      <c r="Y31" s="3517"/>
      <c r="Z31" s="2428" t="str">
        <f>Q31</f>
        <v>基础设施水平</v>
      </c>
      <c r="AA31" s="1511">
        <f>D31/F31</f>
        <v>1</v>
      </c>
      <c r="AB31" s="1511">
        <f>D31/H31</f>
        <v>1</v>
      </c>
      <c r="AC31" s="1511">
        <f>D31/J31</f>
        <v>1</v>
      </c>
    </row>
    <row r="32" spans="1:29" s="1203" customFormat="1" ht="21" thickBot="1">
      <c r="A32" s="571"/>
      <c r="B32" s="560"/>
      <c r="C32" s="3296" t="s">
        <v>3087</v>
      </c>
      <c r="D32" s="551"/>
      <c r="E32" s="3297" t="s">
        <v>3087</v>
      </c>
      <c r="F32" s="549"/>
      <c r="G32" s="3296" t="s">
        <v>3087</v>
      </c>
      <c r="H32" s="549"/>
      <c r="I32" s="3296" t="s">
        <v>3087</v>
      </c>
      <c r="J32" s="549"/>
      <c r="K32" s="525"/>
      <c r="L32" s="2018"/>
      <c r="M32" s="2015"/>
      <c r="N32" s="2015"/>
      <c r="O32" s="2020"/>
      <c r="P32" s="3517"/>
      <c r="Q32" s="2429"/>
      <c r="R32" s="1503"/>
      <c r="S32" s="1504"/>
      <c r="T32" s="1503"/>
      <c r="U32" s="1504"/>
      <c r="V32" s="1503"/>
      <c r="W32" s="1504"/>
      <c r="X32" s="1505"/>
      <c r="Y32" s="3517"/>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7"/>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7"/>
      <c r="Q34" s="1507" t="str">
        <f t="shared" si="8"/>
        <v>毗邻道路的类型与等级</v>
      </c>
      <c r="R34" s="1508" t="s">
        <v>8</v>
      </c>
      <c r="S34" s="1509">
        <f t="shared" si="10"/>
        <v>100</v>
      </c>
      <c r="T34" s="1508" t="s">
        <v>8</v>
      </c>
      <c r="U34" s="1509">
        <f t="shared" si="11"/>
        <v>100</v>
      </c>
      <c r="V34" s="1508" t="s">
        <v>8</v>
      </c>
      <c r="W34" s="1509">
        <f t="shared" si="12"/>
        <v>100</v>
      </c>
      <c r="X34" s="1502"/>
      <c r="Y34" s="3517"/>
      <c r="Z34" s="1510" t="str">
        <f t="shared" si="13"/>
        <v>毗邻道路的类型与等级</v>
      </c>
      <c r="AA34" s="1511">
        <f t="shared" si="3"/>
        <v>1</v>
      </c>
      <c r="AB34" s="1511">
        <f t="shared" si="4"/>
        <v>1</v>
      </c>
      <c r="AC34" s="1511">
        <f t="shared" si="5"/>
        <v>1</v>
      </c>
    </row>
    <row r="35" spans="1:29" ht="20.25" hidden="1">
      <c r="A35" s="526"/>
      <c r="B35" s="560"/>
      <c r="C35" s="548"/>
      <c r="D35" s="551"/>
      <c r="E35" s="570"/>
      <c r="F35" s="549"/>
      <c r="G35" s="548"/>
      <c r="H35" s="549"/>
      <c r="I35" s="570"/>
      <c r="J35" s="549"/>
      <c r="K35" s="575"/>
      <c r="L35" s="2025"/>
      <c r="M35" s="2015"/>
      <c r="N35" s="2015"/>
      <c r="O35" s="2024"/>
      <c r="P35" s="3517"/>
      <c r="Q35" s="1507"/>
      <c r="R35" s="1508"/>
      <c r="S35" s="1509"/>
      <c r="T35" s="1508"/>
      <c r="U35" s="1509"/>
      <c r="V35" s="1508"/>
      <c r="W35" s="1509"/>
      <c r="X35" s="1502"/>
      <c r="Y35" s="3517"/>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7"/>
      <c r="Q36" s="1507" t="str">
        <f t="shared" si="8"/>
        <v>土地级别</v>
      </c>
      <c r="R36" s="1508" t="s">
        <v>8</v>
      </c>
      <c r="S36" s="1509">
        <f t="shared" si="10"/>
        <v>100</v>
      </c>
      <c r="T36" s="1508" t="s">
        <v>8</v>
      </c>
      <c r="U36" s="1509">
        <f t="shared" si="11"/>
        <v>100</v>
      </c>
      <c r="V36" s="1508" t="s">
        <v>8</v>
      </c>
      <c r="W36" s="1509">
        <f t="shared" si="12"/>
        <v>100</v>
      </c>
      <c r="X36" s="1502"/>
      <c r="Y36" s="3517"/>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7"/>
      <c r="Q37" s="1507">
        <f t="shared" si="8"/>
        <v>111</v>
      </c>
      <c r="R37" s="1508" t="s">
        <v>8</v>
      </c>
      <c r="S37" s="1509">
        <f t="shared" si="10"/>
        <v>100</v>
      </c>
      <c r="T37" s="1508" t="s">
        <v>8</v>
      </c>
      <c r="U37" s="1509">
        <f t="shared" si="11"/>
        <v>100</v>
      </c>
      <c r="V37" s="1508" t="s">
        <v>8</v>
      </c>
      <c r="W37" s="1509">
        <f t="shared" si="12"/>
        <v>100</v>
      </c>
      <c r="X37" s="1502"/>
      <c r="Y37" s="3517"/>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8" t="s">
        <v>544</v>
      </c>
      <c r="Q38" s="1507">
        <f t="shared" si="8"/>
        <v>111</v>
      </c>
      <c r="R38" s="1508" t="s">
        <v>8</v>
      </c>
      <c r="S38" s="1509">
        <f t="shared" si="10"/>
        <v>100</v>
      </c>
      <c r="T38" s="1508" t="s">
        <v>8</v>
      </c>
      <c r="U38" s="1509">
        <f t="shared" si="11"/>
        <v>100</v>
      </c>
      <c r="V38" s="1508" t="s">
        <v>8</v>
      </c>
      <c r="W38" s="1509">
        <f t="shared" si="12"/>
        <v>100</v>
      </c>
      <c r="X38" s="1502"/>
      <c r="Y38" s="3519"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9"/>
      <c r="Q39" s="1507">
        <f t="shared" si="8"/>
        <v>111</v>
      </c>
      <c r="R39" s="1512" t="s">
        <v>8</v>
      </c>
      <c r="S39" s="1513">
        <f t="shared" si="10"/>
        <v>100</v>
      </c>
      <c r="T39" s="1512" t="s">
        <v>8</v>
      </c>
      <c r="U39" s="1513">
        <f t="shared" si="11"/>
        <v>100</v>
      </c>
      <c r="V39" s="1512" t="s">
        <v>8</v>
      </c>
      <c r="W39" s="1513">
        <f t="shared" si="12"/>
        <v>100</v>
      </c>
      <c r="X39" s="1514"/>
      <c r="Y39" s="3519"/>
      <c r="Z39" s="1515">
        <f t="shared" si="13"/>
        <v>111</v>
      </c>
      <c r="AA39" s="1511">
        <f t="shared" si="3"/>
        <v>1</v>
      </c>
      <c r="AB39" s="1511">
        <f t="shared" si="4"/>
        <v>1</v>
      </c>
      <c r="AC39" s="1511">
        <f t="shared" si="5"/>
        <v>1</v>
      </c>
    </row>
    <row r="40" spans="1:29" ht="20.25">
      <c r="A40" s="2625" t="s">
        <v>2736</v>
      </c>
      <c r="B40" s="589" t="s">
        <v>546</v>
      </c>
      <c r="C40" s="590">
        <f>'数据-基础表'!A3</f>
        <v>16621</v>
      </c>
      <c r="D40" s="591">
        <v>100</v>
      </c>
      <c r="E40" s="590">
        <v>28003.32</v>
      </c>
      <c r="F40" s="591">
        <f>LOOKUP(E40,119:119,120:120)-LOOKUP(C40,119:119,120:120)+100</f>
        <v>101</v>
      </c>
      <c r="G40" s="590">
        <v>46165.91</v>
      </c>
      <c r="H40" s="591">
        <f>LOOKUP(G40,119:119,120:120)-LOOKUP(C40,119:119,120:120)+100</f>
        <v>103</v>
      </c>
      <c r="I40" s="592">
        <v>38100</v>
      </c>
      <c r="J40" s="591">
        <f>LOOKUP(I40,119:119,120:120)-LOOKUP(C40,119:119,120:120)+100</f>
        <v>102</v>
      </c>
      <c r="K40" s="575"/>
      <c r="L40" s="2025"/>
      <c r="M40" s="2015"/>
      <c r="N40" s="2015"/>
      <c r="O40" s="2024"/>
      <c r="P40" s="3519"/>
      <c r="Q40" s="1507" t="str">
        <f>B40</f>
        <v>宗地面积</v>
      </c>
      <c r="R40" s="1508" t="s">
        <v>8</v>
      </c>
      <c r="S40" s="1509">
        <f t="shared" si="10"/>
        <v>101</v>
      </c>
      <c r="T40" s="1508" t="s">
        <v>8</v>
      </c>
      <c r="U40" s="1509">
        <f t="shared" si="11"/>
        <v>103</v>
      </c>
      <c r="V40" s="1508" t="s">
        <v>8</v>
      </c>
      <c r="W40" s="1509">
        <f t="shared" si="12"/>
        <v>102</v>
      </c>
      <c r="X40" s="1502"/>
      <c r="Y40" s="3519"/>
      <c r="Z40" s="1510" t="str">
        <f t="shared" si="13"/>
        <v>宗地面积</v>
      </c>
      <c r="AA40" s="1511">
        <f t="shared" si="3"/>
        <v>0.99009900990099009</v>
      </c>
      <c r="AB40" s="1511">
        <f t="shared" si="4"/>
        <v>0.970873786407767</v>
      </c>
      <c r="AC40" s="1511">
        <f t="shared" si="5"/>
        <v>0.98039215686274506</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v>2</v>
      </c>
      <c r="L41" s="2025"/>
      <c r="M41" s="2015"/>
      <c r="N41" s="2015"/>
      <c r="O41" s="2024"/>
      <c r="P41" s="3519"/>
      <c r="Q41" s="1507" t="str">
        <f t="shared" ref="Q41:Q47" si="14">B41</f>
        <v>宗地形状</v>
      </c>
      <c r="R41" s="1508" t="s">
        <v>8</v>
      </c>
      <c r="S41" s="1509">
        <f t="shared" si="10"/>
        <v>100</v>
      </c>
      <c r="T41" s="1508" t="s">
        <v>8</v>
      </c>
      <c r="U41" s="1509">
        <f t="shared" si="11"/>
        <v>100</v>
      </c>
      <c r="V41" s="1508" t="s">
        <v>8</v>
      </c>
      <c r="W41" s="1509">
        <f t="shared" si="12"/>
        <v>100</v>
      </c>
      <c r="X41" s="1502"/>
      <c r="Y41" s="3519"/>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v>2</v>
      </c>
      <c r="L42" s="2025"/>
      <c r="M42" s="2015"/>
      <c r="N42" s="2015"/>
      <c r="O42" s="2024"/>
      <c r="P42" s="3519"/>
      <c r="Q42" s="1507" t="str">
        <f t="shared" si="14"/>
        <v>临街宽度及深度</v>
      </c>
      <c r="R42" s="1508" t="s">
        <v>8</v>
      </c>
      <c r="S42" s="1509">
        <f t="shared" si="10"/>
        <v>100</v>
      </c>
      <c r="T42" s="1508" t="s">
        <v>8</v>
      </c>
      <c r="U42" s="1509">
        <f t="shared" si="11"/>
        <v>100</v>
      </c>
      <c r="V42" s="1508" t="s">
        <v>8</v>
      </c>
      <c r="W42" s="1509">
        <f t="shared" si="12"/>
        <v>100</v>
      </c>
      <c r="X42" s="1502"/>
      <c r="Y42" s="3519"/>
      <c r="Z42" s="1510" t="str">
        <f t="shared" si="13"/>
        <v>临街宽度及深度</v>
      </c>
      <c r="AA42" s="1511">
        <f t="shared" si="3"/>
        <v>1</v>
      </c>
      <c r="AB42" s="1511">
        <f t="shared" si="4"/>
        <v>1</v>
      </c>
      <c r="AC42" s="1511">
        <f t="shared" si="5"/>
        <v>1</v>
      </c>
    </row>
    <row r="43" spans="1:29" s="1203" customFormat="1" ht="20.25">
      <c r="A43" s="594"/>
      <c r="B43" s="1810" t="s">
        <v>2409</v>
      </c>
      <c r="C43" s="3303"/>
      <c r="D43" s="3299">
        <v>100</v>
      </c>
      <c r="E43" s="3303"/>
      <c r="F43" s="3300">
        <f>SUMIF(125:125,E43,126:126)-SUMIF(125:125,C43,126:126)+100</f>
        <v>100</v>
      </c>
      <c r="G43" s="3303"/>
      <c r="H43" s="3300">
        <f>SUMIF(125:125,G43,126:126)-SUMIF(125:125,C43,126:126)+100</f>
        <v>100</v>
      </c>
      <c r="I43" s="3303"/>
      <c r="J43" s="3300">
        <f>SUMIF(125:125,I43,126:126)-SUMIF(125:125,C43,126:126)+100</f>
        <v>100</v>
      </c>
      <c r="K43" s="578">
        <v>2</v>
      </c>
      <c r="L43" s="2018"/>
      <c r="M43" s="2015"/>
      <c r="N43" s="2015"/>
      <c r="O43" s="2020"/>
      <c r="P43" s="3519"/>
      <c r="Q43" s="1507" t="str">
        <f t="shared" si="14"/>
        <v>宗地开发程度</v>
      </c>
      <c r="R43" s="1503" t="s">
        <v>8</v>
      </c>
      <c r="S43" s="1504">
        <f t="shared" si="10"/>
        <v>100</v>
      </c>
      <c r="T43" s="1503" t="s">
        <v>8</v>
      </c>
      <c r="U43" s="1504">
        <f t="shared" si="11"/>
        <v>100</v>
      </c>
      <c r="V43" s="1503" t="s">
        <v>8</v>
      </c>
      <c r="W43" s="1504">
        <f t="shared" si="12"/>
        <v>100</v>
      </c>
      <c r="X43" s="1505"/>
      <c r="Y43" s="351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v>2</v>
      </c>
      <c r="L44" s="2025"/>
      <c r="M44" s="2015"/>
      <c r="N44" s="2015"/>
      <c r="O44" s="2024"/>
      <c r="P44" s="3519" t="s">
        <v>544</v>
      </c>
      <c r="Q44" s="1507" t="str">
        <f t="shared" si="14"/>
        <v>工程地质条件</v>
      </c>
      <c r="R44" s="1508" t="s">
        <v>8</v>
      </c>
      <c r="S44" s="1509">
        <f t="shared" si="10"/>
        <v>100</v>
      </c>
      <c r="T44" s="1508" t="s">
        <v>8</v>
      </c>
      <c r="U44" s="1509">
        <f t="shared" si="11"/>
        <v>100</v>
      </c>
      <c r="V44" s="1508" t="s">
        <v>8</v>
      </c>
      <c r="W44" s="1509">
        <f t="shared" si="12"/>
        <v>100</v>
      </c>
      <c r="X44" s="1502"/>
      <c r="Y44" s="351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9"/>
      <c r="Q45" s="1507">
        <f t="shared" si="14"/>
        <v>111</v>
      </c>
      <c r="R45" s="1508" t="s">
        <v>8</v>
      </c>
      <c r="S45" s="1509">
        <f t="shared" si="10"/>
        <v>100</v>
      </c>
      <c r="T45" s="1508" t="s">
        <v>8</v>
      </c>
      <c r="U45" s="1509">
        <f t="shared" si="11"/>
        <v>100</v>
      </c>
      <c r="V45" s="1508" t="s">
        <v>8</v>
      </c>
      <c r="W45" s="1509">
        <f t="shared" si="12"/>
        <v>100</v>
      </c>
      <c r="X45" s="1502"/>
      <c r="Y45" s="351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9"/>
      <c r="Q46" s="1507">
        <f t="shared" si="14"/>
        <v>111</v>
      </c>
      <c r="R46" s="1508" t="s">
        <v>8</v>
      </c>
      <c r="S46" s="1509">
        <f t="shared" si="10"/>
        <v>100</v>
      </c>
      <c r="T46" s="1508" t="s">
        <v>8</v>
      </c>
      <c r="U46" s="1509">
        <f t="shared" si="11"/>
        <v>100</v>
      </c>
      <c r="V46" s="1508" t="s">
        <v>8</v>
      </c>
      <c r="W46" s="1509">
        <f t="shared" si="12"/>
        <v>100</v>
      </c>
      <c r="X46" s="1502"/>
      <c r="Y46" s="351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9"/>
      <c r="Q47" s="1507">
        <f t="shared" si="14"/>
        <v>111</v>
      </c>
      <c r="R47" s="1512" t="s">
        <v>8</v>
      </c>
      <c r="S47" s="1513">
        <f t="shared" si="10"/>
        <v>100</v>
      </c>
      <c r="T47" s="1512" t="s">
        <v>8</v>
      </c>
      <c r="U47" s="1513">
        <f t="shared" si="11"/>
        <v>100</v>
      </c>
      <c r="V47" s="1512" t="s">
        <v>8</v>
      </c>
      <c r="W47" s="1513">
        <f t="shared" si="12"/>
        <v>100</v>
      </c>
      <c r="X47" s="1514"/>
      <c r="Y47" s="3519"/>
      <c r="Z47" s="1515">
        <f t="shared" si="13"/>
        <v>111</v>
      </c>
      <c r="AA47" s="1511">
        <f t="shared" si="3"/>
        <v>1</v>
      </c>
      <c r="AB47" s="1511">
        <f t="shared" si="4"/>
        <v>1</v>
      </c>
      <c r="AC47" s="1511">
        <f t="shared" si="5"/>
        <v>1</v>
      </c>
    </row>
    <row r="48" spans="1:29" ht="20.25">
      <c r="A48" s="601" t="s">
        <v>550</v>
      </c>
      <c r="B48" s="602" t="s">
        <v>3096</v>
      </c>
      <c r="C48" s="603" t="s">
        <v>1</v>
      </c>
      <c r="D48" s="604"/>
      <c r="E48" s="605">
        <v>13970</v>
      </c>
      <c r="F48" s="606"/>
      <c r="G48" s="607">
        <v>24369</v>
      </c>
      <c r="H48" s="608"/>
      <c r="I48" s="605">
        <v>26772</v>
      </c>
      <c r="J48" s="608"/>
      <c r="K48" s="1294"/>
      <c r="L48" s="2027"/>
      <c r="M48" s="2015"/>
      <c r="N48" s="2015"/>
      <c r="O48" s="2028"/>
      <c r="P48" s="3481" t="str">
        <f>A48</f>
        <v>成交单价</v>
      </c>
      <c r="Q48" s="3481"/>
      <c r="R48" s="3482">
        <f>E48</f>
        <v>13970</v>
      </c>
      <c r="S48" s="3482"/>
      <c r="T48" s="3482">
        <f>G48</f>
        <v>24369</v>
      </c>
      <c r="U48" s="3482"/>
      <c r="V48" s="3482">
        <f>I48</f>
        <v>26772</v>
      </c>
      <c r="W48" s="3482"/>
      <c r="X48" s="1497"/>
      <c r="Y48" s="1516"/>
      <c r="Z48" s="1497"/>
      <c r="AA48" s="1497"/>
      <c r="AB48" s="1497"/>
      <c r="AC48" s="1497"/>
    </row>
    <row r="49" spans="1:29" ht="21" thickBot="1">
      <c r="A49" s="609" t="s">
        <v>2674</v>
      </c>
      <c r="B49" s="610"/>
      <c r="C49" s="611">
        <f>R50</f>
        <v>15383</v>
      </c>
      <c r="D49" s="3015" t="s">
        <v>2973</v>
      </c>
      <c r="E49" s="611">
        <f>R49</f>
        <v>11152</v>
      </c>
      <c r="F49" s="3016">
        <v>0.6</v>
      </c>
      <c r="G49" s="612">
        <f>T49</f>
        <v>20603</v>
      </c>
      <c r="H49" s="3016">
        <v>0.2</v>
      </c>
      <c r="I49" s="611">
        <f>V49</f>
        <v>22857</v>
      </c>
      <c r="J49" s="3016">
        <v>0.2</v>
      </c>
      <c r="K49" s="3017">
        <f>F49+H49+J49</f>
        <v>1</v>
      </c>
      <c r="L49" s="2027"/>
      <c r="M49" s="2015"/>
      <c r="N49" s="2015"/>
      <c r="O49" s="2028"/>
      <c r="P49" s="3481" t="str">
        <f>A49</f>
        <v>比较价格（元/平方米）</v>
      </c>
      <c r="Q49" s="3481"/>
      <c r="R49" s="3483">
        <f>ROUND(PRODUCT(R48,AA9:AA47),0)</f>
        <v>11152</v>
      </c>
      <c r="S49" s="3483"/>
      <c r="T49" s="3483">
        <f>ROUND(PRODUCT(T48,AB9:AB47),0)</f>
        <v>20603</v>
      </c>
      <c r="U49" s="3483"/>
      <c r="V49" s="3483">
        <f>ROUND(PRODUCT(V48,AC9:AC47),0)</f>
        <v>22857</v>
      </c>
      <c r="W49" s="3483"/>
      <c r="X49" s="1497"/>
      <c r="Y49" s="1497"/>
      <c r="Z49" s="1497"/>
      <c r="AA49" s="1497"/>
      <c r="AB49" s="1497"/>
      <c r="AC49" s="1497"/>
    </row>
    <row r="50" spans="1:29" ht="21" thickBot="1">
      <c r="A50" s="613" t="s">
        <v>2904</v>
      </c>
      <c r="B50" s="614"/>
      <c r="C50" s="615">
        <f>R50</f>
        <v>15383</v>
      </c>
      <c r="D50" s="615"/>
      <c r="E50" s="615"/>
      <c r="F50" s="615"/>
      <c r="G50" s="615"/>
      <c r="H50" s="615"/>
      <c r="I50" s="615"/>
      <c r="J50" s="615"/>
      <c r="K50" s="1295"/>
      <c r="L50" s="2027"/>
      <c r="M50" s="2015"/>
      <c r="N50" s="2015"/>
      <c r="O50" s="2028"/>
      <c r="P50" s="3478" t="str">
        <f>A50</f>
        <v>估价对象XX用房的比较价格（楼面单价，元/平方米）</v>
      </c>
      <c r="Q50" s="3479"/>
      <c r="R50" s="3480">
        <f>ROUND(IF(D49="简单平均",AVERAGE(R49:W49),R49*F49+T49*H49+V49*J49),0)</f>
        <v>15383</v>
      </c>
      <c r="S50" s="3480"/>
      <c r="T50" s="3480"/>
      <c r="U50" s="3480"/>
      <c r="V50" s="3480"/>
      <c r="W50" s="3480"/>
      <c r="X50" s="1497"/>
      <c r="Y50" s="1497"/>
      <c r="Z50" s="1497"/>
      <c r="AA50" s="1497"/>
      <c r="AB50" s="1497"/>
      <c r="AC50" s="1497"/>
    </row>
    <row r="51" spans="1:29" ht="20.25">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0.25">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0.25269010043041606</v>
      </c>
      <c r="F53" s="619" t="str">
        <f>IF(OR(E53&gt;=0.3,E53&lt;=-0.3),"超过30%","")</f>
        <v/>
      </c>
      <c r="G53" s="618">
        <f>IF(G48&lt;G49,G49/G48-1,G48/G49-1)</f>
        <v>0.1827889142357908</v>
      </c>
      <c r="H53" s="619" t="str">
        <f>IF(OR(G53&gt;=0.3,G53&lt;=-0.3),"超过30%","")</f>
        <v/>
      </c>
      <c r="I53" s="618">
        <f>IF(I48&lt;I49,I49/I48-1,I48/I49-1)</f>
        <v>0.17128232051450332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0.84747130559540884</v>
      </c>
      <c r="F54" s="619" t="str">
        <f>IF(OR(E54&gt;=0.2,E54&lt;=-0.2),"超过20%","")</f>
        <v>超过20%</v>
      </c>
      <c r="G54" s="618">
        <f>IF(G49&lt;I49,I49/G49-1,G49/I49-1)</f>
        <v>0.10940154346454389</v>
      </c>
      <c r="H54" s="619" t="str">
        <f>IF(OR(G54&gt;=0.2,G54&lt;=-0.2),"超过20%","")</f>
        <v/>
      </c>
      <c r="I54" s="618">
        <f>IF(I49&lt;E49,E49/I49-1,I49/E49-1)</f>
        <v>1.0495875179340031</v>
      </c>
      <c r="J54" s="619" t="str">
        <f>IF(OR(I54&gt;=0.2,I54&lt;=-0.2),"超过20%","")</f>
        <v>超过20%</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0.74438081603435924</v>
      </c>
      <c r="F55" s="619" t="str">
        <f>IF(OR(E55&gt;=0.3,E55&lt;=-0.3),"超过30%","")</f>
        <v>超过30%</v>
      </c>
      <c r="G55" s="618">
        <f>IF(G48&lt;I48,I48/G48-1,G48/I48-1)</f>
        <v>9.8608888341745748E-2</v>
      </c>
      <c r="H55" s="619" t="str">
        <f>IF(OR(G55&gt;=0.3,G55&lt;=-0.3),"超过30%","")</f>
        <v/>
      </c>
      <c r="I55" s="618">
        <f>IF(I48&lt;E48,E48/I48-1,I48/E48-1)</f>
        <v>0.91639226914817473</v>
      </c>
      <c r="J55" s="619" t="str">
        <f>IF(OR(I55&gt;=0.3,I55&lt;=-0.3),"超过30%","")</f>
        <v>超过30%</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508" t="s">
        <v>2269</v>
      </c>
      <c r="H57" s="3509"/>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15383</v>
      </c>
      <c r="C58" s="627">
        <v>1</v>
      </c>
      <c r="D58" s="2109">
        <v>1</v>
      </c>
      <c r="E58" s="627">
        <f>'数据-汇总表'!E8+'数据-汇总表'!E9</f>
        <v>99436.95</v>
      </c>
      <c r="F58" s="628">
        <f t="shared" ref="F58:F67" si="15">ROUND(B58*E58/10000,0)</f>
        <v>152964</v>
      </c>
      <c r="G58" s="3510"/>
      <c r="H58" s="3511"/>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2692</v>
      </c>
      <c r="C59" s="372">
        <f t="shared" ref="C59:C67" si="16">IF($C$57="北京市系数",I59,J59)</f>
        <v>0.7</v>
      </c>
      <c r="D59" s="2110">
        <v>0.25</v>
      </c>
      <c r="E59" s="631">
        <f>'数据-汇总表'!G20/2</f>
        <v>7948.1750000000002</v>
      </c>
      <c r="F59" s="628">
        <f t="shared" si="15"/>
        <v>2140</v>
      </c>
      <c r="G59" s="3512" t="s">
        <v>2270</v>
      </c>
      <c r="H59" s="1863" t="str">
        <f>项目基本情况!B43</f>
        <v>六级</v>
      </c>
      <c r="I59" s="1495">
        <f>SUMIF(修正!$A$45:$A$56,H59,修正!B45:B56)</f>
        <v>0.7</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1538</v>
      </c>
      <c r="C60" s="372">
        <f t="shared" si="16"/>
        <v>0.4</v>
      </c>
      <c r="D60" s="2110">
        <v>0.25</v>
      </c>
      <c r="E60" s="631">
        <f>'数据-汇总表'!G20-'比较法-住宅、综合'!E59</f>
        <v>7948.1750000000002</v>
      </c>
      <c r="F60" s="628">
        <f t="shared" si="15"/>
        <v>1222</v>
      </c>
      <c r="G60" s="3512"/>
      <c r="H60" s="1863" t="str">
        <f>项目基本情况!B43</f>
        <v>六级</v>
      </c>
      <c r="I60" s="1495">
        <f>SUMIF(修正!$A$45:$A$56,H60,修正!C45:C56)</f>
        <v>0.4</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1077</v>
      </c>
      <c r="C61" s="372">
        <f t="shared" si="16"/>
        <v>0.28000000000000003</v>
      </c>
      <c r="D61" s="2110">
        <v>0.25</v>
      </c>
      <c r="E61" s="631">
        <v>0</v>
      </c>
      <c r="F61" s="628">
        <f t="shared" si="15"/>
        <v>0</v>
      </c>
      <c r="G61" s="3512"/>
      <c r="H61" s="1863" t="str">
        <f>项目基本情况!B43</f>
        <v>六级</v>
      </c>
      <c r="I61" s="1495">
        <f>SUMIF(修正!$A$45:$A$56,H61,修正!D45:D56)</f>
        <v>0.28000000000000003</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961</v>
      </c>
      <c r="C62" s="372">
        <f t="shared" si="16"/>
        <v>0.25</v>
      </c>
      <c r="D62" s="2110">
        <v>0.25</v>
      </c>
      <c r="E62" s="631">
        <v>0</v>
      </c>
      <c r="F62" s="628">
        <f t="shared" si="15"/>
        <v>0</v>
      </c>
      <c r="G62" s="3512"/>
      <c r="H62" s="1863" t="str">
        <f>项目基本情况!B43</f>
        <v>六级</v>
      </c>
      <c r="I62" s="1495">
        <f>SUMIF(修正!$A$45:$A$56,H62,修正!E45:E56)</f>
        <v>0.25</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961</v>
      </c>
      <c r="C63" s="372">
        <f t="shared" si="16"/>
        <v>0.25</v>
      </c>
      <c r="D63" s="2110">
        <v>0.25</v>
      </c>
      <c r="E63" s="633">
        <f>'数据-汇总表'!E11</f>
        <v>0</v>
      </c>
      <c r="F63" s="628">
        <f t="shared" si="15"/>
        <v>0</v>
      </c>
      <c r="G63" s="1860" t="s">
        <v>2271</v>
      </c>
      <c r="H63" s="1863" t="str">
        <f>项目基本情况!C43</f>
        <v>六级</v>
      </c>
      <c r="I63" s="1495">
        <f>SUMIF(修正!$A$45:$A$56,H63,修正!F45:F56)</f>
        <v>0.25</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961</v>
      </c>
      <c r="C64" s="372">
        <f t="shared" si="16"/>
        <v>0.25</v>
      </c>
      <c r="D64" s="2110">
        <v>0.25</v>
      </c>
      <c r="E64" s="633">
        <f>'数据-汇总表'!E12</f>
        <v>0</v>
      </c>
      <c r="F64" s="628">
        <f t="shared" si="15"/>
        <v>0</v>
      </c>
      <c r="G64" s="1861" t="s">
        <v>1668</v>
      </c>
      <c r="H64" s="1859" t="str">
        <f>IF(G64="商业",项目基本情况!B43,IF(G64="办公",项目基本情况!C43,IF(G64="住宅",项目基本情况!D43,项目基本情况!E43)))</f>
        <v>六级</v>
      </c>
      <c r="I64" s="1495">
        <f>SUMIF(修正!$A$45:$A$56,H64,修正!G45:G56)</f>
        <v>0.25</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769</v>
      </c>
      <c r="C66" s="372">
        <f t="shared" si="16"/>
        <v>0.2</v>
      </c>
      <c r="D66" s="2110">
        <v>0.25</v>
      </c>
      <c r="E66" s="633">
        <f>'数据-汇总表'!E14</f>
        <v>0</v>
      </c>
      <c r="F66" s="628">
        <f t="shared" si="15"/>
        <v>0</v>
      </c>
      <c r="G66" s="1860" t="s">
        <v>2270</v>
      </c>
      <c r="H66" s="1863" t="str">
        <f>项目基本情况!B43</f>
        <v>六级</v>
      </c>
      <c r="I66" s="1495">
        <f>SUMIF(修正!$A$45:$A$56,H66,修正!H45:H56)</f>
        <v>0.2</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769</v>
      </c>
      <c r="C67" s="372">
        <f t="shared" si="16"/>
        <v>0.2</v>
      </c>
      <c r="D67" s="2110">
        <v>0.25</v>
      </c>
      <c r="E67" s="633">
        <f>'数据-汇总表'!E15</f>
        <v>24252.63</v>
      </c>
      <c r="F67" s="628">
        <f t="shared" si="15"/>
        <v>1865</v>
      </c>
      <c r="G67" s="1862" t="s">
        <v>2271</v>
      </c>
      <c r="H67" s="1864" t="str">
        <f>项目基本情况!C43</f>
        <v>六级</v>
      </c>
      <c r="I67" s="1495">
        <f>SUMIF(修正!$A$45:$A$56,H67,修正!H45:H56)</f>
        <v>0.2</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139585.93</v>
      </c>
      <c r="F68" s="636">
        <f>IF(B48="楼面地价",SUM(F58:F67),ROUND(C50*E68/10000,0))</f>
        <v>158191</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2021-1-1</v>
      </c>
      <c r="D70" s="2517">
        <f>EDATE(C70,-3)</f>
        <v>44105</v>
      </c>
      <c r="E70" s="2517">
        <f t="shared" ref="E70:N70" si="18">EDATE(D70,-3)</f>
        <v>44013</v>
      </c>
      <c r="F70" s="2517">
        <f t="shared" si="18"/>
        <v>43922</v>
      </c>
      <c r="G70" s="2517">
        <f t="shared" si="18"/>
        <v>43831</v>
      </c>
      <c r="H70" s="2517">
        <f t="shared" si="18"/>
        <v>43739</v>
      </c>
      <c r="I70" s="2517">
        <f t="shared" si="18"/>
        <v>43647</v>
      </c>
      <c r="J70" s="2517">
        <f t="shared" si="18"/>
        <v>43556</v>
      </c>
      <c r="K70" s="2517">
        <f t="shared" si="18"/>
        <v>43466</v>
      </c>
      <c r="L70" s="2517">
        <f t="shared" si="18"/>
        <v>43374</v>
      </c>
      <c r="M70" s="2517">
        <f t="shared" si="18"/>
        <v>43282</v>
      </c>
      <c r="N70" s="2517">
        <f t="shared" si="18"/>
        <v>43191</v>
      </c>
      <c r="O70" s="2030">
        <f t="shared" ref="O70" si="19">EDATE(N70,-3)</f>
        <v>43101</v>
      </c>
      <c r="P70" s="2030">
        <f t="shared" ref="P70" si="20">EDATE(O70,-3)</f>
        <v>43009</v>
      </c>
      <c r="Q70" s="2030">
        <f t="shared" ref="Q70" si="21">EDATE(P70,-3)</f>
        <v>42917</v>
      </c>
      <c r="R70" s="2030">
        <f t="shared" ref="R70" si="22">EDATE(Q70,-3)</f>
        <v>42826</v>
      </c>
      <c r="S70" s="2030">
        <f t="shared" ref="S70" si="23">EDATE(R70,-3)</f>
        <v>42736</v>
      </c>
      <c r="T70" s="2030">
        <f t="shared" ref="T70" si="24">EDATE(S70,-3)</f>
        <v>42644</v>
      </c>
      <c r="U70" s="2030">
        <f t="shared" ref="U70" si="25">EDATE(T70,-3)</f>
        <v>42552</v>
      </c>
      <c r="V70" s="2030">
        <f t="shared" ref="V70" si="26">EDATE(U70,-3)</f>
        <v>42461</v>
      </c>
      <c r="W70" s="2030">
        <f t="shared" ref="W70" si="27">EDATE(V70,-3)</f>
        <v>42370</v>
      </c>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2514</v>
      </c>
      <c r="B72" s="2423"/>
      <c r="C72" s="2514" t="str">
        <f>YEAR(C70)&amp;"-"&amp;ROUNDUP(MONTH(C70)/3,0)</f>
        <v>2021-1</v>
      </c>
      <c r="D72" s="2519" t="str">
        <f>YEAR(D70)&amp;"-"&amp;ROUNDUP(MONTH(D70)/3,0)</f>
        <v>2020-4</v>
      </c>
      <c r="E72" s="2519" t="str">
        <f t="shared" ref="E72:W72" si="28">YEAR(E70)&amp;"-"&amp;ROUNDUP(MONTH(E70)/3,0)</f>
        <v>2020-3</v>
      </c>
      <c r="F72" s="2519" t="str">
        <f t="shared" si="28"/>
        <v>2020-2</v>
      </c>
      <c r="G72" s="2519" t="str">
        <f t="shared" si="28"/>
        <v>2020-1</v>
      </c>
      <c r="H72" s="2519" t="str">
        <f t="shared" si="28"/>
        <v>2019-4</v>
      </c>
      <c r="I72" s="2519" t="str">
        <f t="shared" si="28"/>
        <v>2019-3</v>
      </c>
      <c r="J72" s="2519" t="str">
        <f t="shared" si="28"/>
        <v>2019-2</v>
      </c>
      <c r="K72" s="2519" t="str">
        <f t="shared" si="28"/>
        <v>2019-1</v>
      </c>
      <c r="L72" s="2519" t="str">
        <f t="shared" si="28"/>
        <v>2018-4</v>
      </c>
      <c r="M72" s="2519" t="str">
        <f t="shared" si="28"/>
        <v>2018-3</v>
      </c>
      <c r="N72" s="2519" t="str">
        <f t="shared" si="28"/>
        <v>2018-2</v>
      </c>
      <c r="O72" s="3298" t="str">
        <f t="shared" si="28"/>
        <v>2018-1</v>
      </c>
      <c r="P72" s="3298" t="str">
        <f t="shared" si="28"/>
        <v>2017-4</v>
      </c>
      <c r="Q72" s="3298" t="str">
        <f t="shared" si="28"/>
        <v>2017-3</v>
      </c>
      <c r="R72" s="3298" t="str">
        <f t="shared" si="28"/>
        <v>2017-2</v>
      </c>
      <c r="S72" s="3298" t="str">
        <f t="shared" si="28"/>
        <v>2017-1</v>
      </c>
      <c r="T72" s="3298" t="str">
        <f t="shared" si="28"/>
        <v>2016-4</v>
      </c>
      <c r="U72" s="3298" t="str">
        <f t="shared" si="28"/>
        <v>2016-3</v>
      </c>
      <c r="V72" s="3298" t="str">
        <f t="shared" si="28"/>
        <v>2016-2</v>
      </c>
      <c r="W72" s="3298" t="str">
        <f t="shared" si="28"/>
        <v>2016-1</v>
      </c>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北京市平均增长率1.75%</v>
      </c>
      <c r="C73" s="883">
        <v>100</v>
      </c>
      <c r="D73" s="722">
        <v>100</v>
      </c>
      <c r="E73" s="722">
        <v>100</v>
      </c>
      <c r="F73" s="722">
        <v>100</v>
      </c>
      <c r="G73" s="722">
        <v>100</v>
      </c>
      <c r="H73" s="722">
        <v>99.5</v>
      </c>
      <c r="I73" s="722">
        <v>99</v>
      </c>
      <c r="J73" s="722">
        <v>98.5</v>
      </c>
      <c r="K73" s="722">
        <v>98</v>
      </c>
      <c r="L73" s="722">
        <v>97.5</v>
      </c>
      <c r="M73" s="722">
        <v>97</v>
      </c>
      <c r="N73" s="722">
        <v>96.5</v>
      </c>
      <c r="O73" s="722">
        <v>96</v>
      </c>
      <c r="P73" s="722">
        <v>95.5</v>
      </c>
      <c r="Q73" s="722">
        <v>95</v>
      </c>
      <c r="R73" s="722">
        <v>94.5</v>
      </c>
      <c r="S73" s="722">
        <v>94</v>
      </c>
      <c r="T73" s="722">
        <v>93.5</v>
      </c>
      <c r="U73" s="722">
        <v>93</v>
      </c>
      <c r="V73" s="722">
        <v>92.5</v>
      </c>
      <c r="W73" s="722">
        <v>92</v>
      </c>
      <c r="X73" s="1906"/>
      <c r="Y73" s="1906"/>
      <c r="Z73" s="1906"/>
      <c r="AA73" s="1906"/>
      <c r="AB73" s="1906"/>
      <c r="AC73" s="1906"/>
    </row>
    <row r="74" spans="1:29" s="1203" customFormat="1" ht="15" customHeight="1" thickBot="1">
      <c r="A74" s="2515" t="s">
        <v>2627</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1（含）-3</v>
      </c>
      <c r="D81" s="674" t="str">
        <f t="shared" ref="D81:L81" si="29">D82&amp;"（含）"&amp;"-"&amp;E82</f>
        <v>3（含）-5</v>
      </c>
      <c r="E81" s="674" t="str">
        <f t="shared" si="29"/>
        <v>5（含）-12</v>
      </c>
      <c r="F81" s="674" t="str">
        <f t="shared" si="29"/>
        <v>12（含）-</v>
      </c>
      <c r="G81" s="674" t="str">
        <f t="shared" si="29"/>
        <v>（含）-</v>
      </c>
      <c r="H81" s="674" t="str">
        <f t="shared" si="29"/>
        <v>（含）-</v>
      </c>
      <c r="I81" s="674" t="str">
        <f t="shared" si="29"/>
        <v>（含）-</v>
      </c>
      <c r="J81" s="674" t="str">
        <f t="shared" si="29"/>
        <v>（含）-</v>
      </c>
      <c r="K81" s="674" t="str">
        <f t="shared" si="29"/>
        <v>（含）-</v>
      </c>
      <c r="L81" s="674" t="str">
        <f t="shared" si="29"/>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1</v>
      </c>
      <c r="D82" s="535">
        <v>3</v>
      </c>
      <c r="E82" s="535">
        <v>5</v>
      </c>
      <c r="F82" s="535">
        <v>12</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30">IF($B$48="单位面积地价",D83+$K13,D83-$K13)</f>
        <v>80</v>
      </c>
      <c r="F83" s="671">
        <f t="shared" si="30"/>
        <v>70</v>
      </c>
      <c r="G83" s="671">
        <f t="shared" si="30"/>
        <v>60</v>
      </c>
      <c r="H83" s="671">
        <f t="shared" si="30"/>
        <v>50</v>
      </c>
      <c r="I83" s="671">
        <f t="shared" si="30"/>
        <v>40</v>
      </c>
      <c r="J83" s="671">
        <f t="shared" si="30"/>
        <v>30</v>
      </c>
      <c r="K83" s="671">
        <f t="shared" si="30"/>
        <v>20</v>
      </c>
      <c r="L83" s="671">
        <f t="shared" si="30"/>
        <v>10</v>
      </c>
      <c r="M83" s="671">
        <f t="shared" si="30"/>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t="str">
        <f>B15</f>
        <v>自持</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98</v>
      </c>
      <c r="E91" s="671">
        <f>D91-$K17</f>
        <v>96</v>
      </c>
      <c r="F91" s="671">
        <f>E91-$K17</f>
        <v>94</v>
      </c>
      <c r="G91" s="671">
        <f>F91-$K17</f>
        <v>92</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98</v>
      </c>
      <c r="E93" s="671">
        <f>D93-$K19</f>
        <v>96</v>
      </c>
      <c r="F93" s="671">
        <f>E93-$K19</f>
        <v>94</v>
      </c>
      <c r="G93" s="671">
        <f>F93-$K19</f>
        <v>92</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98</v>
      </c>
      <c r="E95" s="671">
        <f>D95-$K21</f>
        <v>96</v>
      </c>
      <c r="F95" s="671">
        <f>E95-$K21</f>
        <v>94</v>
      </c>
      <c r="G95" s="671">
        <f>F95-$K21</f>
        <v>92</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98</v>
      </c>
      <c r="E105" s="671">
        <f>D105-$K31</f>
        <v>96</v>
      </c>
      <c r="F105" s="671">
        <f>E105-$K31</f>
        <v>94</v>
      </c>
      <c r="G105" s="671">
        <f>F105-$K31</f>
        <v>92</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31">D107-$K33</f>
        <v>100</v>
      </c>
      <c r="F107" s="671">
        <f t="shared" si="31"/>
        <v>100</v>
      </c>
      <c r="G107" s="671">
        <f t="shared" si="31"/>
        <v>100</v>
      </c>
      <c r="H107" s="671">
        <f t="shared" si="31"/>
        <v>100</v>
      </c>
      <c r="I107" s="671">
        <f t="shared" si="31"/>
        <v>100</v>
      </c>
      <c r="J107" s="671">
        <f t="shared" si="31"/>
        <v>100</v>
      </c>
      <c r="K107" s="671">
        <f t="shared" si="31"/>
        <v>100</v>
      </c>
      <c r="L107" s="671">
        <f t="shared" si="31"/>
        <v>100</v>
      </c>
      <c r="M107" s="671">
        <f t="shared" si="31"/>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32">D109-$K34</f>
        <v>100</v>
      </c>
      <c r="F109" s="671">
        <f t="shared" si="32"/>
        <v>100</v>
      </c>
      <c r="G109" s="671">
        <f t="shared" si="32"/>
        <v>100</v>
      </c>
      <c r="H109" s="671">
        <f t="shared" si="32"/>
        <v>100</v>
      </c>
      <c r="I109" s="671">
        <f t="shared" si="32"/>
        <v>100</v>
      </c>
      <c r="J109" s="671">
        <f t="shared" si="32"/>
        <v>100</v>
      </c>
      <c r="K109" s="671">
        <f t="shared" si="32"/>
        <v>100</v>
      </c>
      <c r="L109" s="671">
        <f t="shared" si="32"/>
        <v>100</v>
      </c>
      <c r="M109" s="671">
        <f t="shared" si="32"/>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33">D111-$K36</f>
        <v>100</v>
      </c>
      <c r="F111" s="671">
        <f t="shared" si="33"/>
        <v>100</v>
      </c>
      <c r="G111" s="671">
        <f t="shared" si="33"/>
        <v>100</v>
      </c>
      <c r="H111" s="671">
        <f t="shared" si="33"/>
        <v>100</v>
      </c>
      <c r="I111" s="671">
        <f t="shared" si="33"/>
        <v>100</v>
      </c>
      <c r="J111" s="671">
        <f t="shared" si="33"/>
        <v>100</v>
      </c>
      <c r="K111" s="671">
        <f t="shared" si="33"/>
        <v>100</v>
      </c>
      <c r="L111" s="671">
        <f t="shared" si="33"/>
        <v>100</v>
      </c>
      <c r="M111" s="671">
        <f t="shared" si="33"/>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34">C119&amp;"(含)"&amp;"-"&amp;D119</f>
        <v>0(含)-10000</v>
      </c>
      <c r="D118" s="696" t="str">
        <f t="shared" si="34"/>
        <v>10000(含)-20000</v>
      </c>
      <c r="E118" s="696" t="str">
        <f t="shared" si="34"/>
        <v>20000(含)-30000</v>
      </c>
      <c r="F118" s="696" t="str">
        <f t="shared" si="34"/>
        <v>30000(含)-40000</v>
      </c>
      <c r="G118" s="696" t="str">
        <f t="shared" si="34"/>
        <v>40000(含)-50000</v>
      </c>
      <c r="H118" s="696" t="str">
        <f t="shared" si="34"/>
        <v>50000(含)-60000</v>
      </c>
      <c r="I118" s="696" t="str">
        <f t="shared" si="34"/>
        <v>60000(含)-</v>
      </c>
      <c r="J118" s="2781" t="str">
        <f t="shared" si="34"/>
        <v>(含)-</v>
      </c>
      <c r="K118" s="2781" t="str">
        <f t="shared" si="34"/>
        <v>(含)-</v>
      </c>
      <c r="L118" s="2782" t="str">
        <f t="shared" si="34"/>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30000</v>
      </c>
      <c r="G119" s="722">
        <v>40000</v>
      </c>
      <c r="H119" s="722">
        <v>50000</v>
      </c>
      <c r="I119" s="722">
        <v>60000</v>
      </c>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35">C122-$K41</f>
        <v>98</v>
      </c>
      <c r="E122" s="671">
        <f t="shared" si="35"/>
        <v>96</v>
      </c>
      <c r="F122" s="671">
        <f t="shared" si="35"/>
        <v>94</v>
      </c>
      <c r="G122" s="671">
        <f t="shared" si="35"/>
        <v>92</v>
      </c>
      <c r="H122" s="671">
        <f t="shared" si="35"/>
        <v>90</v>
      </c>
      <c r="I122" s="671">
        <f t="shared" si="35"/>
        <v>88</v>
      </c>
      <c r="J122" s="671">
        <f t="shared" si="35"/>
        <v>86</v>
      </c>
      <c r="K122" s="671">
        <f t="shared" si="35"/>
        <v>84</v>
      </c>
      <c r="L122" s="671">
        <f t="shared" si="35"/>
        <v>82</v>
      </c>
      <c r="M122" s="672">
        <f t="shared" si="35"/>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6">C124-$K42</f>
        <v>98</v>
      </c>
      <c r="E124" s="671">
        <f t="shared" si="36"/>
        <v>96</v>
      </c>
      <c r="F124" s="671">
        <f t="shared" si="36"/>
        <v>94</v>
      </c>
      <c r="G124" s="671">
        <f t="shared" si="36"/>
        <v>92</v>
      </c>
      <c r="H124" s="671">
        <f t="shared" si="36"/>
        <v>90</v>
      </c>
      <c r="I124" s="671">
        <f t="shared" si="36"/>
        <v>88</v>
      </c>
      <c r="J124" s="671">
        <f t="shared" si="36"/>
        <v>86</v>
      </c>
      <c r="K124" s="671">
        <f t="shared" si="36"/>
        <v>84</v>
      </c>
      <c r="L124" s="671">
        <f t="shared" si="36"/>
        <v>82</v>
      </c>
      <c r="M124" s="672">
        <f t="shared" si="36"/>
        <v>80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3099</v>
      </c>
      <c r="D125" s="1327" t="s">
        <v>3101</v>
      </c>
      <c r="E125" s="1327" t="s">
        <v>3102</v>
      </c>
      <c r="F125" s="1327" t="s">
        <v>3103</v>
      </c>
      <c r="G125" s="1327" t="s">
        <v>3104</v>
      </c>
      <c r="H125" s="3304" t="s">
        <v>3100</v>
      </c>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37">D126-$K43</f>
        <v>96</v>
      </c>
      <c r="F126" s="671">
        <f t="shared" si="37"/>
        <v>94</v>
      </c>
      <c r="G126" s="671">
        <f t="shared" si="37"/>
        <v>92</v>
      </c>
      <c r="H126" s="671">
        <f t="shared" si="37"/>
        <v>90</v>
      </c>
      <c r="I126" s="671">
        <f t="shared" si="37"/>
        <v>88</v>
      </c>
      <c r="J126" s="671">
        <f t="shared" si="37"/>
        <v>86</v>
      </c>
      <c r="K126" s="671">
        <f t="shared" si="37"/>
        <v>84</v>
      </c>
      <c r="L126" s="671">
        <f t="shared" si="37"/>
        <v>82</v>
      </c>
      <c r="M126" s="672">
        <f t="shared" si="37"/>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8">C128-$K44</f>
        <v>98</v>
      </c>
      <c r="E128" s="671">
        <f t="shared" si="38"/>
        <v>96</v>
      </c>
      <c r="F128" s="671">
        <f t="shared" si="38"/>
        <v>94</v>
      </c>
      <c r="G128" s="671">
        <f t="shared" si="38"/>
        <v>92</v>
      </c>
      <c r="H128" s="671">
        <f t="shared" si="38"/>
        <v>90</v>
      </c>
      <c r="I128" s="671">
        <f t="shared" si="38"/>
        <v>88</v>
      </c>
      <c r="J128" s="671">
        <f t="shared" si="38"/>
        <v>86</v>
      </c>
      <c r="K128" s="671">
        <f t="shared" si="38"/>
        <v>84</v>
      </c>
      <c r="L128" s="671">
        <f t="shared" si="38"/>
        <v>82</v>
      </c>
      <c r="M128" s="672">
        <f t="shared" si="38"/>
        <v>80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88" workbookViewId="0">
      <selection activeCell="A84" sqref="A84"/>
    </sheetView>
  </sheetViews>
  <sheetFormatPr defaultRowHeight="13.5"/>
  <sheetData>
    <row r="1" spans="1:12">
      <c r="A1" s="3286" t="s">
        <v>3026</v>
      </c>
      <c r="B1" s="3286" t="s">
        <v>3027</v>
      </c>
      <c r="C1" s="3286" t="s">
        <v>3028</v>
      </c>
      <c r="D1" s="3286" t="s">
        <v>3029</v>
      </c>
      <c r="E1" s="3286" t="s">
        <v>2021</v>
      </c>
      <c r="F1" s="3286" t="s">
        <v>3030</v>
      </c>
      <c r="G1" s="3286" t="s">
        <v>3031</v>
      </c>
      <c r="H1" s="3286" t="s">
        <v>3032</v>
      </c>
      <c r="I1" s="3286" t="s">
        <v>3033</v>
      </c>
      <c r="J1" s="3286" t="s">
        <v>3034</v>
      </c>
      <c r="K1" s="3286" t="s">
        <v>3035</v>
      </c>
      <c r="L1" s="3286" t="s">
        <v>3036</v>
      </c>
    </row>
    <row r="2" spans="1:12">
      <c r="A2" s="3286" t="s">
        <v>3037</v>
      </c>
      <c r="B2" s="3286" t="s">
        <v>3038</v>
      </c>
      <c r="C2" s="3286">
        <v>138746.29999999999</v>
      </c>
      <c r="D2" s="3286">
        <v>486596</v>
      </c>
      <c r="E2" s="3286">
        <v>3.51</v>
      </c>
      <c r="F2" s="3286" t="s">
        <v>3039</v>
      </c>
      <c r="G2" s="3286" t="s">
        <v>3040</v>
      </c>
      <c r="H2" s="3286">
        <v>866300</v>
      </c>
      <c r="I2" s="3286">
        <v>866300</v>
      </c>
      <c r="J2" s="3286">
        <v>17803.27</v>
      </c>
      <c r="K2" s="3286">
        <v>0</v>
      </c>
      <c r="L2" s="3286" t="s">
        <v>3041</v>
      </c>
    </row>
    <row r="3" spans="1:12">
      <c r="A3" s="3286" t="s">
        <v>3042</v>
      </c>
      <c r="B3" s="3286" t="s">
        <v>3038</v>
      </c>
      <c r="C3" s="3286">
        <v>35230.230000000003</v>
      </c>
      <c r="D3" s="3286">
        <v>88076</v>
      </c>
      <c r="E3" s="3286">
        <v>2.5</v>
      </c>
      <c r="F3" s="3286" t="s">
        <v>3039</v>
      </c>
      <c r="G3" s="3286" t="s">
        <v>3043</v>
      </c>
      <c r="H3" s="3286">
        <v>62000</v>
      </c>
      <c r="I3" s="3286">
        <v>62000</v>
      </c>
      <c r="J3" s="3286">
        <v>7039.38</v>
      </c>
      <c r="K3" s="3286">
        <v>0</v>
      </c>
      <c r="L3" s="3286" t="s">
        <v>3044</v>
      </c>
    </row>
    <row r="4" spans="1:12">
      <c r="A4" s="3287" t="s">
        <v>3045</v>
      </c>
      <c r="B4" s="3287" t="s">
        <v>3038</v>
      </c>
      <c r="C4" s="3287">
        <v>39744.120000000003</v>
      </c>
      <c r="D4" s="3287">
        <v>119232</v>
      </c>
      <c r="E4" s="3287">
        <v>3</v>
      </c>
      <c r="F4" s="3287" t="s">
        <v>3039</v>
      </c>
      <c r="G4" s="3287" t="s">
        <v>3046</v>
      </c>
      <c r="H4" s="3287">
        <v>227000</v>
      </c>
      <c r="I4" s="3287">
        <v>292000</v>
      </c>
      <c r="J4" s="3287">
        <v>24490.06</v>
      </c>
      <c r="K4" s="3287">
        <v>28.63</v>
      </c>
      <c r="L4" s="3287" t="s">
        <v>3047</v>
      </c>
    </row>
    <row r="5" spans="1:12">
      <c r="A5" s="3286" t="s">
        <v>3048</v>
      </c>
      <c r="B5" s="3286" t="s">
        <v>3038</v>
      </c>
      <c r="C5" s="3286">
        <v>92055.95</v>
      </c>
      <c r="D5" s="3286">
        <v>92056</v>
      </c>
      <c r="E5" s="3286">
        <v>1</v>
      </c>
      <c r="F5" s="3286" t="s">
        <v>3049</v>
      </c>
      <c r="G5" s="3286" t="s">
        <v>3050</v>
      </c>
      <c r="H5" s="3286" t="s">
        <v>2798</v>
      </c>
      <c r="I5" s="3286">
        <v>285373.59000000003</v>
      </c>
      <c r="J5" s="3286">
        <v>31000</v>
      </c>
      <c r="K5" s="3286" t="s">
        <v>2798</v>
      </c>
      <c r="L5" s="3286" t="s">
        <v>3051</v>
      </c>
    </row>
    <row r="6" spans="1:12">
      <c r="A6" s="3287" t="s">
        <v>3052</v>
      </c>
      <c r="B6" s="3287" t="s">
        <v>3038</v>
      </c>
      <c r="C6" s="3287">
        <v>46165.91</v>
      </c>
      <c r="D6" s="3287">
        <v>92332</v>
      </c>
      <c r="E6" s="3287">
        <v>2</v>
      </c>
      <c r="F6" s="3287" t="s">
        <v>3039</v>
      </c>
      <c r="G6" s="3287" t="s">
        <v>3053</v>
      </c>
      <c r="H6" s="3287">
        <v>176000</v>
      </c>
      <c r="I6" s="3287">
        <v>225000</v>
      </c>
      <c r="J6" s="3287">
        <v>24368.58</v>
      </c>
      <c r="K6" s="3287">
        <v>27.84</v>
      </c>
      <c r="L6" s="3287" t="s">
        <v>3054</v>
      </c>
    </row>
    <row r="7" spans="1:12">
      <c r="A7" s="3287" t="s">
        <v>3055</v>
      </c>
      <c r="B7" s="3287" t="s">
        <v>3038</v>
      </c>
      <c r="C7" s="3287">
        <v>38100</v>
      </c>
      <c r="D7" s="3287">
        <v>76200</v>
      </c>
      <c r="E7" s="3287">
        <v>2</v>
      </c>
      <c r="F7" s="3287" t="s">
        <v>3039</v>
      </c>
      <c r="G7" s="3287" t="s">
        <v>3053</v>
      </c>
      <c r="H7" s="3287">
        <v>145000</v>
      </c>
      <c r="I7" s="3287">
        <v>204000</v>
      </c>
      <c r="J7" s="3287">
        <v>26771.65</v>
      </c>
      <c r="K7" s="3287">
        <v>40.69</v>
      </c>
      <c r="L7" s="3287" t="s">
        <v>3056</v>
      </c>
    </row>
    <row r="8" spans="1:12">
      <c r="A8" s="3286" t="s">
        <v>3057</v>
      </c>
      <c r="B8" s="3286" t="s">
        <v>3038</v>
      </c>
      <c r="C8" s="3286">
        <v>2070793</v>
      </c>
      <c r="D8" s="3286">
        <v>1642730</v>
      </c>
      <c r="E8" s="3286">
        <v>0.79</v>
      </c>
      <c r="F8" s="3286" t="s">
        <v>3039</v>
      </c>
      <c r="G8" s="3286" t="s">
        <v>3058</v>
      </c>
      <c r="H8" s="3286">
        <v>870000</v>
      </c>
      <c r="I8" s="3286">
        <v>870000</v>
      </c>
      <c r="J8" s="3286">
        <v>5296.06</v>
      </c>
      <c r="K8" s="3286">
        <v>0</v>
      </c>
      <c r="L8" s="3286" t="s">
        <v>3059</v>
      </c>
    </row>
    <row r="9" spans="1:12">
      <c r="A9" s="3286" t="s">
        <v>3060</v>
      </c>
      <c r="B9" s="3286" t="s">
        <v>3038</v>
      </c>
      <c r="C9" s="3286">
        <v>18313.7</v>
      </c>
      <c r="D9" s="3286">
        <v>119400</v>
      </c>
      <c r="E9" s="3286">
        <v>6.52</v>
      </c>
      <c r="F9" s="3286" t="s">
        <v>3049</v>
      </c>
      <c r="G9" s="3286" t="s">
        <v>3061</v>
      </c>
      <c r="H9" s="3286" t="s">
        <v>2798</v>
      </c>
      <c r="I9" s="3286">
        <v>415000</v>
      </c>
      <c r="J9" s="3286">
        <v>34757.120000000003</v>
      </c>
      <c r="K9" s="3286" t="s">
        <v>2798</v>
      </c>
      <c r="L9" s="3286" t="s">
        <v>3062</v>
      </c>
    </row>
    <row r="10" spans="1:12">
      <c r="A10" s="3286" t="s">
        <v>3063</v>
      </c>
      <c r="B10" s="3286" t="s">
        <v>3038</v>
      </c>
      <c r="C10" s="3286">
        <v>166012.29999999999</v>
      </c>
      <c r="D10" s="3286">
        <v>332025</v>
      </c>
      <c r="E10" s="3286">
        <v>2</v>
      </c>
      <c r="F10" s="3286" t="s">
        <v>3039</v>
      </c>
      <c r="G10" s="3286" t="s">
        <v>3064</v>
      </c>
      <c r="H10" s="3286">
        <v>240045</v>
      </c>
      <c r="I10" s="3286">
        <v>240045</v>
      </c>
      <c r="J10" s="3286">
        <v>7229.72</v>
      </c>
      <c r="K10" s="3286">
        <v>0</v>
      </c>
      <c r="L10" s="3286" t="s">
        <v>3065</v>
      </c>
    </row>
    <row r="11" spans="1:12">
      <c r="A11" s="3286" t="s">
        <v>3066</v>
      </c>
      <c r="B11" s="3286" t="s">
        <v>3038</v>
      </c>
      <c r="C11" s="3286">
        <v>65873.39</v>
      </c>
      <c r="D11" s="3286">
        <v>164683</v>
      </c>
      <c r="E11" s="3286">
        <v>2.5</v>
      </c>
      <c r="F11" s="3286" t="s">
        <v>3039</v>
      </c>
      <c r="G11" s="3286" t="s">
        <v>3067</v>
      </c>
      <c r="H11" s="3286">
        <v>78000</v>
      </c>
      <c r="I11" s="3286">
        <v>108000</v>
      </c>
      <c r="J11" s="3286">
        <v>6558.05</v>
      </c>
      <c r="K11" s="3286">
        <v>38.46</v>
      </c>
      <c r="L11" s="3286" t="s">
        <v>3068</v>
      </c>
    </row>
    <row r="12" spans="1:12">
      <c r="A12" s="3286" t="s">
        <v>3069</v>
      </c>
      <c r="B12" s="3286" t="s">
        <v>3038</v>
      </c>
      <c r="C12" s="3286">
        <v>9542.5300000000007</v>
      </c>
      <c r="D12" s="3286">
        <v>36580</v>
      </c>
      <c r="E12" s="3286">
        <v>3.83</v>
      </c>
      <c r="F12" s="3286" t="s">
        <v>3039</v>
      </c>
      <c r="G12" s="3286" t="s">
        <v>3070</v>
      </c>
      <c r="H12" s="3286">
        <v>120000</v>
      </c>
      <c r="I12" s="3286">
        <v>169500</v>
      </c>
      <c r="J12" s="3286">
        <v>46336.800000000003</v>
      </c>
      <c r="K12" s="3286">
        <v>41.25</v>
      </c>
      <c r="L12" s="3286" t="s">
        <v>3071</v>
      </c>
    </row>
    <row r="13" spans="1:12">
      <c r="A13" s="3286" t="s">
        <v>3072</v>
      </c>
      <c r="B13" s="3286" t="s">
        <v>3038</v>
      </c>
      <c r="C13" s="3286">
        <v>47100</v>
      </c>
      <c r="D13" s="3286">
        <v>450000</v>
      </c>
      <c r="E13" s="3286">
        <v>9.5500000000000007</v>
      </c>
      <c r="F13" s="3286" t="s">
        <v>3049</v>
      </c>
      <c r="G13" s="3286" t="s">
        <v>3073</v>
      </c>
      <c r="H13" s="3286" t="s">
        <v>2798</v>
      </c>
      <c r="I13" s="3286">
        <v>503990</v>
      </c>
      <c r="J13" s="3286">
        <v>11199.78</v>
      </c>
      <c r="K13" s="3286" t="s">
        <v>2798</v>
      </c>
      <c r="L13" s="3286" t="s">
        <v>3074</v>
      </c>
    </row>
    <row r="14" spans="1:12">
      <c r="A14" s="3286" t="s">
        <v>3075</v>
      </c>
      <c r="B14" s="3286" t="s">
        <v>3038</v>
      </c>
      <c r="C14" s="3286">
        <v>37656</v>
      </c>
      <c r="D14" s="3286">
        <v>131600</v>
      </c>
      <c r="E14" s="3286">
        <v>3.49</v>
      </c>
      <c r="F14" s="3286" t="s">
        <v>3049</v>
      </c>
      <c r="G14" s="3286" t="s">
        <v>3076</v>
      </c>
      <c r="H14" s="3286" t="s">
        <v>2798</v>
      </c>
      <c r="I14" s="3286">
        <v>151603.20000000001</v>
      </c>
      <c r="J14" s="3286">
        <v>11520</v>
      </c>
      <c r="K14" s="3286" t="s">
        <v>2798</v>
      </c>
      <c r="L14" s="3286" t="s">
        <v>3077</v>
      </c>
    </row>
    <row r="15" spans="1:12">
      <c r="A15" s="3286" t="s">
        <v>3078</v>
      </c>
      <c r="B15" s="3286" t="s">
        <v>3038</v>
      </c>
      <c r="C15" s="3286">
        <v>14124.26</v>
      </c>
      <c r="D15" s="3286">
        <v>119961</v>
      </c>
      <c r="E15" s="3286">
        <v>8.49</v>
      </c>
      <c r="F15" s="3286" t="s">
        <v>3049</v>
      </c>
      <c r="G15" s="3286" t="s">
        <v>3076</v>
      </c>
      <c r="H15" s="3286" t="s">
        <v>2798</v>
      </c>
      <c r="I15" s="3286">
        <v>135700</v>
      </c>
      <c r="J15" s="3286">
        <v>11312.01</v>
      </c>
      <c r="K15" s="3286" t="s">
        <v>2798</v>
      </c>
      <c r="L15" s="3286" t="s">
        <v>3079</v>
      </c>
    </row>
    <row r="16" spans="1:12">
      <c r="A16" s="3286" t="s">
        <v>3080</v>
      </c>
      <c r="B16" s="3286" t="s">
        <v>3038</v>
      </c>
      <c r="C16" s="3286">
        <v>39645</v>
      </c>
      <c r="D16" s="3286">
        <v>189500</v>
      </c>
      <c r="E16" s="3286">
        <v>4.78</v>
      </c>
      <c r="F16" s="3286" t="s">
        <v>3049</v>
      </c>
      <c r="G16" s="3286" t="s">
        <v>3076</v>
      </c>
      <c r="H16" s="3286" t="s">
        <v>2798</v>
      </c>
      <c r="I16" s="3286">
        <v>218304</v>
      </c>
      <c r="J16" s="3286">
        <v>11520</v>
      </c>
      <c r="K16" s="3286" t="s">
        <v>2798</v>
      </c>
      <c r="L16" s="3286" t="s">
        <v>3081</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5" t="str">
        <f>项目基本情况!B1</f>
        <v>北京市出让国有建设用地使用权抵押价格预评估</v>
      </c>
      <c r="C37" s="3305"/>
      <c r="D37" s="3305"/>
      <c r="E37" s="3305"/>
      <c r="F37" s="3305"/>
      <c r="G37" s="3305"/>
      <c r="H37" s="3305"/>
      <c r="I37" s="330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8" sqref="C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31" s="1925" customFormat="1" ht="18" customHeight="1">
      <c r="A2" s="1984" t="s">
        <v>461</v>
      </c>
      <c r="B2" s="1988">
        <f ca="1">C36</f>
        <v>123314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8346</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78434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5229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260125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5">
      <c r="A7" s="2550" t="s">
        <v>464</v>
      </c>
      <c r="B7" s="2551" t="s">
        <v>465</v>
      </c>
      <c r="C7" s="430" t="s">
        <v>1668</v>
      </c>
      <c r="D7" s="430" t="s">
        <v>3009</v>
      </c>
      <c r="E7" s="430" t="s">
        <v>35</v>
      </c>
      <c r="F7" s="430"/>
      <c r="G7" s="430"/>
      <c r="H7" s="430"/>
      <c r="I7" s="430"/>
      <c r="J7" s="430"/>
      <c r="K7" s="431"/>
      <c r="AA7" s="1995"/>
      <c r="AB7" s="1995"/>
      <c r="AC7" s="1995"/>
      <c r="AD7" s="1995"/>
      <c r="AE7" s="1995"/>
    </row>
    <row r="8" spans="1:31" s="1998" customFormat="1" ht="13.5" customHeight="1">
      <c r="A8" s="793" t="s">
        <v>1836</v>
      </c>
      <c r="B8" s="259" t="s">
        <v>466</v>
      </c>
      <c r="C8" s="2552">
        <f ca="1">'不动产收益法-办公'!B3</f>
        <v>22098</v>
      </c>
      <c r="D8" s="2552">
        <f ca="1">'不动产收益法-商业'!B3</f>
        <v>22508</v>
      </c>
      <c r="E8" s="2552">
        <f ca="1">'不动产收益法-车库'!B3</f>
        <v>1072</v>
      </c>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50449.86</v>
      </c>
      <c r="D9" s="435">
        <f>SUMIF('数据-汇总表'!$C19:$C33,'剩余法-待开发'!D7,'数据-汇总表'!$E19:$E33)</f>
        <v>64883.439999999995</v>
      </c>
      <c r="E9" s="435">
        <f>SUMIF('数据-汇总表'!$C19:$C33,'剩余法-待开发'!E7,'数据-汇总表'!$E19:$E33)</f>
        <v>24252.63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'不动产收益法-办公'!B2</f>
        <v>111486</v>
      </c>
      <c r="D10" s="2743">
        <f ca="1">'不动产收益法-商业'!B2</f>
        <v>146040</v>
      </c>
      <c r="E10" s="2743">
        <f ca="1">'不动产收益法-车库'!B2</f>
        <v>2599</v>
      </c>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1839</v>
      </c>
      <c r="B13" s="2561" t="s">
        <v>473</v>
      </c>
      <c r="C13" s="444">
        <f ca="1">IF(B1="",'数据-取费表'!P16,INDIRECT("'数据-取费表'!p"&amp;$K$1)+INDIRECT("'数据-取费表'!t"&amp;$K$1))</f>
        <v>57970</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1739</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2955</v>
      </c>
      <c r="D16" s="2562">
        <f ca="1">IF(B1="",'数据-汇总表'!E3,INDIRECT("'数据-取费表'!K"&amp;$K$1)+INDIRECT("'数据-取费表'!S"&amp;$K$1))</f>
        <v>147743.9</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870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63534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147743.9</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7" t="s">
        <v>3098</v>
      </c>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2955</v>
      </c>
      <c r="D22" s="2562">
        <f ca="1">IF(B1="",'数据-汇总表'!E6,IF(INDIRECT("'数据-取费表'!c"&amp;$K$1)="住宅",INDIRECT("'数据-取费表'!s"&amp;$K$1),INDIRECT("'数据-取费表'!k"&amp;$K$1)+INDIRECT("'数据-取费表'!s"&amp;$K$1)))</f>
        <v>147743.9</v>
      </c>
      <c r="E22" s="53">
        <f>'数据-取费表'!B28</f>
        <v>200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1271</v>
      </c>
      <c r="D23" s="462"/>
      <c r="E23" s="462"/>
      <c r="F23" s="2574">
        <f>'数据-取费表'!B37</f>
        <v>0.02</v>
      </c>
      <c r="G23" s="2530" t="s">
        <v>2415</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5203</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1852</v>
      </c>
      <c r="B26" s="2750" t="s">
        <v>2816</v>
      </c>
      <c r="C26" s="2575">
        <f ca="1">C28</f>
        <v>5047</v>
      </c>
      <c r="D26" s="461">
        <f ca="1">C27</f>
        <v>0.1537</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1847</v>
      </c>
      <c r="B27" s="2576" t="s">
        <v>490</v>
      </c>
      <c r="C27" s="2577">
        <f ca="1">ROUND(IF('数据-取费表'!B22&lt;=1,(1+C25)*F26*'数据-取费表'!B24,(1+C25)*(POWER((1+F26),'数据-取费表'!B24)-1)),4)</f>
        <v>0.1537</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1848</v>
      </c>
      <c r="B28" s="2576" t="s">
        <v>2818</v>
      </c>
      <c r="C28" s="2578">
        <f ca="1">ROUND(IF('数据-取费表'!B22&lt;=1,(C18+C19+C20+C23+C24)*F26*'数据-取费表'!B24/2,(C18+C19+C20+C23+C24)*(POWER((1+F26),'数据-取费表'!B24/2)-1)),0)</f>
        <v>5047</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1853</v>
      </c>
      <c r="B29" s="2569" t="s">
        <v>491</v>
      </c>
      <c r="C29" s="2570">
        <f ca="1">ROUND(C6*F29/(1+'数据-取费表'!C42),0)</f>
        <v>13626</v>
      </c>
      <c r="D29" s="462"/>
      <c r="E29" s="462"/>
      <c r="F29" s="2751">
        <f>'数据-取费表'!B41</f>
        <v>5.5000000000000007E-2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1854</v>
      </c>
      <c r="B30" s="2580" t="s">
        <v>494</v>
      </c>
      <c r="C30" s="2575">
        <f ca="1">C31</f>
        <v>88681</v>
      </c>
      <c r="D30" s="471">
        <f ca="1">C32</f>
        <v>0.1827</v>
      </c>
      <c r="E30" s="463" t="s">
        <v>489</v>
      </c>
      <c r="F30" s="465"/>
      <c r="G30" s="2538" t="s">
        <v>2937</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1847</v>
      </c>
      <c r="B31" s="2576"/>
      <c r="C31" s="444">
        <f ca="1">C18+C19+C20+C23+C24+C26+C29</f>
        <v>88681</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1848</v>
      </c>
      <c r="B32" s="2576"/>
      <c r="C32" s="53">
        <f ca="1">ROUND(C25+D26,4)</f>
        <v>0.1827</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2813</v>
      </c>
      <c r="B33" s="2746" t="s">
        <v>2811</v>
      </c>
      <c r="C33" s="472">
        <f ca="1">C35</f>
        <v>9101</v>
      </c>
      <c r="D33" s="461">
        <f ca="1">C34</f>
        <v>0.1338</v>
      </c>
      <c r="E33" s="463" t="s">
        <v>489</v>
      </c>
      <c r="F33" s="473">
        <f ca="1">IF(B1="",'数据-取费表'!Q16,INDIRECT("'数据-取费表'!q"&amp;$K$1))</f>
        <v>0.13</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1847</v>
      </c>
      <c r="B34" s="2581" t="s">
        <v>495</v>
      </c>
      <c r="C34" s="466">
        <f ca="1">ROUND((1+C25)*F33,4)</f>
        <v>0.1338</v>
      </c>
      <c r="D34" s="466"/>
      <c r="E34" s="467"/>
      <c r="F34" s="474"/>
      <c r="G34" s="259" t="s">
        <v>2278</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1848</v>
      </c>
      <c r="B35" s="2747" t="s">
        <v>2819</v>
      </c>
      <c r="C35" s="1557">
        <f ca="1">ROUND((C18+C19+C20+C23+C24)*F33,0)</f>
        <v>9101</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1835</v>
      </c>
      <c r="B36" s="2544"/>
      <c r="C36" s="2583">
        <f ca="1">ROUND((C6-C30-C33)/(1+D30+D33),0)</f>
        <v>123314</v>
      </c>
      <c r="D36" s="2544"/>
      <c r="E36" s="2544"/>
      <c r="F36" s="2544"/>
      <c r="G36" s="2543" t="s">
        <v>2820</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9</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1839</v>
      </c>
      <c r="B13" s="443" t="s">
        <v>473</v>
      </c>
      <c r="C13" s="444">
        <f ca="1">IF(B1="",'数据-取费表'!M16,INDIRECT("'数据-取费表'!M"&amp;$K$1)+INDIRECT("'数据-取费表'!t"&amp;$K$1))</f>
        <v>57970</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1739</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2955</v>
      </c>
      <c r="D16" s="445">
        <f ca="1">IF(B1="",'数据-汇总表'!E3,INDIRECT("'数据-取费表'!K"&amp;$K$1)+INDIRECT("'数据-取费表'!S"&amp;$K$1))</f>
        <v>147743.9</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870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63534</v>
      </c>
      <c r="D18" s="455"/>
      <c r="E18" s="456"/>
      <c r="F18" s="456"/>
      <c r="G18" s="1281" t="s">
        <v>2416</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1845</v>
      </c>
      <c r="B19" s="453" t="s">
        <v>487</v>
      </c>
      <c r="C19" s="454">
        <f ca="1">ROUND(C18*F19,0)</f>
        <v>1271</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1849</v>
      </c>
      <c r="B21" s="455" t="s">
        <v>488</v>
      </c>
      <c r="C21" s="464">
        <f ca="1">C22</f>
        <v>4672</v>
      </c>
      <c r="D21" s="461">
        <f ca="1">C23</f>
        <v>1.4E-3</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2437</v>
      </c>
      <c r="M21" s="3210"/>
      <c r="N21" s="3210"/>
      <c r="O21" s="3210"/>
      <c r="P21" s="3210"/>
      <c r="Q21" s="3203"/>
      <c r="R21" s="3203"/>
      <c r="S21" s="3203"/>
      <c r="T21" s="3203"/>
      <c r="U21" s="3203"/>
      <c r="V21" s="3203"/>
      <c r="W21" s="3203"/>
      <c r="X21" s="3203"/>
      <c r="Y21" s="3203"/>
      <c r="Z21" s="3203"/>
    </row>
    <row r="22" spans="1:26" s="2003" customFormat="1" ht="13.5" customHeight="1">
      <c r="A22" s="1562" t="s">
        <v>1839</v>
      </c>
      <c r="B22" s="1282" t="s">
        <v>2419</v>
      </c>
      <c r="C22" s="481">
        <f ca="1">ROUND(IF('数据-取费表'!B22&lt;=1,(C18+C19)*F21*'数据-取费表'!B20/2,(C18+C19)*(POWER((1+F21),'数据-取费表'!B20/2)-1)),0)</f>
        <v>4672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1840</v>
      </c>
      <c r="B23" s="1282" t="s">
        <v>502</v>
      </c>
      <c r="C23" s="482">
        <f ca="1">ROUND(IF('数据-取费表'!B22&lt;=1,F20*F21*'数据-取费表'!B20/2,F20*(POWER((1+F21),'数据-取费表'!B20/2)-1)),4)</f>
        <v>1.4E-3</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1850</v>
      </c>
      <c r="B24" s="2746" t="s">
        <v>2812</v>
      </c>
      <c r="C24" s="472">
        <f ca="1">C25</f>
        <v>8425</v>
      </c>
      <c r="D24" s="483">
        <f ca="1">C26</f>
        <v>2.5999999999999999E-3</v>
      </c>
      <c r="E24" s="463" t="s">
        <v>501</v>
      </c>
      <c r="F24" s="473">
        <f ca="1">IF(B1="",'数据-取费表'!Q16,INDIRECT("'数据-取费表'!q"&amp;$K$1))</f>
        <v>0.13</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1839</v>
      </c>
      <c r="B25" s="1282" t="s">
        <v>2420</v>
      </c>
      <c r="C25" s="484">
        <f ca="1">ROUND((C18+C19)*F24,0)</f>
        <v>8425</v>
      </c>
      <c r="D25" s="466"/>
      <c r="E25" s="467"/>
      <c r="F25" s="474"/>
      <c r="G25" s="1280" t="s">
        <v>2417</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1840</v>
      </c>
      <c r="B26" s="1282" t="s">
        <v>503</v>
      </c>
      <c r="C26" s="485">
        <f ca="1">ROUND(F20*F24,4)</f>
        <v>2.5999999999999999E-3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1859</v>
      </c>
      <c r="B28" s="470" t="s">
        <v>506</v>
      </c>
      <c r="C28" s="464">
        <f ca="1">ROUND((C18+C19+C21+C24)/(1-C20-D21-D24-C27),0)</f>
        <v>84346</v>
      </c>
      <c r="D28" s="471"/>
      <c r="E28" s="463"/>
      <c r="F28" s="465"/>
      <c r="G28" s="1281" t="s">
        <v>2418</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2938</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1676</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5">
      <c r="A6" s="506" t="s">
        <v>515</v>
      </c>
      <c r="B6" s="507"/>
      <c r="C6" s="3487" t="s">
        <v>516</v>
      </c>
      <c r="D6" s="3488"/>
      <c r="E6" s="3522" t="s">
        <v>517</v>
      </c>
      <c r="F6" s="3523"/>
      <c r="G6" s="3487" t="s">
        <v>518</v>
      </c>
      <c r="H6" s="3488"/>
      <c r="I6" s="3487" t="s">
        <v>519</v>
      </c>
      <c r="J6" s="3488"/>
      <c r="K6" s="508" t="s">
        <v>520</v>
      </c>
      <c r="L6" s="2016"/>
      <c r="M6" s="2017"/>
      <c r="N6" s="2017"/>
      <c r="O6" s="2017"/>
      <c r="P6" s="3489" t="s">
        <v>521</v>
      </c>
      <c r="Q6" s="3490"/>
      <c r="R6" s="3495" t="s">
        <v>517</v>
      </c>
      <c r="S6" s="3496"/>
      <c r="T6" s="3495" t="s">
        <v>518</v>
      </c>
      <c r="U6" s="3496"/>
      <c r="V6" s="3482" t="s">
        <v>519</v>
      </c>
      <c r="W6" s="3482"/>
      <c r="X6" s="1502"/>
      <c r="Y6" s="3495" t="s">
        <v>521</v>
      </c>
      <c r="Z6" s="3496"/>
      <c r="AA6" s="3484" t="s">
        <v>517</v>
      </c>
      <c r="AB6" s="3485" t="s">
        <v>518</v>
      </c>
      <c r="AC6" s="3484" t="s">
        <v>519</v>
      </c>
    </row>
    <row r="7" spans="1:29" ht="15">
      <c r="A7" s="509"/>
      <c r="B7" s="510"/>
      <c r="C7" s="3503" t="s">
        <v>2898</v>
      </c>
      <c r="D7" s="3504"/>
      <c r="E7" s="3524" t="s">
        <v>2899</v>
      </c>
      <c r="F7" s="3525"/>
      <c r="G7" s="3503" t="s">
        <v>2900</v>
      </c>
      <c r="H7" s="3504"/>
      <c r="I7" s="3503" t="s">
        <v>2901</v>
      </c>
      <c r="J7" s="3504"/>
      <c r="K7" s="508"/>
      <c r="L7" s="2016"/>
      <c r="M7" s="2017"/>
      <c r="N7" s="2017"/>
      <c r="O7" s="2017"/>
      <c r="P7" s="3491"/>
      <c r="Q7" s="3492"/>
      <c r="R7" s="3497"/>
      <c r="S7" s="3498"/>
      <c r="T7" s="3497"/>
      <c r="U7" s="3498"/>
      <c r="V7" s="3482"/>
      <c r="W7" s="3482"/>
      <c r="X7" s="1502"/>
      <c r="Y7" s="3497"/>
      <c r="Z7" s="3498"/>
      <c r="AA7" s="3485"/>
      <c r="AB7" s="3485"/>
      <c r="AC7" s="3485"/>
    </row>
    <row r="8" spans="1:29" ht="15.75" thickBot="1">
      <c r="A8" s="511"/>
      <c r="B8" s="512"/>
      <c r="C8" s="3501" t="s">
        <v>2902</v>
      </c>
      <c r="D8" s="3502"/>
      <c r="E8" s="3520" t="s">
        <v>2902</v>
      </c>
      <c r="F8" s="3521"/>
      <c r="G8" s="3501" t="s">
        <v>2902</v>
      </c>
      <c r="H8" s="3502"/>
      <c r="I8" s="3501" t="s">
        <v>2902</v>
      </c>
      <c r="J8" s="3502"/>
      <c r="K8" s="508" t="s">
        <v>522</v>
      </c>
      <c r="L8" s="2016"/>
      <c r="M8" s="2017"/>
      <c r="N8" s="2017"/>
      <c r="O8" s="2017"/>
      <c r="P8" s="3493"/>
      <c r="Q8" s="3494"/>
      <c r="R8" s="3497"/>
      <c r="S8" s="3498"/>
      <c r="T8" s="3499"/>
      <c r="U8" s="3500"/>
      <c r="V8" s="3482"/>
      <c r="W8" s="3482"/>
      <c r="X8" s="1502"/>
      <c r="Y8" s="3499"/>
      <c r="Z8" s="3500"/>
      <c r="AA8" s="3486"/>
      <c r="AB8" s="3486"/>
      <c r="AC8" s="3486"/>
    </row>
    <row r="9" spans="1:29" s="1203" customFormat="1" ht="15.75" thickBot="1">
      <c r="A9" s="2630"/>
      <c r="B9" s="2637" t="s">
        <v>523</v>
      </c>
      <c r="C9" s="513">
        <f>'数据-取费表'!B2</f>
        <v>44216</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13" t="s">
        <v>524</v>
      </c>
      <c r="Q9" s="3515"/>
      <c r="R9" s="1503" t="s">
        <v>8</v>
      </c>
      <c r="S9" s="1504">
        <f t="shared" ref="S9:S17" si="0">F9</f>
        <v>0</v>
      </c>
      <c r="T9" s="1503" t="s">
        <v>8</v>
      </c>
      <c r="U9" s="1504">
        <f t="shared" ref="U9:U17" si="1">H9</f>
        <v>0</v>
      </c>
      <c r="V9" s="1503" t="s">
        <v>8</v>
      </c>
      <c r="W9" s="1504">
        <f t="shared" ref="W9:W17" si="2">J9</f>
        <v>0</v>
      </c>
      <c r="X9" s="1505"/>
      <c r="Y9" s="3513" t="s">
        <v>524</v>
      </c>
      <c r="Z9" s="3514"/>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13" t="s">
        <v>527</v>
      </c>
      <c r="Q10" s="3514"/>
      <c r="R10" s="1503" t="s">
        <v>8</v>
      </c>
      <c r="S10" s="1504">
        <f t="shared" si="0"/>
        <v>0</v>
      </c>
      <c r="T10" s="1503" t="s">
        <v>8</v>
      </c>
      <c r="U10" s="1504">
        <f t="shared" si="1"/>
        <v>0</v>
      </c>
      <c r="V10" s="1503" t="s">
        <v>8</v>
      </c>
      <c r="W10" s="1504">
        <f t="shared" si="2"/>
        <v>0</v>
      </c>
      <c r="X10" s="1505"/>
      <c r="Y10" s="3513" t="s">
        <v>527</v>
      </c>
      <c r="Z10" s="3514"/>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81" t="s">
        <v>529</v>
      </c>
      <c r="Q11" s="1134" t="str">
        <f t="shared" ref="Q11:Q17" si="6">B11</f>
        <v>用途</v>
      </c>
      <c r="R11" s="1503" t="s">
        <v>8</v>
      </c>
      <c r="S11" s="1504">
        <f t="shared" si="0"/>
        <v>100</v>
      </c>
      <c r="T11" s="1503" t="s">
        <v>8</v>
      </c>
      <c r="U11" s="1504">
        <f t="shared" si="1"/>
        <v>100</v>
      </c>
      <c r="V11" s="1503" t="s">
        <v>8</v>
      </c>
      <c r="W11" s="1504">
        <f t="shared" si="2"/>
        <v>100</v>
      </c>
      <c r="X11" s="1505"/>
      <c r="Y11" s="3427"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106</v>
      </c>
      <c r="G12" s="522"/>
      <c r="H12" s="253">
        <f>ROUND(100/'数据-取费表'!G16,0)</f>
        <v>106</v>
      </c>
      <c r="I12" s="522"/>
      <c r="J12" s="253">
        <f>ROUND(100/'数据-取费表'!G16,0)</f>
        <v>106</v>
      </c>
      <c r="K12" s="525"/>
      <c r="L12" s="2021"/>
      <c r="M12" s="2060"/>
      <c r="N12" s="2060"/>
      <c r="O12" s="2022"/>
      <c r="P12" s="3481"/>
      <c r="Q12" s="1134" t="str">
        <f t="shared" si="6"/>
        <v>土地使用年限（年）</v>
      </c>
      <c r="R12" s="1503" t="s">
        <v>8</v>
      </c>
      <c r="S12" s="1504">
        <f t="shared" si="0"/>
        <v>106</v>
      </c>
      <c r="T12" s="1503" t="s">
        <v>8</v>
      </c>
      <c r="U12" s="1504">
        <f t="shared" si="1"/>
        <v>106</v>
      </c>
      <c r="V12" s="1503" t="s">
        <v>8</v>
      </c>
      <c r="W12" s="1504">
        <f t="shared" si="2"/>
        <v>106</v>
      </c>
      <c r="X12" s="1505"/>
      <c r="Y12" s="3427"/>
      <c r="Z12" s="1133" t="str">
        <f t="shared" si="7"/>
        <v>土地使用年限（年）</v>
      </c>
      <c r="AA12" s="1506">
        <f t="shared" si="3"/>
        <v>0.94339622641509435</v>
      </c>
      <c r="AB12" s="1506">
        <f t="shared" si="4"/>
        <v>0.94339622641509435</v>
      </c>
      <c r="AC12" s="1506">
        <f t="shared" si="5"/>
        <v>0.94339622641509435</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81"/>
      <c r="Q13" s="1134" t="str">
        <f t="shared" si="6"/>
        <v>容积率</v>
      </c>
      <c r="R13" s="1503" t="s">
        <v>8</v>
      </c>
      <c r="S13" s="1504" t="e">
        <f t="shared" si="0"/>
        <v>#N/A</v>
      </c>
      <c r="T13" s="1503" t="s">
        <v>8</v>
      </c>
      <c r="U13" s="1504" t="e">
        <f t="shared" si="1"/>
        <v>#N/A</v>
      </c>
      <c r="V13" s="1503" t="s">
        <v>8</v>
      </c>
      <c r="W13" s="1504" t="e">
        <f t="shared" si="2"/>
        <v>#N/A</v>
      </c>
      <c r="X13" s="1505"/>
      <c r="Y13" s="3427"/>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81"/>
      <c r="Q15" s="1134">
        <f t="shared" si="6"/>
        <v>111</v>
      </c>
      <c r="R15" s="1503" t="s">
        <v>8</v>
      </c>
      <c r="S15" s="1504">
        <f t="shared" si="0"/>
        <v>100</v>
      </c>
      <c r="T15" s="1503" t="s">
        <v>8</v>
      </c>
      <c r="U15" s="1504">
        <f t="shared" si="1"/>
        <v>100</v>
      </c>
      <c r="V15" s="1503" t="s">
        <v>8</v>
      </c>
      <c r="W15" s="1504">
        <f t="shared" si="2"/>
        <v>100</v>
      </c>
      <c r="X15" s="1505"/>
      <c r="Y15" s="3427"/>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81"/>
      <c r="Q16" s="1134">
        <f t="shared" si="6"/>
        <v>111</v>
      </c>
      <c r="R16" s="1503" t="s">
        <v>8</v>
      </c>
      <c r="S16" s="1504">
        <f t="shared" si="0"/>
        <v>100</v>
      </c>
      <c r="T16" s="1503" t="s">
        <v>8</v>
      </c>
      <c r="U16" s="1504">
        <f t="shared" si="1"/>
        <v>100</v>
      </c>
      <c r="V16" s="1503" t="s">
        <v>8</v>
      </c>
      <c r="W16" s="1504">
        <f t="shared" si="2"/>
        <v>100</v>
      </c>
      <c r="X16" s="1505"/>
      <c r="Y16" s="3427"/>
      <c r="Z16" s="1133">
        <f t="shared" si="7"/>
        <v>111</v>
      </c>
      <c r="AA16" s="1506">
        <f t="shared" si="3"/>
        <v>1</v>
      </c>
      <c r="AB16" s="1506">
        <f t="shared" si="4"/>
        <v>1</v>
      </c>
      <c r="AC16" s="1506">
        <f t="shared" si="5"/>
        <v>1</v>
      </c>
    </row>
    <row r="17" spans="1:29" ht="57">
      <c r="A17" s="2628"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6" t="s">
        <v>534</v>
      </c>
      <c r="Q17" s="1507" t="str">
        <f t="shared" si="6"/>
        <v>产业集聚程度</v>
      </c>
      <c r="R17" s="1508" t="s">
        <v>8</v>
      </c>
      <c r="S17" s="1509">
        <f t="shared" si="0"/>
        <v>100</v>
      </c>
      <c r="T17" s="1508" t="s">
        <v>8</v>
      </c>
      <c r="U17" s="1509">
        <f t="shared" si="1"/>
        <v>100</v>
      </c>
      <c r="V17" s="1508" t="s">
        <v>8</v>
      </c>
      <c r="W17" s="1509">
        <f t="shared" si="2"/>
        <v>100</v>
      </c>
      <c r="X17" s="1502"/>
      <c r="Y17" s="351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7"/>
      <c r="Q18" s="1507"/>
      <c r="R18" s="1508"/>
      <c r="S18" s="1509"/>
      <c r="T18" s="1508"/>
      <c r="U18" s="1509"/>
      <c r="V18" s="1508"/>
      <c r="W18" s="1509"/>
      <c r="X18" s="1502"/>
      <c r="Y18" s="351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7"/>
      <c r="Q19" s="1507" t="str">
        <f>B19</f>
        <v>交通便捷度</v>
      </c>
      <c r="R19" s="1508" t="s">
        <v>8</v>
      </c>
      <c r="S19" s="1509">
        <f>F19</f>
        <v>100</v>
      </c>
      <c r="T19" s="1508" t="s">
        <v>8</v>
      </c>
      <c r="U19" s="1509">
        <f>H19</f>
        <v>100</v>
      </c>
      <c r="V19" s="1508" t="s">
        <v>8</v>
      </c>
      <c r="W19" s="1509">
        <f>J19</f>
        <v>100</v>
      </c>
      <c r="X19" s="1502"/>
      <c r="Y19" s="351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7"/>
      <c r="Q20" s="1507"/>
      <c r="R20" s="1508"/>
      <c r="S20" s="1509"/>
      <c r="T20" s="1508"/>
      <c r="U20" s="1509"/>
      <c r="V20" s="1508"/>
      <c r="W20" s="1509"/>
      <c r="X20" s="1502"/>
      <c r="Y20" s="351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7"/>
      <c r="Q21" s="1507" t="str">
        <f t="shared" ref="Q21:Q35" si="8">B21</f>
        <v>区域土地利用方向</v>
      </c>
      <c r="R21" s="1508" t="s">
        <v>8</v>
      </c>
      <c r="S21" s="1509">
        <f>F21</f>
        <v>100</v>
      </c>
      <c r="T21" s="1508" t="s">
        <v>8</v>
      </c>
      <c r="U21" s="1509">
        <f>H21</f>
        <v>100</v>
      </c>
      <c r="V21" s="1508" t="s">
        <v>8</v>
      </c>
      <c r="W21" s="1509">
        <f>J21</f>
        <v>100</v>
      </c>
      <c r="X21" s="1502"/>
      <c r="Y21" s="351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7"/>
      <c r="Q22" s="1507"/>
      <c r="R22" s="1508"/>
      <c r="S22" s="1509"/>
      <c r="T22" s="1508"/>
      <c r="U22" s="1509"/>
      <c r="V22" s="1508"/>
      <c r="W22" s="1509"/>
      <c r="X22" s="1502"/>
      <c r="Y22" s="351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7"/>
      <c r="Q23" s="1507" t="str">
        <f t="shared" si="8"/>
        <v>环境状况</v>
      </c>
      <c r="R23" s="1508" t="s">
        <v>8</v>
      </c>
      <c r="S23" s="1509">
        <f>F23</f>
        <v>100</v>
      </c>
      <c r="T23" s="1508" t="s">
        <v>8</v>
      </c>
      <c r="U23" s="1509">
        <f>H23</f>
        <v>100</v>
      </c>
      <c r="V23" s="1508" t="s">
        <v>8</v>
      </c>
      <c r="W23" s="1509">
        <f>J23</f>
        <v>100</v>
      </c>
      <c r="X23" s="1502"/>
      <c r="Y23" s="351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7"/>
      <c r="Q24" s="1507"/>
      <c r="R24" s="1508"/>
      <c r="S24" s="1509"/>
      <c r="T24" s="1508"/>
      <c r="U24" s="1509"/>
      <c r="V24" s="1508"/>
      <c r="W24" s="1509"/>
      <c r="X24" s="1502"/>
      <c r="Y24" s="3517"/>
      <c r="Z24" s="1510"/>
      <c r="AA24" s="1511">
        <v>1</v>
      </c>
      <c r="AB24" s="1511">
        <v>1</v>
      </c>
      <c r="AC24" s="1511">
        <v>1</v>
      </c>
    </row>
    <row r="25" spans="1:29" s="1203" customFormat="1" ht="42.75">
      <c r="A25" s="571"/>
      <c r="B25" s="2438"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7"/>
      <c r="Q25" s="1134" t="str">
        <f t="shared" si="8"/>
        <v>公共配套设施</v>
      </c>
      <c r="R25" s="1503" t="s">
        <v>8</v>
      </c>
      <c r="S25" s="1504">
        <f>F25</f>
        <v>100</v>
      </c>
      <c r="T25" s="1503" t="s">
        <v>8</v>
      </c>
      <c r="U25" s="1504">
        <f>H25</f>
        <v>100</v>
      </c>
      <c r="V25" s="1503" t="s">
        <v>8</v>
      </c>
      <c r="W25" s="1504">
        <f>J25</f>
        <v>100</v>
      </c>
      <c r="X25" s="1505"/>
      <c r="Y25" s="3517"/>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7"/>
      <c r="Q26" s="1134"/>
      <c r="R26" s="1503"/>
      <c r="S26" s="1504"/>
      <c r="T26" s="1503"/>
      <c r="U26" s="1504"/>
      <c r="V26" s="1503"/>
      <c r="W26" s="1504"/>
      <c r="X26" s="1505"/>
      <c r="Y26" s="3517"/>
      <c r="Z26" s="1133"/>
      <c r="AA26" s="1506">
        <v>1</v>
      </c>
      <c r="AB26" s="1506">
        <v>1</v>
      </c>
      <c r="AC26" s="1506">
        <v>1</v>
      </c>
    </row>
    <row r="27" spans="1:29" s="1203" customFormat="1" ht="28.5">
      <c r="A27" s="571"/>
      <c r="B27" s="2438"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7"/>
      <c r="Q27" s="2429" t="str">
        <f t="shared" ref="Q27" si="9">B27</f>
        <v>基础设施水平</v>
      </c>
      <c r="R27" s="1503" t="s">
        <v>8</v>
      </c>
      <c r="S27" s="1504">
        <f>F27</f>
        <v>100</v>
      </c>
      <c r="T27" s="1503" t="s">
        <v>8</v>
      </c>
      <c r="U27" s="1504">
        <f>H27</f>
        <v>100</v>
      </c>
      <c r="V27" s="1503" t="s">
        <v>8</v>
      </c>
      <c r="W27" s="1504">
        <f>J27</f>
        <v>100</v>
      </c>
      <c r="X27" s="1505"/>
      <c r="Y27" s="3517"/>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7"/>
      <c r="Q28" s="2429"/>
      <c r="R28" s="1503"/>
      <c r="S28" s="1504"/>
      <c r="T28" s="1503"/>
      <c r="U28" s="1504"/>
      <c r="V28" s="1503"/>
      <c r="W28" s="1504"/>
      <c r="X28" s="1505"/>
      <c r="Y28" s="3517"/>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7"/>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7"/>
      <c r="Q30" s="1507" t="str">
        <f t="shared" si="8"/>
        <v>毗邻道路的类型与等级</v>
      </c>
      <c r="R30" s="1508" t="s">
        <v>8</v>
      </c>
      <c r="S30" s="1509">
        <f t="shared" si="10"/>
        <v>100</v>
      </c>
      <c r="T30" s="1508" t="s">
        <v>8</v>
      </c>
      <c r="U30" s="1509">
        <f t="shared" si="11"/>
        <v>100</v>
      </c>
      <c r="V30" s="1508" t="s">
        <v>8</v>
      </c>
      <c r="W30" s="1509">
        <f t="shared" si="12"/>
        <v>100</v>
      </c>
      <c r="X30" s="1502"/>
      <c r="Y30" s="351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7"/>
      <c r="Q31" s="1507"/>
      <c r="R31" s="1508"/>
      <c r="S31" s="1509"/>
      <c r="T31" s="1508"/>
      <c r="U31" s="1509"/>
      <c r="V31" s="1508"/>
      <c r="W31" s="1509"/>
      <c r="X31" s="1502"/>
      <c r="Y31" s="3517"/>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7"/>
      <c r="Q32" s="1507" t="str">
        <f t="shared" si="8"/>
        <v>土地级别</v>
      </c>
      <c r="R32" s="1508" t="s">
        <v>8</v>
      </c>
      <c r="S32" s="1509">
        <f t="shared" si="10"/>
        <v>100</v>
      </c>
      <c r="T32" s="1508" t="s">
        <v>8</v>
      </c>
      <c r="U32" s="1509">
        <f t="shared" si="11"/>
        <v>100</v>
      </c>
      <c r="V32" s="1508" t="s">
        <v>8</v>
      </c>
      <c r="W32" s="1509">
        <f t="shared" si="12"/>
        <v>100</v>
      </c>
      <c r="X32" s="1502"/>
      <c r="Y32" s="351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7"/>
      <c r="Q33" s="1507">
        <f t="shared" si="8"/>
        <v>111</v>
      </c>
      <c r="R33" s="1508" t="s">
        <v>8</v>
      </c>
      <c r="S33" s="1509">
        <f t="shared" si="10"/>
        <v>100</v>
      </c>
      <c r="T33" s="1508" t="s">
        <v>8</v>
      </c>
      <c r="U33" s="1509">
        <f t="shared" si="11"/>
        <v>100</v>
      </c>
      <c r="V33" s="1508" t="s">
        <v>8</v>
      </c>
      <c r="W33" s="1509">
        <f t="shared" si="12"/>
        <v>100</v>
      </c>
      <c r="X33" s="1502"/>
      <c r="Y33" s="351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8" t="s">
        <v>544</v>
      </c>
      <c r="Q34" s="1507">
        <f t="shared" si="8"/>
        <v>111</v>
      </c>
      <c r="R34" s="1508" t="s">
        <v>8</v>
      </c>
      <c r="S34" s="1509">
        <f t="shared" si="10"/>
        <v>100</v>
      </c>
      <c r="T34" s="1508" t="s">
        <v>8</v>
      </c>
      <c r="U34" s="1509">
        <f t="shared" si="11"/>
        <v>100</v>
      </c>
      <c r="V34" s="1508" t="s">
        <v>8</v>
      </c>
      <c r="W34" s="1509">
        <f t="shared" si="12"/>
        <v>100</v>
      </c>
      <c r="X34" s="1502"/>
      <c r="Y34" s="3519"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9"/>
      <c r="Q35" s="1507">
        <f t="shared" si="8"/>
        <v>111</v>
      </c>
      <c r="R35" s="1512" t="s">
        <v>8</v>
      </c>
      <c r="S35" s="1513">
        <f t="shared" si="10"/>
        <v>100</v>
      </c>
      <c r="T35" s="1512" t="s">
        <v>8</v>
      </c>
      <c r="U35" s="1513">
        <f t="shared" si="11"/>
        <v>100</v>
      </c>
      <c r="V35" s="1512" t="s">
        <v>8</v>
      </c>
      <c r="W35" s="1513">
        <f t="shared" si="12"/>
        <v>100</v>
      </c>
      <c r="X35" s="1514"/>
      <c r="Y35" s="3519"/>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9"/>
      <c r="Q36" s="1507" t="str">
        <f>B36</f>
        <v>宗地面积</v>
      </c>
      <c r="R36" s="1508" t="s">
        <v>8</v>
      </c>
      <c r="S36" s="1509" t="e">
        <f t="shared" si="10"/>
        <v>#N/A</v>
      </c>
      <c r="T36" s="1508" t="s">
        <v>8</v>
      </c>
      <c r="U36" s="1509" t="e">
        <f t="shared" si="11"/>
        <v>#N/A</v>
      </c>
      <c r="V36" s="1508" t="s">
        <v>8</v>
      </c>
      <c r="W36" s="1509" t="e">
        <f t="shared" si="12"/>
        <v>#N/A</v>
      </c>
      <c r="X36" s="1502"/>
      <c r="Y36" s="351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9"/>
      <c r="Q37" s="1507" t="str">
        <f t="shared" ref="Q37:Q42" si="14">B37</f>
        <v>宗地形状</v>
      </c>
      <c r="R37" s="1508" t="s">
        <v>8</v>
      </c>
      <c r="S37" s="1509">
        <f t="shared" si="10"/>
        <v>100</v>
      </c>
      <c r="T37" s="1508" t="s">
        <v>8</v>
      </c>
      <c r="U37" s="1509">
        <f t="shared" si="11"/>
        <v>100</v>
      </c>
      <c r="V37" s="1508" t="s">
        <v>8</v>
      </c>
      <c r="W37" s="1509">
        <f t="shared" si="12"/>
        <v>100</v>
      </c>
      <c r="X37" s="1502"/>
      <c r="Y37" s="3519"/>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9"/>
      <c r="Q38" s="1507" t="str">
        <f t="shared" si="14"/>
        <v>宗地开发程度</v>
      </c>
      <c r="R38" s="1503" t="s">
        <v>8</v>
      </c>
      <c r="S38" s="1504">
        <f t="shared" si="10"/>
        <v>100</v>
      </c>
      <c r="T38" s="1503" t="s">
        <v>8</v>
      </c>
      <c r="U38" s="1504">
        <f t="shared" si="11"/>
        <v>100</v>
      </c>
      <c r="V38" s="1503" t="s">
        <v>8</v>
      </c>
      <c r="W38" s="1504">
        <f t="shared" si="12"/>
        <v>100</v>
      </c>
      <c r="X38" s="1505"/>
      <c r="Y38" s="351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9" t="s">
        <v>595</v>
      </c>
      <c r="Q39" s="1507" t="str">
        <f t="shared" si="14"/>
        <v>工程地质条件</v>
      </c>
      <c r="R39" s="1508" t="s">
        <v>8</v>
      </c>
      <c r="S39" s="1509">
        <f t="shared" si="10"/>
        <v>100</v>
      </c>
      <c r="T39" s="1508" t="s">
        <v>8</v>
      </c>
      <c r="U39" s="1509">
        <f t="shared" si="11"/>
        <v>100</v>
      </c>
      <c r="V39" s="1508" t="s">
        <v>8</v>
      </c>
      <c r="W39" s="1509">
        <f t="shared" si="12"/>
        <v>100</v>
      </c>
      <c r="X39" s="1502"/>
      <c r="Y39" s="351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9"/>
      <c r="Q40" s="1507">
        <f t="shared" si="14"/>
        <v>111</v>
      </c>
      <c r="R40" s="1508" t="s">
        <v>8</v>
      </c>
      <c r="S40" s="1509">
        <f t="shared" si="10"/>
        <v>100</v>
      </c>
      <c r="T40" s="1508" t="s">
        <v>8</v>
      </c>
      <c r="U40" s="1509">
        <f t="shared" si="11"/>
        <v>100</v>
      </c>
      <c r="V40" s="1508" t="s">
        <v>8</v>
      </c>
      <c r="W40" s="1509">
        <f t="shared" si="12"/>
        <v>100</v>
      </c>
      <c r="X40" s="1502"/>
      <c r="Y40" s="351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9"/>
      <c r="Q41" s="1507">
        <f t="shared" si="14"/>
        <v>111</v>
      </c>
      <c r="R41" s="1508" t="s">
        <v>8</v>
      </c>
      <c r="S41" s="1509">
        <f t="shared" si="10"/>
        <v>100</v>
      </c>
      <c r="T41" s="1508" t="s">
        <v>8</v>
      </c>
      <c r="U41" s="1509">
        <f t="shared" si="11"/>
        <v>100</v>
      </c>
      <c r="V41" s="1508" t="s">
        <v>8</v>
      </c>
      <c r="W41" s="1509">
        <f t="shared" si="12"/>
        <v>100</v>
      </c>
      <c r="X41" s="1502"/>
      <c r="Y41" s="351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9"/>
      <c r="Q42" s="1507">
        <f t="shared" si="14"/>
        <v>111</v>
      </c>
      <c r="R42" s="1512" t="s">
        <v>8</v>
      </c>
      <c r="S42" s="1513">
        <f t="shared" si="10"/>
        <v>100</v>
      </c>
      <c r="T42" s="1512" t="s">
        <v>8</v>
      </c>
      <c r="U42" s="1513">
        <f t="shared" si="11"/>
        <v>100</v>
      </c>
      <c r="V42" s="1512" t="s">
        <v>8</v>
      </c>
      <c r="W42" s="1513">
        <f t="shared" si="12"/>
        <v>100</v>
      </c>
      <c r="X42" s="1514"/>
      <c r="Y42" s="3519"/>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7"/>
      <c r="M43" s="2017"/>
      <c r="N43" s="2017"/>
      <c r="O43" s="2028"/>
      <c r="P43" s="3481" t="str">
        <f>A43</f>
        <v>成交单价</v>
      </c>
      <c r="Q43" s="3481"/>
      <c r="R43" s="3482">
        <f>E43</f>
        <v>0</v>
      </c>
      <c r="S43" s="3482"/>
      <c r="T43" s="3482">
        <f>G43</f>
        <v>0</v>
      </c>
      <c r="U43" s="3482"/>
      <c r="V43" s="3482">
        <f>I43</f>
        <v>0</v>
      </c>
      <c r="W43" s="3482"/>
      <c r="X43" s="1497"/>
      <c r="Y43" s="1516"/>
      <c r="Z43" s="1497"/>
      <c r="AA43" s="1497"/>
      <c r="AB43" s="1497"/>
      <c r="AC43" s="1497"/>
    </row>
    <row r="44" spans="1:29" ht="15.75" thickBot="1">
      <c r="A44" s="609" t="s">
        <v>2674</v>
      </c>
      <c r="B44" s="610"/>
      <c r="C44" s="611" t="e">
        <f>R45</f>
        <v>#DIV/0!</v>
      </c>
      <c r="D44" s="3015" t="s">
        <v>2972</v>
      </c>
      <c r="E44" s="611" t="e">
        <f>R44</f>
        <v>#DIV/0!</v>
      </c>
      <c r="F44" s="3016"/>
      <c r="G44" s="612" t="e">
        <f>T44</f>
        <v>#DIV/0!</v>
      </c>
      <c r="H44" s="3016"/>
      <c r="I44" s="611" t="e">
        <f>V44</f>
        <v>#DIV/0!</v>
      </c>
      <c r="J44" s="3016"/>
      <c r="K44" s="3017">
        <f>F44+H44+J44</f>
        <v>0</v>
      </c>
      <c r="L44" s="2027"/>
      <c r="M44" s="2017"/>
      <c r="N44" s="2017"/>
      <c r="O44" s="2028"/>
      <c r="P44" s="3481" t="str">
        <f>A44</f>
        <v>比较价格（元/平方米）</v>
      </c>
      <c r="Q44" s="3481"/>
      <c r="R44" s="3483" t="e">
        <f>ROUND(PRODUCT(R43,AA9:AA42),0)</f>
        <v>#DIV/0!</v>
      </c>
      <c r="S44" s="3483"/>
      <c r="T44" s="3483" t="e">
        <f>ROUND(PRODUCT(T43,AB9:AB42),0)</f>
        <v>#DIV/0!</v>
      </c>
      <c r="U44" s="3483"/>
      <c r="V44" s="3483" t="e">
        <f>ROUND(PRODUCT(V43,AC9:AC42),0)</f>
        <v>#DIV/0!</v>
      </c>
      <c r="W44" s="3483"/>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7"/>
      <c r="M45" s="2017"/>
      <c r="N45" s="2017"/>
      <c r="O45" s="2028"/>
      <c r="P45" s="3478" t="str">
        <f>A45</f>
        <v>估价对象XX用房的比较价格（楼面单价，元/平方米）</v>
      </c>
      <c r="Q45" s="3479"/>
      <c r="R45" s="3531" t="e">
        <f>ROUND(IF(D44="简单平均",AVERAGE(R44:W44),R44*F44+T44*H44+V44*J44),0)</f>
        <v>#DIV/0!</v>
      </c>
      <c r="S45" s="3531"/>
      <c r="T45" s="3531"/>
      <c r="U45" s="3531"/>
      <c r="V45" s="3531"/>
      <c r="W45" s="3531"/>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26" t="s">
        <v>2272</v>
      </c>
      <c r="H52" s="3527"/>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99436.95</v>
      </c>
      <c r="F53" s="1865" t="e">
        <f t="shared" ref="F53:F62" si="15">ROUND(B53*E53/10000,0)</f>
        <v>#DIV/0!</v>
      </c>
      <c r="G53" s="3528"/>
      <c r="H53" s="3529"/>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0.7</v>
      </c>
      <c r="D54" s="2110">
        <v>0.25</v>
      </c>
      <c r="E54" s="631"/>
      <c r="F54" s="1865" t="e">
        <f t="shared" si="15"/>
        <v>#DIV/0!</v>
      </c>
      <c r="G54" s="3530" t="s">
        <v>2273</v>
      </c>
      <c r="H54" s="1869" t="str">
        <f>项目基本情况!B43</f>
        <v>六级</v>
      </c>
      <c r="I54" s="1868">
        <f>SUMIF(修正!$A$45:$A$56,H54,修正!B45:B56)</f>
        <v>0.7</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0.4</v>
      </c>
      <c r="D55" s="2110">
        <v>0.25</v>
      </c>
      <c r="E55" s="631"/>
      <c r="F55" s="1865" t="e">
        <f t="shared" si="15"/>
        <v>#DIV/0!</v>
      </c>
      <c r="G55" s="3530"/>
      <c r="H55" s="1870" t="str">
        <f>项目基本情况!B43</f>
        <v>六级</v>
      </c>
      <c r="I55" s="1868">
        <f>SUMIF(修正!$A$45:$A$56,H55,修正!C45:C56)</f>
        <v>0.4</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0.28000000000000003</v>
      </c>
      <c r="D56" s="2110">
        <v>0.25</v>
      </c>
      <c r="E56" s="631"/>
      <c r="F56" s="1865" t="e">
        <f t="shared" si="15"/>
        <v>#DIV/0!</v>
      </c>
      <c r="G56" s="3530"/>
      <c r="H56" s="1870" t="str">
        <f>项目基本情况!B43</f>
        <v>六级</v>
      </c>
      <c r="I56" s="1868">
        <f>SUMIF(修正!$A$45:$A$56,H56,修正!D45:D56)</f>
        <v>0.28000000000000003</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0.25</v>
      </c>
      <c r="D57" s="2110">
        <v>0.25</v>
      </c>
      <c r="E57" s="631"/>
      <c r="F57" s="1865" t="e">
        <f t="shared" si="15"/>
        <v>#DIV/0!</v>
      </c>
      <c r="G57" s="3530"/>
      <c r="H57" s="1870" t="str">
        <f>项目基本情况!B43</f>
        <v>六级</v>
      </c>
      <c r="I57" s="1868">
        <f>SUMIF(修正!$A$45:$A$56,H57,修正!E45:E56)</f>
        <v>0.25</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0.25</v>
      </c>
      <c r="D58" s="2110">
        <v>0.25</v>
      </c>
      <c r="E58" s="633">
        <f>'数据-汇总表'!E11</f>
        <v>0</v>
      </c>
      <c r="F58" s="1865" t="e">
        <f t="shared" si="15"/>
        <v>#DIV/0!</v>
      </c>
      <c r="G58" s="1871" t="s">
        <v>2274</v>
      </c>
      <c r="H58" s="1870" t="str">
        <f>项目基本情况!C43</f>
        <v>六级</v>
      </c>
      <c r="I58" s="1868">
        <f>SUMIF(修正!$A$45:$A$56,H58,修正!F45:F56)</f>
        <v>0.25</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0.25</v>
      </c>
      <c r="D59" s="2110">
        <v>0.25</v>
      </c>
      <c r="E59" s="633">
        <f>'数据-汇总表'!E12</f>
        <v>0</v>
      </c>
      <c r="F59" s="1865" t="e">
        <f t="shared" si="15"/>
        <v>#DIV/0!</v>
      </c>
      <c r="G59" s="1861" t="s">
        <v>1668</v>
      </c>
      <c r="H59" s="1869" t="str">
        <f>IF(G59="商业",项目基本情况!B43,IF(G59="办公",项目基本情况!C43,IF(G59="住宅",项目基本情况!D43,项目基本情况!E43)))</f>
        <v>六级</v>
      </c>
      <c r="I59" s="1868">
        <f>SUMIF(修正!$A$45:$A$56,H59,修正!G45:G56)</f>
        <v>0.25</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0.2</v>
      </c>
      <c r="D61" s="2110">
        <v>0.25</v>
      </c>
      <c r="E61" s="633">
        <f>'数据-汇总表'!E14</f>
        <v>0</v>
      </c>
      <c r="F61" s="1865" t="e">
        <f t="shared" si="15"/>
        <v>#DIV/0!</v>
      </c>
      <c r="G61" s="1871" t="s">
        <v>2273</v>
      </c>
      <c r="H61" s="1870" t="str">
        <f>项目基本情况!B43</f>
        <v>六级</v>
      </c>
      <c r="I61" s="1868">
        <f>SUMIF(修正!$A$45:$A$56,H61,修正!H45:H56)</f>
        <v>0.2</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0.2</v>
      </c>
      <c r="D62" s="2110">
        <v>0.25</v>
      </c>
      <c r="E62" s="633">
        <f>'数据-汇总表'!E15</f>
        <v>24252.63</v>
      </c>
      <c r="F62" s="1865" t="e">
        <f t="shared" si="15"/>
        <v>#DIV/0!</v>
      </c>
      <c r="G62" s="1872" t="s">
        <v>2274</v>
      </c>
      <c r="H62" s="1873" t="str">
        <f>项目基本情况!C43</f>
        <v>六级</v>
      </c>
      <c r="I62" s="1868">
        <f>SUMIF(修正!$A$45:$A$56,H62,修正!H45:H56)</f>
        <v>0.2</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15721.96</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2021-1-1</v>
      </c>
      <c r="D65" s="2517">
        <f>EDATE(C65,-3)</f>
        <v>44105</v>
      </c>
      <c r="E65" s="2517">
        <f t="shared" ref="E65:N65" si="18">EDATE(D65,-3)</f>
        <v>44013</v>
      </c>
      <c r="F65" s="2517">
        <f t="shared" si="18"/>
        <v>43922</v>
      </c>
      <c r="G65" s="2517">
        <f t="shared" si="18"/>
        <v>43831</v>
      </c>
      <c r="H65" s="2517">
        <f t="shared" si="18"/>
        <v>43739</v>
      </c>
      <c r="I65" s="2517">
        <f t="shared" si="18"/>
        <v>43647</v>
      </c>
      <c r="J65" s="2517">
        <f t="shared" si="18"/>
        <v>43556</v>
      </c>
      <c r="K65" s="2517">
        <f t="shared" si="18"/>
        <v>43466</v>
      </c>
      <c r="L65" s="2517">
        <f t="shared" si="18"/>
        <v>43374</v>
      </c>
      <c r="M65" s="2517">
        <f t="shared" si="18"/>
        <v>43282</v>
      </c>
      <c r="N65" s="2517">
        <f t="shared" si="18"/>
        <v>43191</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2021-1</v>
      </c>
      <c r="D67" s="2519" t="str">
        <f t="shared" ref="D67:N67" si="19">YEAR(D65)&amp;"-"&amp;ROUNDUP(MONTH(D65)/3,0)</f>
        <v>2020-4</v>
      </c>
      <c r="E67" s="2519" t="str">
        <f t="shared" si="19"/>
        <v>2020-3</v>
      </c>
      <c r="F67" s="2519" t="str">
        <f t="shared" si="19"/>
        <v>2020-2</v>
      </c>
      <c r="G67" s="2519" t="str">
        <f t="shared" si="19"/>
        <v>2020-1</v>
      </c>
      <c r="H67" s="2519" t="str">
        <f t="shared" si="19"/>
        <v>2019-4</v>
      </c>
      <c r="I67" s="2519" t="str">
        <f t="shared" si="19"/>
        <v>2019-3</v>
      </c>
      <c r="J67" s="2519" t="str">
        <f t="shared" si="19"/>
        <v>2019-2</v>
      </c>
      <c r="K67" s="2519" t="str">
        <f t="shared" si="19"/>
        <v>2019-1</v>
      </c>
      <c r="L67" s="2519" t="str">
        <f t="shared" si="19"/>
        <v>2018-4</v>
      </c>
      <c r="M67" s="2519" t="str">
        <f t="shared" si="19"/>
        <v>2018-3</v>
      </c>
      <c r="N67" s="2519" t="str">
        <f t="shared" si="19"/>
        <v>2018-2</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北京市平均增长率1.28%</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4" priority="18" stopIfTrue="1" operator="containsText" text="超过">
      <formula>NOT(ISERROR(SEARCH("超过",F48)))</formula>
    </cfRule>
  </conditionalFormatting>
  <conditionalFormatting sqref="J50">
    <cfRule type="containsText" dxfId="163" priority="17" stopIfTrue="1" operator="containsText" text="超过">
      <formula>NOT(ISERROR(SEARCH("超过",J50)))</formula>
    </cfRule>
  </conditionalFormatting>
  <conditionalFormatting sqref="H50">
    <cfRule type="containsText" dxfId="162" priority="16" stopIfTrue="1" operator="containsText" text="超过">
      <formula>NOT(ISERROR(SEARCH("超过",H50)))</formula>
    </cfRule>
  </conditionalFormatting>
  <conditionalFormatting sqref="F50">
    <cfRule type="containsText" dxfId="161" priority="15" stopIfTrue="1" operator="containsText" text="超过">
      <formula>NOT(ISERROR(SEARCH("超过",F50)))</formula>
    </cfRule>
  </conditionalFormatting>
  <conditionalFormatting sqref="F49 H49 J49">
    <cfRule type="containsText" dxfId="160" priority="14" stopIfTrue="1" operator="containsText" text="超过">
      <formula>NOT(ISERROR(SEARCH("超过",F49)))</formula>
    </cfRule>
  </conditionalFormatting>
  <conditionalFormatting sqref="E48">
    <cfRule type="expression" dxfId="159" priority="13" stopIfTrue="1">
      <formula>$F$48="超过30%"</formula>
    </cfRule>
  </conditionalFormatting>
  <conditionalFormatting sqref="G50">
    <cfRule type="expression" dxfId="158" priority="12" stopIfTrue="1">
      <formula>$H$50="超过30%"</formula>
    </cfRule>
  </conditionalFormatting>
  <conditionalFormatting sqref="E50">
    <cfRule type="expression" dxfId="157" priority="10" stopIfTrue="1">
      <formula>$F$50="超过30%"</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I48">
    <cfRule type="expression" dxfId="154" priority="7" stopIfTrue="1">
      <formula>$J$48="超过30%"</formula>
    </cfRule>
  </conditionalFormatting>
  <conditionalFormatting sqref="I49">
    <cfRule type="expression" dxfId="153" priority="6" stopIfTrue="1">
      <formula>$J$49="超过20%"</formula>
    </cfRule>
  </conditionalFormatting>
  <conditionalFormatting sqref="I50">
    <cfRule type="expression" dxfId="152" priority="5" stopIfTrue="1">
      <formula>$J$50="超过30%"</formula>
    </cfRule>
  </conditionalFormatting>
  <conditionalFormatting sqref="E49">
    <cfRule type="expression" dxfId="151" priority="51" stopIfTrue="1">
      <formula>#REF!+$F$49="超过20%"</formula>
    </cfRule>
  </conditionalFormatting>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F9:F42 H9:H42 J9:J42">
    <cfRule type="cellIs" dxfId="14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3"/>
      <c r="L2" s="1800" t="s">
        <v>2228</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3"/>
      <c r="L3" s="1800" t="s">
        <v>2229</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4"/>
      <c r="L4" s="1800" t="s">
        <v>2230</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5"/>
      <c r="L5" s="1800" t="s">
        <v>2231</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6"/>
      <c r="L6" s="1800" t="s">
        <v>2232</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6" t="str">
        <f>IF(E2="商业",IF(C8="不临58条商业街","",2),"")</f>
        <v/>
      </c>
      <c r="B7" s="1376" t="s">
        <v>923</v>
      </c>
      <c r="C7" s="1030" t="e">
        <f>IF(C8="不临58条商业街",1,ROUND(1+(1.6*E8+1.2*E9+0.8*E10+0.4*E11)*C9,4))</f>
        <v>#DIV/0!</v>
      </c>
      <c r="D7" s="1377" t="s">
        <v>924</v>
      </c>
      <c r="E7" s="1031"/>
      <c r="F7" s="1378"/>
      <c r="G7" s="1379"/>
      <c r="H7" s="1379"/>
      <c r="I7" s="1379"/>
      <c r="J7" s="1380"/>
      <c r="K7" s="3236"/>
      <c r="L7" s="1800" t="s">
        <v>2233</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2745</v>
      </c>
      <c r="X7" s="2645">
        <f>G2</f>
        <v>0</v>
      </c>
      <c r="Y7" s="2645" t="s">
        <v>2746</v>
      </c>
      <c r="Z7" s="2646">
        <f>G3</f>
        <v>4</v>
      </c>
      <c r="AA7" s="2074"/>
      <c r="AB7" s="2074"/>
      <c r="AC7" s="2075"/>
      <c r="AD7" s="2647"/>
      <c r="AE7" s="2647"/>
      <c r="AF7" s="2647"/>
      <c r="AG7" s="2647"/>
      <c r="AH7" s="2647"/>
      <c r="AI7" s="2647"/>
      <c r="AJ7" s="2648"/>
    </row>
    <row r="8" spans="1:39" ht="15">
      <c r="A8" s="3547"/>
      <c r="B8" s="1363" t="s">
        <v>925</v>
      </c>
      <c r="C8" s="1469"/>
      <c r="D8" s="1032" t="s">
        <v>926</v>
      </c>
      <c r="E8" s="1033" t="e">
        <f>ROUND(C11/E7,4)</f>
        <v>#DIV/0!</v>
      </c>
      <c r="F8" s="1381" t="s">
        <v>927</v>
      </c>
      <c r="G8" s="1382"/>
      <c r="H8" s="1382"/>
      <c r="I8" s="1382"/>
      <c r="J8" s="1383"/>
      <c r="K8" s="3236"/>
      <c r="L8" s="1800" t="s">
        <v>2234</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33" t="s">
        <v>2763</v>
      </c>
      <c r="X8" s="3534"/>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47"/>
      <c r="B9" s="1363" t="s">
        <v>928</v>
      </c>
      <c r="C9" s="1034">
        <f>SUMIF(修正!C59:C119,C8,修正!E59:E119)</f>
        <v>0</v>
      </c>
      <c r="D9" s="1035" t="s">
        <v>929</v>
      </c>
      <c r="E9" s="1035" t="e">
        <f>ROUND(C11/E7,4)</f>
        <v>#DIV/0!</v>
      </c>
      <c r="F9" s="1381" t="s">
        <v>930</v>
      </c>
      <c r="G9" s="1382"/>
      <c r="H9" s="1382"/>
      <c r="I9" s="1382"/>
      <c r="J9" s="1383"/>
      <c r="K9" s="3236"/>
      <c r="L9" s="1800" t="s">
        <v>2235</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32"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47"/>
      <c r="B10" s="1363" t="s">
        <v>931</v>
      </c>
      <c r="C10" s="1035">
        <f>SUMIF(修正!C59:C119,C8,修正!F59:F119)</f>
        <v>0</v>
      </c>
      <c r="D10" s="1035" t="s">
        <v>932</v>
      </c>
      <c r="E10" s="1035" t="e">
        <f>ROUND(C11/E7,4)</f>
        <v>#DIV/0!</v>
      </c>
      <c r="F10" s="1381" t="s">
        <v>933</v>
      </c>
      <c r="G10" s="1382"/>
      <c r="H10" s="1382"/>
      <c r="I10" s="1382"/>
      <c r="J10" s="1383"/>
      <c r="K10" s="3236"/>
      <c r="L10" s="1800" t="s">
        <v>2236</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3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47"/>
      <c r="B11" s="1384" t="s">
        <v>934</v>
      </c>
      <c r="C11" s="1036">
        <f>C10/4</f>
        <v>0</v>
      </c>
      <c r="D11" s="1036" t="s">
        <v>935</v>
      </c>
      <c r="E11" s="1036" t="e">
        <f>ROUND(C11/E7,4)</f>
        <v>#DIV/0!</v>
      </c>
      <c r="F11" s="1385" t="s">
        <v>936</v>
      </c>
      <c r="G11" s="1386"/>
      <c r="H11" s="1386"/>
      <c r="I11" s="1386"/>
      <c r="J11" s="1387"/>
      <c r="K11" s="3236"/>
      <c r="L11" s="1800" t="s">
        <v>2237</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32" t="s">
        <v>2761</v>
      </c>
      <c r="X11" s="1035" t="s">
        <v>2746</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46" t="s">
        <v>1862</v>
      </c>
      <c r="B12" s="1388" t="s">
        <v>937</v>
      </c>
      <c r="C12" s="1030">
        <f>ROUND(C15*D15*E15*F15*G15*H15*I15*J15,4)</f>
        <v>1</v>
      </c>
      <c r="D12" s="1389" t="s">
        <v>938</v>
      </c>
      <c r="E12" s="1390"/>
      <c r="F12" s="1390"/>
      <c r="G12" s="1391"/>
      <c r="H12" s="1391"/>
      <c r="I12" s="1391"/>
      <c r="J12" s="1392"/>
      <c r="K12" s="3236"/>
      <c r="L12" s="1803" t="s">
        <v>2238</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32"/>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48"/>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32"/>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48"/>
      <c r="B14" s="1400"/>
      <c r="C14" s="1401"/>
      <c r="D14" s="1402"/>
      <c r="E14" s="1402"/>
      <c r="F14" s="1403"/>
      <c r="G14" s="1404" t="s">
        <v>940</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49"/>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6" t="s">
        <v>1829</v>
      </c>
      <c r="B16" s="1376" t="s">
        <v>941</v>
      </c>
      <c r="C16" s="1039" t="e">
        <f>ROUND(IF(F17="与级别开发程度一致",0,(G17-E17)/C17),0)</f>
        <v>#DIV/0!</v>
      </c>
      <c r="D16" s="3540" t="s">
        <v>945</v>
      </c>
      <c r="E16" s="3541"/>
      <c r="F16" s="3540" t="s">
        <v>942</v>
      </c>
      <c r="G16" s="3541"/>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50"/>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ROUND(IF(H19="按公示增长率计算",SUMPRODUCT((地价!A3:A33=YEAR(G19)&amp;"-"&amp;ROUNDUP(MONTH(G19)/3,0))*(地价!X2:AB2=E2)*(地价!X3:AB33)),IF(H19="地价指数",M20/M19,(1+I19)^O19)),4)</f>
        <v>0</v>
      </c>
      <c r="D19" s="1415" t="s">
        <v>948</v>
      </c>
      <c r="E19" s="1041">
        <v>41640</v>
      </c>
      <c r="F19" s="1415" t="s">
        <v>949</v>
      </c>
      <c r="G19" s="1042">
        <f>'数据-取费表'!B2</f>
        <v>44216</v>
      </c>
      <c r="H19" s="1416" t="s">
        <v>2956</v>
      </c>
      <c r="I19" s="2504" t="str">
        <f>IF(H19="季度增幅（自定义）",SUMIF(N21:N24,E2,O21:O24),"")</f>
        <v/>
      </c>
      <c r="J19" s="1412"/>
      <c r="K19" s="3235"/>
      <c r="L19" s="2754" t="s">
        <v>2821</v>
      </c>
      <c r="M19" s="2755">
        <f>ROUND(SUMIF(地价!B2:F2,E2,地价!B33:F33),0)</f>
        <v>0</v>
      </c>
      <c r="N19" s="2506" t="s">
        <v>1667</v>
      </c>
      <c r="O19" s="2505">
        <f>ROUNDDOWN(DATEDIF(E19,G19,"M")/3,0)</f>
        <v>28</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ROUND(SUMPRODUCT((地价!A4:A33=YEAR(G19)&amp;"-"&amp;ROUNDUP(MONTH(G19)/3,0))*(地价!B2:F2=E2)*(地价!B4:F33)),0)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2992</v>
      </c>
      <c r="C21" s="1141" t="b">
        <f>IF(B21="容积率修正",IF(G3&lt;=10,D22,J22),C23)</f>
        <v>0</v>
      </c>
      <c r="D21" s="1422"/>
      <c r="E21" s="1422"/>
      <c r="F21" s="1422"/>
      <c r="G21" s="1422"/>
      <c r="H21" s="1422"/>
      <c r="I21" s="1422"/>
      <c r="J21" s="1423"/>
      <c r="K21" s="3235"/>
      <c r="L21" s="1422"/>
      <c r="M21" s="1422"/>
      <c r="N21" s="1419" t="s">
        <v>966</v>
      </c>
      <c r="O21" s="1482"/>
      <c r="P21" s="2496">
        <f>SUMPRODUCT((地价!A3:A33=YEAR(G19)&amp;"-"&amp;ROUNDUP(MONTH(G19)/3,0))*(地价!AD2:AH2=N21)*(地价!AD3:AH33))</f>
        <v>1.12E-2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1"/>
      <c r="L22" s="1422"/>
      <c r="M22" s="1422"/>
      <c r="N22" s="1419" t="s">
        <v>969</v>
      </c>
      <c r="O22" s="1482"/>
      <c r="P22" s="2496">
        <f>SUMPRODUCT((地价!A3:A33=YEAR(G19)&amp;"-"&amp;ROUNDUP(MONTH(G19)/3,0))*(地价!AD2:AH2=N22)*(地价!AD3:AH33))</f>
        <v>1.12E-2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914</v>
      </c>
      <c r="O23" s="1482"/>
      <c r="P23" s="2496">
        <f>SUMPRODUCT((地价!A3:A33=YEAR(G19)&amp;"-"&amp;ROUNDUP(MONTH(G19)/3,0))*(地价!AD2:AH2=N23)*(地价!AD3:AH33))</f>
        <v>1.9300000000000001E-2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2"/>
      <c r="L24" s="1422"/>
      <c r="M24" s="1422"/>
      <c r="N24" s="1419" t="s">
        <v>972</v>
      </c>
      <c r="O24" s="2837"/>
      <c r="P24" s="2496">
        <f>SUMPRODUCT((地价!A3:A33=YEAR(G19)&amp;"-"&amp;ROUNDUP(MONTH(G19)/3,0))*(地价!AD2:AH2=N24)*(地价!AD3:AH33))</f>
        <v>1.2800000000000001E-2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6"/>
      <c r="L25" s="2077"/>
      <c r="M25" s="2077"/>
      <c r="N25" s="2839" t="s">
        <v>2629</v>
      </c>
      <c r="O25" s="2840"/>
      <c r="P25" s="2303">
        <f>SUMPRODUCT((地价!A3:A33=YEAR(G19)&amp;"-"&amp;ROUNDUP(MONTH(G19)/3,0))*(地价!AD2:AH2=N25)*(地价!AD3:AH33))</f>
        <v>1.7500000000000002E-2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6"/>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6"/>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6"/>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42"/>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2" t="s">
        <v>2996</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3"/>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3"/>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3"/>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3"/>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4"/>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4"/>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2950</v>
      </c>
      <c r="C41" s="828" t="e">
        <f>ROUND(POWER(1+E41,H41-G41)*(POWER(1+E41,G41)-1)/(POWER(1+E41,H41)-1),4)</f>
        <v>#DIV/0!</v>
      </c>
      <c r="D41" s="372" t="s">
        <v>2948</v>
      </c>
      <c r="E41" s="2833">
        <f>G20</f>
        <v>0</v>
      </c>
      <c r="F41" s="372" t="s">
        <v>2949</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2906</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2905</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2907</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2905</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2905</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2905</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51" t="s">
        <v>1624</v>
      </c>
      <c r="B90" s="3551"/>
      <c r="C90" s="3551"/>
      <c r="D90" s="3551"/>
      <c r="E90" s="3551"/>
      <c r="F90" s="3551"/>
      <c r="G90" s="3551"/>
      <c r="H90" s="3551"/>
      <c r="I90" s="3551"/>
      <c r="J90" s="3551"/>
      <c r="K90" s="2306"/>
      <c r="L90" s="2306"/>
      <c r="M90" s="2306"/>
      <c r="N90" s="2306"/>
    </row>
    <row r="91" spans="1:40">
      <c r="A91" s="3552" t="s">
        <v>1434</v>
      </c>
      <c r="B91" s="3552" t="s">
        <v>1625</v>
      </c>
      <c r="C91" s="1123" t="s">
        <v>1626</v>
      </c>
      <c r="D91" s="1124"/>
      <c r="E91" s="1124"/>
      <c r="F91" s="1124"/>
      <c r="G91" s="1124"/>
      <c r="H91" s="1124"/>
      <c r="I91" s="1124"/>
      <c r="J91" s="1125"/>
      <c r="K91" s="1117"/>
      <c r="L91" s="1117"/>
      <c r="M91" s="1117"/>
      <c r="N91" s="1117"/>
    </row>
    <row r="92" spans="1:40">
      <c r="A92" s="3552"/>
      <c r="B92" s="3552"/>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35"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3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35"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36"/>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36"/>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36"/>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36"/>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36"/>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36"/>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36"/>
      <c r="B108" s="353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37"/>
      <c r="B109" s="3539"/>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45" t="s">
        <v>1630</v>
      </c>
      <c r="B110" s="3545"/>
      <c r="C110" s="3545"/>
      <c r="D110" s="3545"/>
      <c r="E110" s="3545"/>
      <c r="F110" s="3545"/>
      <c r="G110" s="3545"/>
      <c r="H110" s="3545"/>
      <c r="I110" s="3545"/>
      <c r="J110" s="3545"/>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6" priority="5" stopIfTrue="1" operator="notEqual">
      <formula>"——"</formula>
    </cfRule>
  </conditionalFormatting>
  <conditionalFormatting sqref="F58">
    <cfRule type="cellIs" dxfId="145" priority="4" stopIfTrue="1" operator="notEqual">
      <formula>"——"</formula>
    </cfRule>
  </conditionalFormatting>
  <conditionalFormatting sqref="F69">
    <cfRule type="cellIs" dxfId="144" priority="3" stopIfTrue="1" operator="notEqual">
      <formula>"——"</formula>
    </cfRule>
  </conditionalFormatting>
  <conditionalFormatting sqref="F80">
    <cfRule type="cellIs" dxfId="143" priority="2" stopIfTrue="1" operator="notEqual">
      <formula>"——"</formula>
    </cfRule>
  </conditionalFormatting>
  <conditionalFormatting sqref="H58:H66 H47:H55 H69:H77 H80:H87">
    <cfRule type="cellIs" dxfId="14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2953</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2" t="s">
        <v>998</v>
      </c>
      <c r="B18" s="1137" t="s">
        <v>1437</v>
      </c>
      <c r="C18" s="1114" t="s">
        <v>1438</v>
      </c>
      <c r="D18" s="1115"/>
      <c r="E18" s="1137">
        <v>1</v>
      </c>
      <c r="F18" s="1116" t="s">
        <v>1439</v>
      </c>
      <c r="G18" s="1117"/>
      <c r="H18" s="1088"/>
      <c r="I18" s="1088"/>
    </row>
    <row r="19" spans="1:9" s="1530" customFormat="1" ht="19.5" customHeight="1">
      <c r="A19" s="3552"/>
      <c r="B19" s="3552" t="s">
        <v>1440</v>
      </c>
      <c r="C19" s="1114" t="s">
        <v>1441</v>
      </c>
      <c r="D19" s="1115"/>
      <c r="E19" s="1137">
        <v>0.9</v>
      </c>
      <c r="F19" s="1116" t="s">
        <v>1442</v>
      </c>
      <c r="G19" s="1117"/>
      <c r="H19" s="1088"/>
      <c r="I19" s="1088"/>
    </row>
    <row r="20" spans="1:9" s="1530" customFormat="1" ht="19.5" customHeight="1">
      <c r="A20" s="3552"/>
      <c r="B20" s="3552"/>
      <c r="C20" s="1114" t="s">
        <v>1443</v>
      </c>
      <c r="D20" s="1115"/>
      <c r="E20" s="1137">
        <v>1.1000000000000001</v>
      </c>
      <c r="F20" s="1116" t="s">
        <v>1444</v>
      </c>
      <c r="G20" s="1117"/>
      <c r="H20" s="1088"/>
      <c r="I20" s="1088"/>
    </row>
    <row r="21" spans="1:9" s="1530" customFormat="1" ht="19.5" customHeight="1">
      <c r="A21" s="3552"/>
      <c r="B21" s="3552"/>
      <c r="C21" s="1114" t="s">
        <v>1445</v>
      </c>
      <c r="D21" s="1115"/>
      <c r="E21" s="1137">
        <v>0.8</v>
      </c>
      <c r="F21" s="1116" t="s">
        <v>1446</v>
      </c>
      <c r="G21" s="1117"/>
      <c r="H21" s="1088"/>
      <c r="I21" s="1088"/>
    </row>
    <row r="22" spans="1:9" s="1530" customFormat="1" ht="19.5" customHeight="1">
      <c r="A22" s="3552"/>
      <c r="B22" s="3552"/>
      <c r="C22" s="1114" t="s">
        <v>1447</v>
      </c>
      <c r="D22" s="1115"/>
      <c r="E22" s="1137">
        <v>0.5</v>
      </c>
      <c r="F22" s="1116"/>
      <c r="G22" s="1117"/>
      <c r="H22" s="1088"/>
      <c r="I22" s="1088"/>
    </row>
    <row r="23" spans="1:9" s="1530" customFormat="1" ht="19.5" customHeight="1">
      <c r="A23" s="3552" t="s">
        <v>1020</v>
      </c>
      <c r="B23" s="1137" t="s">
        <v>1437</v>
      </c>
      <c r="C23" s="1114" t="s">
        <v>1448</v>
      </c>
      <c r="D23" s="1115"/>
      <c r="E23" s="1137">
        <v>1</v>
      </c>
      <c r="F23" s="1116" t="s">
        <v>1449</v>
      </c>
      <c r="G23" s="1117"/>
      <c r="H23" s="1088"/>
      <c r="I23" s="1088"/>
    </row>
    <row r="24" spans="1:9" s="1530" customFormat="1" ht="19.5" customHeight="1">
      <c r="A24" s="3552"/>
      <c r="B24" s="3552" t="s">
        <v>1440</v>
      </c>
      <c r="C24" s="1114" t="s">
        <v>1450</v>
      </c>
      <c r="D24" s="1115"/>
      <c r="E24" s="1137">
        <v>0.5</v>
      </c>
      <c r="F24" s="1116"/>
      <c r="G24" s="1117"/>
      <c r="H24" s="1088"/>
      <c r="I24" s="1088"/>
    </row>
    <row r="25" spans="1:9" s="1530" customFormat="1" ht="19.5" customHeight="1">
      <c r="A25" s="3552"/>
      <c r="B25" s="3552"/>
      <c r="C25" s="1114" t="s">
        <v>1451</v>
      </c>
      <c r="D25" s="1115"/>
      <c r="E25" s="1137">
        <v>1.1000000000000001</v>
      </c>
      <c r="F25" s="1116"/>
      <c r="G25" s="1117"/>
      <c r="H25" s="1088"/>
      <c r="I25" s="1088"/>
    </row>
    <row r="26" spans="1:9" s="1530" customFormat="1" ht="19.5" customHeight="1">
      <c r="A26" s="3552"/>
      <c r="B26" s="3552"/>
      <c r="C26" s="1114" t="s">
        <v>1452</v>
      </c>
      <c r="D26" s="1115"/>
      <c r="E26" s="1137">
        <v>1.1000000000000001</v>
      </c>
      <c r="F26" s="1116"/>
      <c r="G26" s="1117"/>
      <c r="H26" s="1088"/>
      <c r="I26" s="1088"/>
    </row>
    <row r="27" spans="1:9" s="1530" customFormat="1" ht="19.5" customHeight="1">
      <c r="A27" s="3552"/>
      <c r="B27" s="3552"/>
      <c r="C27" s="1114" t="s">
        <v>1453</v>
      </c>
      <c r="D27" s="1115"/>
      <c r="E27" s="1137">
        <v>0.9</v>
      </c>
      <c r="F27" s="1116" t="s">
        <v>1454</v>
      </c>
      <c r="G27" s="1117"/>
      <c r="H27" s="1088"/>
      <c r="I27" s="1088"/>
    </row>
    <row r="28" spans="1:9" s="1530" customFormat="1" ht="19.5" customHeight="1">
      <c r="A28" s="3552"/>
      <c r="B28" s="3552"/>
      <c r="C28" s="1114" t="s">
        <v>1455</v>
      </c>
      <c r="D28" s="1115"/>
      <c r="E28" s="1137">
        <v>0.9</v>
      </c>
      <c r="F28" s="1116" t="s">
        <v>1456</v>
      </c>
      <c r="G28" s="1117"/>
      <c r="H28" s="1088"/>
      <c r="I28" s="1088"/>
    </row>
    <row r="29" spans="1:9" s="1530" customFormat="1" ht="19.5" customHeight="1">
      <c r="A29" s="3552"/>
      <c r="B29" s="3552"/>
      <c r="C29" s="1114" t="s">
        <v>1457</v>
      </c>
      <c r="D29" s="1115"/>
      <c r="E29" s="1137">
        <v>0.9</v>
      </c>
      <c r="F29" s="1116" t="s">
        <v>1458</v>
      </c>
      <c r="G29" s="1117"/>
      <c r="H29" s="1088"/>
      <c r="I29" s="1088"/>
    </row>
    <row r="30" spans="1:9" s="1530" customFormat="1" ht="19.5" customHeight="1">
      <c r="A30" s="3552"/>
      <c r="B30" s="3552"/>
      <c r="C30" s="1114" t="s">
        <v>1459</v>
      </c>
      <c r="D30" s="1115"/>
      <c r="E30" s="1137">
        <v>0.9</v>
      </c>
      <c r="F30" s="1116" t="s">
        <v>1460</v>
      </c>
      <c r="G30" s="1117"/>
      <c r="H30" s="1088"/>
      <c r="I30" s="1088"/>
    </row>
    <row r="31" spans="1:9" s="1530" customFormat="1" ht="19.5" customHeight="1">
      <c r="A31" s="3552"/>
      <c r="B31" s="3552"/>
      <c r="C31" s="1114" t="s">
        <v>1461</v>
      </c>
      <c r="D31" s="1115"/>
      <c r="E31" s="1137">
        <v>0.8</v>
      </c>
      <c r="F31" s="1116" t="s">
        <v>1462</v>
      </c>
      <c r="G31" s="1117"/>
      <c r="H31" s="1088"/>
      <c r="I31" s="1088"/>
    </row>
    <row r="32" spans="1:9" s="1530" customFormat="1" ht="19.5" customHeight="1">
      <c r="A32" s="3552"/>
      <c r="B32" s="3552"/>
      <c r="C32" s="1114" t="s">
        <v>1463</v>
      </c>
      <c r="D32" s="1115"/>
      <c r="E32" s="1137">
        <v>0.8</v>
      </c>
      <c r="F32" s="1116" t="s">
        <v>1464</v>
      </c>
      <c r="G32" s="1117"/>
      <c r="H32" s="1088"/>
      <c r="I32" s="1088"/>
    </row>
    <row r="33" spans="1:9" s="1530" customFormat="1" ht="19.5" customHeight="1">
      <c r="A33" s="3552" t="s">
        <v>1465</v>
      </c>
      <c r="B33" s="1137" t="s">
        <v>1437</v>
      </c>
      <c r="C33" s="1114" t="s">
        <v>1466</v>
      </c>
      <c r="D33" s="1115"/>
      <c r="E33" s="1137">
        <v>1</v>
      </c>
      <c r="F33" s="1116" t="s">
        <v>1467</v>
      </c>
      <c r="G33" s="1117"/>
      <c r="H33" s="1088"/>
      <c r="I33" s="1088"/>
    </row>
    <row r="34" spans="1:9" s="1530" customFormat="1" ht="19.5" customHeight="1">
      <c r="A34" s="3552"/>
      <c r="B34" s="1137" t="s">
        <v>1440</v>
      </c>
      <c r="C34" s="1114" t="s">
        <v>1468</v>
      </c>
      <c r="D34" s="1115"/>
      <c r="E34" s="1137">
        <v>1.5</v>
      </c>
      <c r="F34" s="1116" t="s">
        <v>1469</v>
      </c>
      <c r="G34" s="1117"/>
      <c r="H34" s="1088"/>
      <c r="I34" s="1088"/>
    </row>
    <row r="35" spans="1:9" s="1530" customFormat="1" ht="19.5" customHeight="1">
      <c r="A35" s="3552" t="s">
        <v>1423</v>
      </c>
      <c r="B35" s="1137" t="s">
        <v>1437</v>
      </c>
      <c r="C35" s="1114" t="s">
        <v>1470</v>
      </c>
      <c r="D35" s="1115"/>
      <c r="E35" s="1137">
        <v>1</v>
      </c>
      <c r="F35" s="1116" t="s">
        <v>1471</v>
      </c>
      <c r="G35" s="1117"/>
      <c r="H35" s="1088"/>
      <c r="I35" s="1088"/>
    </row>
    <row r="36" spans="1:9" s="1530" customFormat="1" ht="19.5" customHeight="1">
      <c r="A36" s="3552"/>
      <c r="B36" s="3552" t="s">
        <v>1440</v>
      </c>
      <c r="C36" s="1114" t="s">
        <v>1472</v>
      </c>
      <c r="D36" s="1115"/>
      <c r="E36" s="1137">
        <v>1</v>
      </c>
      <c r="F36" s="1116" t="s">
        <v>1473</v>
      </c>
      <c r="G36" s="1117"/>
      <c r="H36" s="1088"/>
      <c r="I36" s="1088"/>
    </row>
    <row r="37" spans="1:9" s="1530" customFormat="1" ht="19.5" customHeight="1">
      <c r="A37" s="3552"/>
      <c r="B37" s="3552"/>
      <c r="C37" s="1114" t="s">
        <v>1474</v>
      </c>
      <c r="D37" s="1115"/>
      <c r="E37" s="1137">
        <v>1.5</v>
      </c>
      <c r="F37" s="1116" t="s">
        <v>1475</v>
      </c>
      <c r="G37" s="1117"/>
      <c r="H37" s="1088"/>
      <c r="I37" s="1088"/>
    </row>
    <row r="38" spans="1:9" s="1530" customFormat="1" ht="19.5" customHeight="1">
      <c r="A38" s="3552"/>
      <c r="B38" s="3552"/>
      <c r="C38" s="1114" t="s">
        <v>1476</v>
      </c>
      <c r="D38" s="1115"/>
      <c r="E38" s="1137">
        <v>1</v>
      </c>
      <c r="F38" s="1116" t="s">
        <v>1477</v>
      </c>
      <c r="G38" s="1117"/>
      <c r="H38" s="1088"/>
      <c r="I38" s="1088"/>
    </row>
    <row r="39" spans="1:9" s="1530" customFormat="1" ht="19.5" customHeight="1">
      <c r="A39" s="3552"/>
      <c r="B39" s="3552"/>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2" t="s">
        <v>1492</v>
      </c>
      <c r="C61" s="1051" t="s">
        <v>1493</v>
      </c>
      <c r="D61" s="1051" t="s">
        <v>1494</v>
      </c>
      <c r="E61" s="1122">
        <v>0.5</v>
      </c>
      <c r="F61" s="1137">
        <v>80</v>
      </c>
      <c r="H61" s="1088">
        <f>SUMIF(C59:C119,基准地价!C8,E59:E119)</f>
        <v>0</v>
      </c>
    </row>
    <row r="62" spans="1:8" s="1088" customFormat="1" ht="24">
      <c r="A62" s="1137">
        <v>2</v>
      </c>
      <c r="B62" s="3552"/>
      <c r="C62" s="1051" t="s">
        <v>1495</v>
      </c>
      <c r="D62" s="1051" t="s">
        <v>1496</v>
      </c>
      <c r="E62" s="1122">
        <v>0.5</v>
      </c>
      <c r="F62" s="1137">
        <v>80</v>
      </c>
    </row>
    <row r="63" spans="1:8" s="1088" customFormat="1" ht="36">
      <c r="A63" s="1137">
        <v>3</v>
      </c>
      <c r="B63" s="3552"/>
      <c r="C63" s="1051" t="s">
        <v>1497</v>
      </c>
      <c r="D63" s="1051" t="s">
        <v>1498</v>
      </c>
      <c r="E63" s="1122">
        <v>0.5</v>
      </c>
      <c r="F63" s="1137">
        <v>80</v>
      </c>
    </row>
    <row r="64" spans="1:8" s="1088" customFormat="1" ht="36">
      <c r="A64" s="1137">
        <v>4</v>
      </c>
      <c r="B64" s="3552"/>
      <c r="C64" s="1051" t="s">
        <v>1499</v>
      </c>
      <c r="D64" s="1051" t="s">
        <v>1500</v>
      </c>
      <c r="E64" s="1122">
        <v>0.4</v>
      </c>
      <c r="F64" s="1137">
        <v>60</v>
      </c>
    </row>
    <row r="65" spans="1:6" s="1088" customFormat="1" ht="36">
      <c r="A65" s="1137">
        <v>5</v>
      </c>
      <c r="B65" s="3552"/>
      <c r="C65" s="1051" t="s">
        <v>1501</v>
      </c>
      <c r="D65" s="1051" t="s">
        <v>1502</v>
      </c>
      <c r="E65" s="1122">
        <v>0.2</v>
      </c>
      <c r="F65" s="1137">
        <v>30</v>
      </c>
    </row>
    <row r="66" spans="1:6" s="1088" customFormat="1" ht="36">
      <c r="A66" s="1137">
        <v>6</v>
      </c>
      <c r="B66" s="3552"/>
      <c r="C66" s="1051" t="s">
        <v>1503</v>
      </c>
      <c r="D66" s="1051" t="s">
        <v>1504</v>
      </c>
      <c r="E66" s="1122">
        <v>0.3</v>
      </c>
      <c r="F66" s="1137">
        <v>50</v>
      </c>
    </row>
    <row r="67" spans="1:6" s="1088" customFormat="1" ht="36">
      <c r="A67" s="1137">
        <v>7</v>
      </c>
      <c r="B67" s="3552"/>
      <c r="C67" s="1051" t="s">
        <v>1505</v>
      </c>
      <c r="D67" s="1051" t="s">
        <v>1506</v>
      </c>
      <c r="E67" s="1122">
        <v>0.2</v>
      </c>
      <c r="F67" s="1137">
        <v>30</v>
      </c>
    </row>
    <row r="68" spans="1:6" s="1088" customFormat="1" ht="36">
      <c r="A68" s="1137">
        <v>8</v>
      </c>
      <c r="B68" s="3552"/>
      <c r="C68" s="1051" t="s">
        <v>1507</v>
      </c>
      <c r="D68" s="1051" t="s">
        <v>1508</v>
      </c>
      <c r="E68" s="1122">
        <v>0.2</v>
      </c>
      <c r="F68" s="1137">
        <v>30</v>
      </c>
    </row>
    <row r="69" spans="1:6" s="1088" customFormat="1" ht="36">
      <c r="A69" s="1137">
        <v>9</v>
      </c>
      <c r="B69" s="3552"/>
      <c r="C69" s="1051" t="s">
        <v>1509</v>
      </c>
      <c r="D69" s="1051" t="s">
        <v>1510</v>
      </c>
      <c r="E69" s="1122">
        <v>0.2</v>
      </c>
      <c r="F69" s="1137">
        <v>30</v>
      </c>
    </row>
    <row r="70" spans="1:6" s="1088" customFormat="1" ht="48">
      <c r="A70" s="1137">
        <v>10</v>
      </c>
      <c r="B70" s="3552"/>
      <c r="C70" s="1051" t="s">
        <v>1511</v>
      </c>
      <c r="D70" s="1051" t="s">
        <v>1512</v>
      </c>
      <c r="E70" s="1122">
        <v>0.2</v>
      </c>
      <c r="F70" s="1137">
        <v>30</v>
      </c>
    </row>
    <row r="71" spans="1:6" s="1088" customFormat="1" ht="48">
      <c r="A71" s="1137">
        <v>11</v>
      </c>
      <c r="B71" s="3552"/>
      <c r="C71" s="1051" t="s">
        <v>1513</v>
      </c>
      <c r="D71" s="1051" t="s">
        <v>1514</v>
      </c>
      <c r="E71" s="1122">
        <v>0.2</v>
      </c>
      <c r="F71" s="1137">
        <v>30</v>
      </c>
    </row>
    <row r="72" spans="1:6" s="1088" customFormat="1" ht="36">
      <c r="A72" s="1137">
        <v>12</v>
      </c>
      <c r="B72" s="3552"/>
      <c r="C72" s="1051" t="s">
        <v>1515</v>
      </c>
      <c r="D72" s="1051" t="s">
        <v>1516</v>
      </c>
      <c r="E72" s="1122">
        <v>0.5</v>
      </c>
      <c r="F72" s="1137">
        <v>80</v>
      </c>
    </row>
    <row r="73" spans="1:6" s="1088" customFormat="1" ht="24">
      <c r="A73" s="1137">
        <v>13</v>
      </c>
      <c r="B73" s="3552"/>
      <c r="C73" s="1051" t="s">
        <v>1517</v>
      </c>
      <c r="D73" s="1051" t="s">
        <v>1518</v>
      </c>
      <c r="E73" s="1122">
        <v>0.4</v>
      </c>
      <c r="F73" s="1137">
        <v>60</v>
      </c>
    </row>
    <row r="74" spans="1:6" s="1088" customFormat="1" ht="24">
      <c r="A74" s="1137">
        <v>14</v>
      </c>
      <c r="B74" s="3552"/>
      <c r="C74" s="1051" t="s">
        <v>1519</v>
      </c>
      <c r="D74" s="1051" t="s">
        <v>1520</v>
      </c>
      <c r="E74" s="1122">
        <v>0.2</v>
      </c>
      <c r="F74" s="1137">
        <v>30</v>
      </c>
    </row>
    <row r="75" spans="1:6" s="1088" customFormat="1" ht="24">
      <c r="A75" s="1137">
        <v>15</v>
      </c>
      <c r="B75" s="3552"/>
      <c r="C75" s="1051" t="s">
        <v>1521</v>
      </c>
      <c r="D75" s="1051" t="s">
        <v>1522</v>
      </c>
      <c r="E75" s="1122">
        <v>0.2</v>
      </c>
      <c r="F75" s="1137">
        <v>30</v>
      </c>
    </row>
    <row r="76" spans="1:6" s="1088" customFormat="1" ht="24">
      <c r="A76" s="1137">
        <v>16</v>
      </c>
      <c r="B76" s="3552" t="s">
        <v>1523</v>
      </c>
      <c r="C76" s="1051" t="s">
        <v>1524</v>
      </c>
      <c r="D76" s="1051" t="s">
        <v>1525</v>
      </c>
      <c r="E76" s="1122">
        <v>0.5</v>
      </c>
      <c r="F76" s="1137">
        <v>80</v>
      </c>
    </row>
    <row r="77" spans="1:6" s="1088" customFormat="1" ht="24">
      <c r="A77" s="1137">
        <v>17</v>
      </c>
      <c r="B77" s="3552"/>
      <c r="C77" s="1051" t="s">
        <v>1526</v>
      </c>
      <c r="D77" s="1051" t="s">
        <v>1527</v>
      </c>
      <c r="E77" s="1122">
        <v>0.5</v>
      </c>
      <c r="F77" s="1137">
        <v>80</v>
      </c>
    </row>
    <row r="78" spans="1:6" s="1088" customFormat="1" ht="24">
      <c r="A78" s="1137">
        <v>18</v>
      </c>
      <c r="B78" s="3552"/>
      <c r="C78" s="1051" t="s">
        <v>1528</v>
      </c>
      <c r="D78" s="1051" t="s">
        <v>1529</v>
      </c>
      <c r="E78" s="1122">
        <v>0.2</v>
      </c>
      <c r="F78" s="1137">
        <v>30</v>
      </c>
    </row>
    <row r="79" spans="1:6" s="1088" customFormat="1" ht="24">
      <c r="A79" s="1137">
        <v>19</v>
      </c>
      <c r="B79" s="3552"/>
      <c r="C79" s="1051" t="s">
        <v>1530</v>
      </c>
      <c r="D79" s="1051" t="s">
        <v>1531</v>
      </c>
      <c r="E79" s="1122">
        <v>0.5</v>
      </c>
      <c r="F79" s="1137">
        <v>80</v>
      </c>
    </row>
    <row r="80" spans="1:6" s="1088" customFormat="1" ht="36">
      <c r="A80" s="1137">
        <v>20</v>
      </c>
      <c r="B80" s="3552"/>
      <c r="C80" s="1051" t="s">
        <v>1532</v>
      </c>
      <c r="D80" s="1051" t="s">
        <v>1533</v>
      </c>
      <c r="E80" s="1122">
        <v>0.2</v>
      </c>
      <c r="F80" s="1137">
        <v>30</v>
      </c>
    </row>
    <row r="81" spans="1:6" s="1088" customFormat="1" ht="36">
      <c r="A81" s="1137">
        <v>21</v>
      </c>
      <c r="B81" s="3552"/>
      <c r="C81" s="1051" t="s">
        <v>1534</v>
      </c>
      <c r="D81" s="1051" t="s">
        <v>1535</v>
      </c>
      <c r="E81" s="1122">
        <v>0.2</v>
      </c>
      <c r="F81" s="1137">
        <v>30</v>
      </c>
    </row>
    <row r="82" spans="1:6" s="1088" customFormat="1" ht="48">
      <c r="A82" s="1137">
        <v>22</v>
      </c>
      <c r="B82" s="3552"/>
      <c r="C82" s="1051" t="s">
        <v>1536</v>
      </c>
      <c r="D82" s="1051" t="s">
        <v>1537</v>
      </c>
      <c r="E82" s="1122">
        <v>0.2</v>
      </c>
      <c r="F82" s="1137">
        <v>30</v>
      </c>
    </row>
    <row r="83" spans="1:6" s="1088" customFormat="1" ht="48">
      <c r="A83" s="1137">
        <v>23</v>
      </c>
      <c r="B83" s="3552"/>
      <c r="C83" s="1051" t="s">
        <v>1538</v>
      </c>
      <c r="D83" s="1051" t="s">
        <v>1539</v>
      </c>
      <c r="E83" s="1122">
        <v>0.2</v>
      </c>
      <c r="F83" s="1137">
        <v>30</v>
      </c>
    </row>
    <row r="84" spans="1:6" s="1088" customFormat="1" ht="36">
      <c r="A84" s="1137">
        <v>24</v>
      </c>
      <c r="B84" s="3552"/>
      <c r="C84" s="1051" t="s">
        <v>1540</v>
      </c>
      <c r="D84" s="1051" t="s">
        <v>1541</v>
      </c>
      <c r="E84" s="1122">
        <v>0.2</v>
      </c>
      <c r="F84" s="1137">
        <v>30</v>
      </c>
    </row>
    <row r="85" spans="1:6" s="1088" customFormat="1" ht="36">
      <c r="A85" s="1137">
        <v>25</v>
      </c>
      <c r="B85" s="3552"/>
      <c r="C85" s="1051" t="s">
        <v>1542</v>
      </c>
      <c r="D85" s="1051" t="s">
        <v>1543</v>
      </c>
      <c r="E85" s="1122">
        <v>0.5</v>
      </c>
      <c r="F85" s="1137">
        <v>80</v>
      </c>
    </row>
    <row r="86" spans="1:6" s="1088" customFormat="1" ht="36">
      <c r="A86" s="1137">
        <v>26</v>
      </c>
      <c r="B86" s="3552"/>
      <c r="C86" s="1051" t="s">
        <v>1544</v>
      </c>
      <c r="D86" s="1051" t="s">
        <v>1545</v>
      </c>
      <c r="E86" s="1122">
        <v>0.2</v>
      </c>
      <c r="F86" s="1137">
        <v>30</v>
      </c>
    </row>
    <row r="87" spans="1:6" s="1088" customFormat="1" ht="36">
      <c r="A87" s="1137">
        <v>27</v>
      </c>
      <c r="B87" s="3552"/>
      <c r="C87" s="1051" t="s">
        <v>1546</v>
      </c>
      <c r="D87" s="1051" t="s">
        <v>1547</v>
      </c>
      <c r="E87" s="1122">
        <v>0.2</v>
      </c>
      <c r="F87" s="1137">
        <v>30</v>
      </c>
    </row>
    <row r="88" spans="1:6" s="1088" customFormat="1" ht="36">
      <c r="A88" s="1137">
        <v>28</v>
      </c>
      <c r="B88" s="3552"/>
      <c r="C88" s="1051" t="s">
        <v>1548</v>
      </c>
      <c r="D88" s="1051" t="s">
        <v>1549</v>
      </c>
      <c r="E88" s="1122">
        <v>0.2</v>
      </c>
      <c r="F88" s="1137">
        <v>30</v>
      </c>
    </row>
    <row r="89" spans="1:6" s="1088" customFormat="1" ht="24">
      <c r="A89" s="1137">
        <v>29</v>
      </c>
      <c r="B89" s="3552"/>
      <c r="C89" s="1051" t="s">
        <v>1550</v>
      </c>
      <c r="D89" s="1051" t="s">
        <v>1551</v>
      </c>
      <c r="E89" s="1122">
        <v>0.2</v>
      </c>
      <c r="F89" s="1137">
        <v>30</v>
      </c>
    </row>
    <row r="90" spans="1:6" s="1088" customFormat="1" ht="24">
      <c r="A90" s="1137">
        <v>30</v>
      </c>
      <c r="B90" s="3552"/>
      <c r="C90" s="1051" t="s">
        <v>1552</v>
      </c>
      <c r="D90" s="1051" t="s">
        <v>1553</v>
      </c>
      <c r="E90" s="1122">
        <v>0.2</v>
      </c>
      <c r="F90" s="1137">
        <v>30</v>
      </c>
    </row>
    <row r="91" spans="1:6" s="1088" customFormat="1" ht="36">
      <c r="A91" s="1137">
        <v>31</v>
      </c>
      <c r="B91" s="3552"/>
      <c r="C91" s="1051" t="s">
        <v>1554</v>
      </c>
      <c r="D91" s="1051" t="s">
        <v>1555</v>
      </c>
      <c r="E91" s="1122">
        <v>0.2</v>
      </c>
      <c r="F91" s="1137">
        <v>30</v>
      </c>
    </row>
    <row r="92" spans="1:6" s="1088" customFormat="1" ht="24">
      <c r="A92" s="1137">
        <v>32</v>
      </c>
      <c r="B92" s="3552" t="s">
        <v>1556</v>
      </c>
      <c r="C92" s="1137" t="s">
        <v>1557</v>
      </c>
      <c r="D92" s="1051" t="s">
        <v>1558</v>
      </c>
      <c r="E92" s="1122">
        <v>0.2</v>
      </c>
      <c r="F92" s="1137">
        <v>30</v>
      </c>
    </row>
    <row r="93" spans="1:6" s="1088" customFormat="1" ht="36">
      <c r="A93" s="1137">
        <v>33</v>
      </c>
      <c r="B93" s="3552"/>
      <c r="C93" s="1137" t="s">
        <v>1559</v>
      </c>
      <c r="D93" s="1051" t="s">
        <v>1560</v>
      </c>
      <c r="E93" s="1122">
        <v>0.2</v>
      </c>
      <c r="F93" s="1137">
        <v>30</v>
      </c>
    </row>
    <row r="94" spans="1:6" s="1088" customFormat="1" ht="48">
      <c r="A94" s="1137">
        <v>34</v>
      </c>
      <c r="B94" s="3552"/>
      <c r="C94" s="1137" t="s">
        <v>1561</v>
      </c>
      <c r="D94" s="1051" t="s">
        <v>1562</v>
      </c>
      <c r="E94" s="1122">
        <v>0.2</v>
      </c>
      <c r="F94" s="1137">
        <v>30</v>
      </c>
    </row>
    <row r="95" spans="1:6" s="1088" customFormat="1" ht="36">
      <c r="A95" s="1137">
        <v>35</v>
      </c>
      <c r="B95" s="3552"/>
      <c r="C95" s="1137" t="s">
        <v>1563</v>
      </c>
      <c r="D95" s="1051" t="s">
        <v>1564</v>
      </c>
      <c r="E95" s="1122">
        <v>0.2</v>
      </c>
      <c r="F95" s="1137">
        <v>30</v>
      </c>
    </row>
    <row r="96" spans="1:6" s="1088" customFormat="1" ht="48">
      <c r="A96" s="1137">
        <v>36</v>
      </c>
      <c r="B96" s="3552"/>
      <c r="C96" s="1051" t="s">
        <v>1565</v>
      </c>
      <c r="D96" s="1051" t="s">
        <v>1566</v>
      </c>
      <c r="E96" s="1122">
        <v>0.2</v>
      </c>
      <c r="F96" s="1137">
        <v>30</v>
      </c>
    </row>
    <row r="97" spans="1:6" s="1088" customFormat="1" ht="36">
      <c r="A97" s="1137">
        <v>37</v>
      </c>
      <c r="B97" s="3552"/>
      <c r="C97" s="1137" t="s">
        <v>1567</v>
      </c>
      <c r="D97" s="1051" t="s">
        <v>1568</v>
      </c>
      <c r="E97" s="1122">
        <v>0.2</v>
      </c>
      <c r="F97" s="1137">
        <v>30</v>
      </c>
    </row>
    <row r="98" spans="1:6" s="1088" customFormat="1" ht="36">
      <c r="A98" s="1137">
        <v>38</v>
      </c>
      <c r="B98" s="3552"/>
      <c r="C98" s="1137" t="s">
        <v>1569</v>
      </c>
      <c r="D98" s="1051" t="s">
        <v>1570</v>
      </c>
      <c r="E98" s="1122">
        <v>0.2</v>
      </c>
      <c r="F98" s="1137">
        <v>30</v>
      </c>
    </row>
    <row r="99" spans="1:6" s="1088" customFormat="1" ht="36">
      <c r="A99" s="1137">
        <v>39</v>
      </c>
      <c r="B99" s="3552" t="s">
        <v>1571</v>
      </c>
      <c r="C99" s="1137" t="s">
        <v>1572</v>
      </c>
      <c r="D99" s="1051" t="s">
        <v>1573</v>
      </c>
      <c r="E99" s="1122">
        <v>0.3</v>
      </c>
      <c r="F99" s="1137">
        <v>50</v>
      </c>
    </row>
    <row r="100" spans="1:6" s="1088" customFormat="1" ht="24">
      <c r="A100" s="1137">
        <v>40</v>
      </c>
      <c r="B100" s="3552"/>
      <c r="C100" s="1137" t="s">
        <v>1574</v>
      </c>
      <c r="D100" s="1051" t="s">
        <v>1575</v>
      </c>
      <c r="E100" s="1122">
        <v>0.2</v>
      </c>
      <c r="F100" s="1137">
        <v>30</v>
      </c>
    </row>
    <row r="101" spans="1:6" s="1088" customFormat="1" ht="36">
      <c r="A101" s="1137">
        <v>41</v>
      </c>
      <c r="B101" s="3552"/>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2" t="s">
        <v>1586</v>
      </c>
      <c r="C105" s="1137" t="s">
        <v>1587</v>
      </c>
      <c r="D105" s="1051" t="s">
        <v>1588</v>
      </c>
      <c r="E105" s="1122">
        <v>0.2</v>
      </c>
      <c r="F105" s="1137">
        <v>30</v>
      </c>
    </row>
    <row r="106" spans="1:6" s="1088" customFormat="1" ht="36">
      <c r="A106" s="1137">
        <v>46</v>
      </c>
      <c r="B106" s="3552"/>
      <c r="C106" s="1137" t="s">
        <v>1589</v>
      </c>
      <c r="D106" s="1051" t="s">
        <v>1590</v>
      </c>
      <c r="E106" s="1122">
        <v>0.2</v>
      </c>
      <c r="F106" s="1137">
        <v>30</v>
      </c>
    </row>
    <row r="107" spans="1:6" s="1088" customFormat="1" ht="36">
      <c r="A107" s="1137">
        <v>47</v>
      </c>
      <c r="B107" s="3552" t="s">
        <v>1591</v>
      </c>
      <c r="C107" s="1137" t="s">
        <v>1592</v>
      </c>
      <c r="D107" s="1051" t="s">
        <v>1593</v>
      </c>
      <c r="E107" s="1122">
        <v>0.3</v>
      </c>
      <c r="F107" s="1137">
        <v>50</v>
      </c>
    </row>
    <row r="108" spans="1:6" s="1088" customFormat="1" ht="36">
      <c r="A108" s="1137">
        <v>48</v>
      </c>
      <c r="B108" s="3552"/>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2" t="s">
        <v>1602</v>
      </c>
      <c r="C111" s="1137" t="s">
        <v>1603</v>
      </c>
      <c r="D111" s="1051" t="s">
        <v>1604</v>
      </c>
      <c r="E111" s="1122">
        <v>0.2</v>
      </c>
      <c r="F111" s="1137">
        <v>30</v>
      </c>
    </row>
    <row r="112" spans="1:6" s="1088" customFormat="1" ht="24">
      <c r="A112" s="1137">
        <v>52</v>
      </c>
      <c r="B112" s="3552"/>
      <c r="C112" s="1137" t="s">
        <v>1605</v>
      </c>
      <c r="D112" s="1051" t="s">
        <v>1606</v>
      </c>
      <c r="E112" s="1122">
        <v>0.2</v>
      </c>
      <c r="F112" s="1137">
        <v>30</v>
      </c>
    </row>
    <row r="113" spans="1:14" s="1088" customFormat="1" ht="24">
      <c r="A113" s="1137">
        <v>53</v>
      </c>
      <c r="B113" s="3552"/>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2" t="s">
        <v>1615</v>
      </c>
      <c r="C116" s="1137" t="s">
        <v>1616</v>
      </c>
      <c r="D116" s="1051" t="s">
        <v>1617</v>
      </c>
      <c r="E116" s="1122">
        <v>0.2</v>
      </c>
      <c r="F116" s="1137">
        <v>30</v>
      </c>
    </row>
    <row r="117" spans="1:14" ht="36">
      <c r="A117" s="1137">
        <v>57</v>
      </c>
      <c r="B117" s="3552"/>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1" t="s">
        <v>1624</v>
      </c>
      <c r="B121" s="3551"/>
      <c r="C121" s="3551"/>
      <c r="D121" s="3551"/>
      <c r="E121" s="3551"/>
      <c r="F121" s="3551"/>
      <c r="G121" s="3551"/>
      <c r="H121" s="3551"/>
      <c r="I121" s="3551"/>
      <c r="J121" s="3551"/>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3" t="s">
        <v>1030</v>
      </c>
      <c r="B1" s="3553"/>
      <c r="C1" s="3553"/>
      <c r="D1" s="3553"/>
      <c r="E1" s="3553"/>
      <c r="F1" s="3553"/>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4" t="s">
        <v>1043</v>
      </c>
      <c r="B2" s="3554"/>
      <c r="C2" s="3554"/>
      <c r="D2" s="3554"/>
      <c r="E2" s="3554"/>
      <c r="F2" s="3554"/>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5"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6"/>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7" t="s">
        <v>2068</v>
      </c>
      <c r="B1" s="3557"/>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I6" sqref="I6:L6"/>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65" t="s">
        <v>2557</v>
      </c>
      <c r="C1" s="3565"/>
      <c r="D1" s="3565"/>
      <c r="E1" s="3565"/>
      <c r="F1" s="3565"/>
      <c r="G1" s="3564" t="s">
        <v>2558</v>
      </c>
      <c r="H1" s="3564"/>
      <c r="I1" s="3564"/>
      <c r="J1" s="3564"/>
      <c r="K1" s="3564"/>
      <c r="L1" s="3564"/>
      <c r="N1" s="3564" t="s">
        <v>2559</v>
      </c>
      <c r="O1" s="3564"/>
      <c r="P1" s="3564"/>
      <c r="Q1" s="3564"/>
      <c r="S1" s="3564" t="s">
        <v>2560</v>
      </c>
      <c r="T1" s="3564"/>
      <c r="U1" s="3564"/>
      <c r="V1" s="3564"/>
      <c r="X1" s="3563" t="s">
        <v>2620</v>
      </c>
      <c r="Y1" s="3564"/>
      <c r="Z1" s="3564"/>
      <c r="AA1" s="3564"/>
      <c r="AB1" s="3564"/>
      <c r="AD1" s="3563" t="s">
        <v>2624</v>
      </c>
      <c r="AE1" s="3564"/>
      <c r="AF1" s="3564"/>
      <c r="AG1" s="3564"/>
      <c r="AH1" s="3564"/>
    </row>
    <row r="2" spans="1:34" s="2866" customFormat="1" ht="14.25" thickBot="1">
      <c r="B2" s="2867" t="s">
        <v>2561</v>
      </c>
      <c r="C2" s="2867" t="s">
        <v>2622</v>
      </c>
      <c r="D2" s="2868" t="s">
        <v>1635</v>
      </c>
      <c r="E2" s="2868" t="s">
        <v>1938</v>
      </c>
      <c r="F2" s="2867" t="s">
        <v>2623</v>
      </c>
      <c r="G2" s="2869"/>
      <c r="I2" s="2867" t="s">
        <v>2923</v>
      </c>
      <c r="J2" s="2868" t="s">
        <v>2925</v>
      </c>
      <c r="K2" s="2868" t="s">
        <v>2926</v>
      </c>
      <c r="L2" s="2867" t="s">
        <v>2927</v>
      </c>
      <c r="N2" s="2867" t="s">
        <v>2561</v>
      </c>
      <c r="O2" s="2868" t="s">
        <v>2924</v>
      </c>
      <c r="P2" s="2868" t="s">
        <v>1938</v>
      </c>
      <c r="Q2" s="2867" t="s">
        <v>2623</v>
      </c>
      <c r="S2" s="2867" t="s">
        <v>2561</v>
      </c>
      <c r="T2" s="2868" t="s">
        <v>2924</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2934</v>
      </c>
      <c r="B3" s="2871"/>
      <c r="C3" s="2871"/>
      <c r="D3" s="2872"/>
      <c r="E3" s="2872"/>
      <c r="F3" s="2871"/>
      <c r="G3" s="2873"/>
      <c r="H3" s="2874"/>
      <c r="I3" s="2875">
        <f>ROUND(AVERAGE($I4:$I33),2)</f>
        <v>1.75</v>
      </c>
      <c r="J3" s="2875">
        <f>ROUND(AVERAGE($J4:$J33),2)</f>
        <v>1.1200000000000001</v>
      </c>
      <c r="K3" s="2875">
        <f>ROUND(AVERAGE($K4:$K33),2)</f>
        <v>1.93</v>
      </c>
      <c r="L3" s="2875">
        <f>ROUND(AVERAGE($L4:$L33),2)</f>
        <v>1.28</v>
      </c>
      <c r="N3" s="2873"/>
      <c r="S3" s="2873"/>
      <c r="W3" s="2877"/>
      <c r="X3" s="2878">
        <f>ROUND(SUMPRODUCT(PRODUCT(1+N3:N$32)),4)</f>
        <v>1.6034999999999999</v>
      </c>
      <c r="Y3" s="2878">
        <f>ROUND(SUMPRODUCT(PRODUCT(1+O3:O$32)),4)</f>
        <v>1.3469</v>
      </c>
      <c r="Z3" s="2878">
        <f t="shared" ref="Z3:Z30" si="0">Y3</f>
        <v>1.3469</v>
      </c>
      <c r="AA3" s="2878">
        <f>ROUND(SUMPRODUCT(PRODUCT(1+P3:P$32)),4)</f>
        <v>1.6801999999999999</v>
      </c>
      <c r="AB3" s="2878">
        <f>ROUND(SUMPRODUCT(PRODUCT(1+Q3:Q$32)),4)</f>
        <v>1.4263999999999999</v>
      </c>
      <c r="AD3" s="2879">
        <f>ROUND(AVERAGE(I3:I$33)/100,4)</f>
        <v>1.7500000000000002E-2</v>
      </c>
      <c r="AE3" s="2879">
        <f>ROUND(AVERAGE(J3:J$33)/100,4)</f>
        <v>1.12E-2</v>
      </c>
      <c r="AF3" s="2879">
        <f t="shared" ref="AF3:AF31" si="1">AE3</f>
        <v>1.12E-2</v>
      </c>
      <c r="AG3" s="2879">
        <f>ROUND(AVERAGE(K3:K$33)/100,4)</f>
        <v>1.9300000000000001E-2</v>
      </c>
      <c r="AH3" s="2879">
        <f>ROUND(AVERAGE(L3:L$33)/100,4)</f>
        <v>1.2800000000000001E-2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3003</v>
      </c>
      <c r="B5" s="2890">
        <f t="shared" ref="B5" si="2">B6*(1+N5)</f>
        <v>493.14449689037161</v>
      </c>
      <c r="C5" s="2890">
        <f t="shared" ref="C5" si="3">C6*(1+O5)</f>
        <v>347.21619073020611</v>
      </c>
      <c r="D5" s="2890">
        <f t="shared" ref="D5" si="4">C5</f>
        <v>347.21619073020611</v>
      </c>
      <c r="E5" s="2890">
        <f t="shared" ref="E5" si="5">E6*(1+P5)</f>
        <v>710.55974278763904</v>
      </c>
      <c r="F5" s="2890">
        <f t="shared" ref="F5" si="6">F6*(1+Q5)</f>
        <v>327.94540235306141</v>
      </c>
      <c r="G5" s="2883">
        <v>2021</v>
      </c>
      <c r="H5" s="2891">
        <v>1</v>
      </c>
      <c r="I5" s="2892">
        <v>0</v>
      </c>
      <c r="J5" s="2892">
        <v>0</v>
      </c>
      <c r="K5" s="2892">
        <v>0</v>
      </c>
      <c r="L5" s="2892">
        <v>0</v>
      </c>
      <c r="N5" s="2894">
        <f t="shared" ref="N5" si="7">I5/100</f>
        <v>0</v>
      </c>
      <c r="O5" s="2894">
        <f t="shared" ref="O5" si="8">J5/100</f>
        <v>0</v>
      </c>
      <c r="P5" s="2894">
        <f t="shared" ref="P5" si="9">K5/100</f>
        <v>0</v>
      </c>
      <c r="Q5" s="2894">
        <f t="shared" ref="Q5" si="10">L5/100</f>
        <v>0</v>
      </c>
      <c r="S5" s="2895">
        <f>B5/B6-1</f>
        <v>0</v>
      </c>
      <c r="T5" s="2893">
        <f>C5/C6-1</f>
        <v>0</v>
      </c>
      <c r="U5" s="2893">
        <f>E5/E6-1</f>
        <v>0</v>
      </c>
      <c r="V5" s="2893">
        <f>F5/F6-1</f>
        <v>0</v>
      </c>
      <c r="W5" s="2896" t="s">
        <v>2935</v>
      </c>
      <c r="X5" s="2897">
        <f>ROUND(IF(项目基本情况!B5="出让",SUMPRODUCT(PRODUCT(1+N5:N$33)),SUMPRODUCT(PRODUCT(1+N5:N$32))),4)</f>
        <v>1.6034999999999999</v>
      </c>
      <c r="Y5" s="2897">
        <f>ROUND(IF(项目基本情况!B5="出让",SUMPRODUCT(PRODUCT(1+O5:O$33)),SUMPRODUCT(PRODUCT(1+O5:O$32))),4)</f>
        <v>1.3469</v>
      </c>
      <c r="Z5" s="2897">
        <f t="shared" ref="Z5" si="11">Y5</f>
        <v>1.3469</v>
      </c>
      <c r="AA5" s="2897">
        <f>ROUND(IF(项目基本情况!B5="出让",SUMPRODUCT(PRODUCT(1+P5:P$33)),SUMPRODUCT(PRODUCT(1+P5:P$32))),4)</f>
        <v>1.6801999999999999</v>
      </c>
      <c r="AB5" s="2897">
        <f>ROUND(IF(项目基本情况!B5="出让",SUMPRODUCT(PRODUCT(1+Q5:Q$33)),SUMPRODUCT(PRODUCT(1+Q5:Q$32))),4)</f>
        <v>1.4263999999999999</v>
      </c>
      <c r="AD5" s="2898">
        <f>ROUND(AVERAGE(I5:I$33)/100,4)</f>
        <v>1.7500000000000002E-2</v>
      </c>
      <c r="AE5" s="2898">
        <f>ROUND(AVERAGE(J5:J$33)/100,4)</f>
        <v>1.12E-2</v>
      </c>
      <c r="AF5" s="2898">
        <f t="shared" ref="AF5" si="12">AE5</f>
        <v>1.12E-2</v>
      </c>
      <c r="AG5" s="2898">
        <f>ROUND(AVERAGE(K5:K$33)/100,4)</f>
        <v>1.9300000000000001E-2</v>
      </c>
      <c r="AH5" s="2898">
        <f>ROUND(AVERAGE(L5:L$33)/100,4)</f>
        <v>1.2800000000000001E-2</v>
      </c>
    </row>
    <row r="6" spans="1:34" s="2906" customFormat="1">
      <c r="A6" s="2899" t="s">
        <v>3004</v>
      </c>
      <c r="B6" s="2900">
        <f t="shared" ref="B6" si="13">B7*(1+N6)</f>
        <v>493.14449689037161</v>
      </c>
      <c r="C6" s="2900">
        <f t="shared" ref="C6" si="14">C7*(1+O6)</f>
        <v>347.21619073020611</v>
      </c>
      <c r="D6" s="2900">
        <f t="shared" ref="D6" si="15">C6</f>
        <v>347.21619073020611</v>
      </c>
      <c r="E6" s="2900">
        <f t="shared" ref="E6" si="16">E7*(1+P6)</f>
        <v>710.55974278763904</v>
      </c>
      <c r="F6" s="2900">
        <f t="shared" ref="F6" si="17">F7*(1+Q6)</f>
        <v>327.94540235306141</v>
      </c>
      <c r="G6" s="2883">
        <v>2020</v>
      </c>
      <c r="H6" s="2901">
        <v>4</v>
      </c>
      <c r="I6" s="2863">
        <v>2.0699999999999998</v>
      </c>
      <c r="J6" s="2863">
        <v>0.37</v>
      </c>
      <c r="K6" s="2863">
        <v>2.35</v>
      </c>
      <c r="L6" s="2864">
        <v>2.69</v>
      </c>
      <c r="M6" s="2887"/>
      <c r="N6" s="2902">
        <f t="shared" ref="N6" si="18">I6/100</f>
        <v>2.07E-2</v>
      </c>
      <c r="O6" s="2888">
        <f t="shared" ref="O6" si="19">J6/100</f>
        <v>3.7000000000000002E-3</v>
      </c>
      <c r="P6" s="2888">
        <f t="shared" ref="P6" si="20">K6/100</f>
        <v>2.35E-2</v>
      </c>
      <c r="Q6" s="2888">
        <f t="shared" ref="Q6" si="21">L6/100</f>
        <v>2.69E-2</v>
      </c>
      <c r="R6" s="2903"/>
      <c r="S6" s="2904"/>
      <c r="T6" s="2905"/>
      <c r="U6" s="2905"/>
      <c r="V6" s="2905"/>
      <c r="W6" s="2887"/>
      <c r="X6" s="2887">
        <f>ROUND(IF(项目基本情况!B6="出让",SUMPRODUCT(PRODUCT(1+N6:N$33)),SUMPRODUCT(PRODUCT(1+N6:N$32))),4)</f>
        <v>1.6034999999999999</v>
      </c>
      <c r="Y6" s="2887">
        <f>ROUND(IF(项目基本情况!B6="出让",SUMPRODUCT(PRODUCT(1+O6:O$33)),SUMPRODUCT(PRODUCT(1+O6:O$32))),4)</f>
        <v>1.3469</v>
      </c>
      <c r="Z6" s="2887">
        <f t="shared" ref="Z6" si="22">Y6</f>
        <v>1.3469</v>
      </c>
      <c r="AA6" s="2887">
        <f>ROUND(IF(项目基本情况!B6="出让",SUMPRODUCT(PRODUCT(1+P6:P$33)),SUMPRODUCT(PRODUCT(1+P6:P$32))),4)</f>
        <v>1.6801999999999999</v>
      </c>
      <c r="AB6" s="2887">
        <f>ROUND(IF(项目基本情况!B6="出让",SUMPRODUCT(PRODUCT(1+Q6:Q$33)),SUMPRODUCT(PRODUCT(1+Q6:Q$32))),4)</f>
        <v>1.4263999999999999</v>
      </c>
      <c r="AC6" s="2887"/>
      <c r="AD6" s="2888">
        <f>ROUND(AVERAGE(I6:I$33)/100,4)</f>
        <v>1.8200000000000001E-2</v>
      </c>
      <c r="AE6" s="2888">
        <f>ROUND(AVERAGE(J6:J$33)/100,4)</f>
        <v>1.1599999999999999E-2</v>
      </c>
      <c r="AF6" s="2888">
        <f t="shared" ref="AF6" si="23">AE6</f>
        <v>1.1599999999999999E-2</v>
      </c>
      <c r="AG6" s="2888">
        <f>ROUND(AVERAGE(K6:K$33)/100,4)</f>
        <v>0.02</v>
      </c>
      <c r="AH6" s="2888">
        <f>ROUND(AVERAGE(L6:L$33)/100,4)</f>
        <v>1.3299999999999999E-2</v>
      </c>
    </row>
    <row r="7" spans="1:34" s="2906" customFormat="1">
      <c r="A7" s="2899" t="s">
        <v>3002</v>
      </c>
      <c r="B7" s="2900">
        <f t="shared" ref="B7" si="24">B8*(1+N7)</f>
        <v>483.1434279321756</v>
      </c>
      <c r="C7" s="2900">
        <f t="shared" ref="C7" si="25">C8*(1+O7)</f>
        <v>345.93622669144776</v>
      </c>
      <c r="D7" s="2900">
        <f t="shared" ref="D7" si="26">C7</f>
        <v>345.93622669144776</v>
      </c>
      <c r="E7" s="2900">
        <f t="shared" ref="E7" si="27">E8*(1+P7)</f>
        <v>694.24498562544113</v>
      </c>
      <c r="F7" s="2900">
        <f t="shared" ref="F7" si="28">F8*(1+Q7)</f>
        <v>319.35475932716082</v>
      </c>
      <c r="G7" s="2883">
        <v>2020</v>
      </c>
      <c r="H7" s="2901">
        <v>3</v>
      </c>
      <c r="I7" s="2863">
        <v>0.36</v>
      </c>
      <c r="J7" s="2863">
        <v>-0.39</v>
      </c>
      <c r="K7" s="2863">
        <v>0.49</v>
      </c>
      <c r="L7" s="2864">
        <v>7.0000000000000007E-2</v>
      </c>
      <c r="M7" s="2887"/>
      <c r="N7" s="2902">
        <f t="shared" ref="N7" si="29">I7/100</f>
        <v>3.5999999999999999E-3</v>
      </c>
      <c r="O7" s="2888">
        <f t="shared" ref="O7" si="30">J7/100</f>
        <v>-3.9000000000000003E-3</v>
      </c>
      <c r="P7" s="2888">
        <f t="shared" ref="P7" si="31">K7/100</f>
        <v>4.8999999999999998E-3</v>
      </c>
      <c r="Q7" s="2888">
        <f t="shared" ref="Q7" si="32">L7/100</f>
        <v>7.000000000000001E-4</v>
      </c>
      <c r="R7" s="2903"/>
      <c r="S7" s="2904"/>
      <c r="T7" s="2905"/>
      <c r="U7" s="2905"/>
      <c r="V7" s="2905"/>
      <c r="W7" s="2887"/>
      <c r="X7" s="2887">
        <f>ROUND(IF(项目基本情况!B7="出让",SUMPRODUCT(PRODUCT(1+N7:N$33)),SUMPRODUCT(PRODUCT(1+N7:N$32))),4)</f>
        <v>1.571</v>
      </c>
      <c r="Y7" s="2887">
        <f>ROUND(IF(项目基本情况!B7="出让",SUMPRODUCT(PRODUCT(1+O7:O$33)),SUMPRODUCT(PRODUCT(1+O7:O$32))),4)</f>
        <v>1.3420000000000001</v>
      </c>
      <c r="Z7" s="2887">
        <f t="shared" ref="Z7" si="33">Y7</f>
        <v>1.3420000000000001</v>
      </c>
      <c r="AA7" s="2887">
        <f>ROUND(IF(项目基本情况!B7="出让",SUMPRODUCT(PRODUCT(1+P7:P$33)),SUMPRODUCT(PRODUCT(1+P7:P$32))),4)</f>
        <v>1.6415999999999999</v>
      </c>
      <c r="AB7" s="2887">
        <f>ROUND(IF(项目基本情况!B7="出让",SUMPRODUCT(PRODUCT(1+Q7:Q$33)),SUMPRODUCT(PRODUCT(1+Q7:Q$32))),4)</f>
        <v>1.389</v>
      </c>
      <c r="AC7" s="2887"/>
      <c r="AD7" s="2888">
        <f>ROUND(AVERAGE(I7:I$33)/100,4)</f>
        <v>1.8100000000000002E-2</v>
      </c>
      <c r="AE7" s="2888">
        <f>ROUND(AVERAGE(J7:J$33)/100,4)</f>
        <v>1.1900000000000001E-2</v>
      </c>
      <c r="AF7" s="2888">
        <f t="shared" ref="AF7" si="34">AE7</f>
        <v>1.1900000000000001E-2</v>
      </c>
      <c r="AG7" s="2888">
        <f>ROUND(AVERAGE(K7:K$33)/100,4)</f>
        <v>1.9900000000000001E-2</v>
      </c>
      <c r="AH7" s="2888">
        <f>ROUND(AVERAGE(L7:L$33)/100,4)</f>
        <v>1.2800000000000001E-2</v>
      </c>
    </row>
    <row r="8" spans="1:34" s="2906" customFormat="1">
      <c r="A8" s="2899" t="s">
        <v>2964</v>
      </c>
      <c r="B8" s="2900">
        <f t="shared" ref="B8" si="35">B9*(1+N8)</f>
        <v>481.4103506697644</v>
      </c>
      <c r="C8" s="2900">
        <f t="shared" ref="C8" si="36">C9*(1+O8)</f>
        <v>347.29066026648707</v>
      </c>
      <c r="D8" s="2900">
        <f t="shared" ref="D8" si="37">C8</f>
        <v>347.29066026648707</v>
      </c>
      <c r="E8" s="2900">
        <f t="shared" ref="E8" si="38">E9*(1+P8)</f>
        <v>690.85977273901995</v>
      </c>
      <c r="F8" s="2900">
        <f t="shared" ref="F8" si="39">F9*(1+Q8)</f>
        <v>319.13136737000184</v>
      </c>
      <c r="G8" s="2883">
        <v>2020</v>
      </c>
      <c r="H8" s="2901">
        <v>2</v>
      </c>
      <c r="I8" s="2863">
        <v>0.31</v>
      </c>
      <c r="J8" s="2863">
        <v>-0.78</v>
      </c>
      <c r="K8" s="2863">
        <v>0.5</v>
      </c>
      <c r="L8" s="2864">
        <v>0.47</v>
      </c>
      <c r="M8" s="2887"/>
      <c r="N8" s="2902">
        <f t="shared" ref="N8" si="40">I8/100</f>
        <v>3.0999999999999999E-3</v>
      </c>
      <c r="O8" s="2888">
        <f t="shared" ref="O8" si="41">J8/100</f>
        <v>-7.8000000000000005E-3</v>
      </c>
      <c r="P8" s="2888">
        <f t="shared" ref="P8" si="42">K8/100</f>
        <v>5.0000000000000001E-3</v>
      </c>
      <c r="Q8" s="2888">
        <f t="shared" ref="Q8" si="43">L8/100</f>
        <v>4.6999999999999993E-3</v>
      </c>
      <c r="R8" s="2903"/>
      <c r="S8" s="2904"/>
      <c r="T8" s="2905"/>
      <c r="U8" s="2905"/>
      <c r="V8" s="2905"/>
      <c r="W8" s="2887"/>
      <c r="X8" s="2887">
        <f>ROUND(IF(项目基本情况!B8="出让",SUMPRODUCT(PRODUCT(1+N8:N$33)),SUMPRODUCT(PRODUCT(1+N8:N$32))),4)</f>
        <v>1.5652999999999999</v>
      </c>
      <c r="Y8" s="2887">
        <f>ROUND(IF(项目基本情况!B8="出让",SUMPRODUCT(PRODUCT(1+O8:O$33)),SUMPRODUCT(PRODUCT(1+O8:O$32))),4)</f>
        <v>1.3472</v>
      </c>
      <c r="Z8" s="2887">
        <f t="shared" ref="Z8" si="44">Y8</f>
        <v>1.3472</v>
      </c>
      <c r="AA8" s="2887">
        <f>ROUND(IF(项目基本情况!B8="出让",SUMPRODUCT(PRODUCT(1+P8:P$33)),SUMPRODUCT(PRODUCT(1+P8:P$32))),4)</f>
        <v>1.6335999999999999</v>
      </c>
      <c r="AB8" s="2887">
        <f>ROUND(IF(项目基本情况!B8="出让",SUMPRODUCT(PRODUCT(1+Q8:Q$33)),SUMPRODUCT(PRODUCT(1+Q8:Q$32))),4)</f>
        <v>1.3880999999999999</v>
      </c>
      <c r="AC8" s="2887"/>
      <c r="AD8" s="2888">
        <f>ROUND(AVERAGE(I8:I$33)/100,4)</f>
        <v>1.8599999999999998E-2</v>
      </c>
      <c r="AE8" s="2888">
        <f>ROUND(AVERAGE(J8:J$33)/100,4)</f>
        <v>1.2500000000000001E-2</v>
      </c>
      <c r="AF8" s="2888">
        <f t="shared" ref="AF8" si="45">AE8</f>
        <v>1.2500000000000001E-2</v>
      </c>
      <c r="AG8" s="2888">
        <f>ROUND(AVERAGE(K8:K$33)/100,4)</f>
        <v>2.0400000000000001E-2</v>
      </c>
      <c r="AH8" s="2888">
        <f>ROUND(AVERAGE(L8:L$33)/100,4)</f>
        <v>1.32E-2</v>
      </c>
    </row>
    <row r="9" spans="1:34" s="2906" customFormat="1">
      <c r="A9" s="2899" t="s">
        <v>2962</v>
      </c>
      <c r="B9" s="2900">
        <f t="shared" ref="B9" si="46">B10*(1+N9)</f>
        <v>479.92259063878413</v>
      </c>
      <c r="C9" s="2900">
        <f t="shared" ref="C9" si="47">C10*(1+O9)</f>
        <v>350.02082268341775</v>
      </c>
      <c r="D9" s="2900">
        <f t="shared" ref="D9" si="48">C9</f>
        <v>350.02082268341775</v>
      </c>
      <c r="E9" s="2900">
        <f t="shared" ref="E9" si="49">E10*(1+P9)</f>
        <v>687.42265944181099</v>
      </c>
      <c r="F9" s="2900">
        <f t="shared" ref="F9" si="50">F10*(1+Q9)</f>
        <v>317.63846657708956</v>
      </c>
      <c r="G9" s="2883">
        <v>2020</v>
      </c>
      <c r="H9" s="2901">
        <v>1</v>
      </c>
      <c r="I9" s="2863">
        <v>0.12</v>
      </c>
      <c r="J9" s="2863">
        <v>-0.4</v>
      </c>
      <c r="K9" s="2863">
        <v>0.21</v>
      </c>
      <c r="L9" s="2864">
        <v>0.27</v>
      </c>
      <c r="M9" s="2887"/>
      <c r="N9" s="2902">
        <f t="shared" ref="N9" si="51">I9/100</f>
        <v>1.1999999999999999E-3</v>
      </c>
      <c r="O9" s="2888">
        <f t="shared" ref="O9" si="52">J9/100</f>
        <v>-4.0000000000000001E-3</v>
      </c>
      <c r="P9" s="2888">
        <f t="shared" ref="P9" si="53">K9/100</f>
        <v>2.0999999999999999E-3</v>
      </c>
      <c r="Q9" s="2888">
        <f t="shared" ref="Q9" si="54">L9/100</f>
        <v>2.7000000000000001E-3</v>
      </c>
      <c r="R9" s="2903"/>
      <c r="S9" s="2904">
        <f>B9/B10-1</f>
        <v>1.2000000000000899E-3</v>
      </c>
      <c r="T9" s="2905">
        <f>C9/C10-1</f>
        <v>-4.0000000000000036E-3</v>
      </c>
      <c r="U9" s="2905">
        <f>E9/E10-1</f>
        <v>2.0999999999999908E-3</v>
      </c>
      <c r="V9" s="2905">
        <f>F9/F10-1</f>
        <v>2.6999999999999247E-3</v>
      </c>
      <c r="W9" s="2887"/>
      <c r="X9" s="2887">
        <f>ROUND(IF(项目基本情况!B8="出让",SUMPRODUCT(PRODUCT(1+N9:N$33)),SUMPRODUCT(PRODUCT(1+N9:N$32))),4)</f>
        <v>1.5605</v>
      </c>
      <c r="Y9" s="2887">
        <f>ROUND(IF(项目基本情况!B8="出让",SUMPRODUCT(PRODUCT(1+O9:O$33)),SUMPRODUCT(PRODUCT(1+O9:O$32))),4)</f>
        <v>1.3577999999999999</v>
      </c>
      <c r="Z9" s="2887">
        <f t="shared" ref="Z9" si="55">Y9</f>
        <v>1.3577999999999999</v>
      </c>
      <c r="AA9" s="2887">
        <f>ROUND(IF(项目基本情况!B8="出让",SUMPRODUCT(PRODUCT(1+P9:P$33)),SUMPRODUCT(PRODUCT(1+P9:P$32))),4)</f>
        <v>1.6254999999999999</v>
      </c>
      <c r="AB9" s="2887">
        <f>ROUND(IF(项目基本情况!B8="出让",SUMPRODUCT(PRODUCT(1+Q9:Q$33)),SUMPRODUCT(PRODUCT(1+Q9:Q$32))),4)</f>
        <v>1.3815999999999999</v>
      </c>
      <c r="AC9" s="2887"/>
      <c r="AD9" s="2888">
        <f>ROUND(AVERAGE(I9:I$33)/100,4)</f>
        <v>1.9199999999999998E-2</v>
      </c>
      <c r="AE9" s="2888">
        <f>ROUND(AVERAGE(J9:J$33)/100,4)</f>
        <v>1.3299999999999999E-2</v>
      </c>
      <c r="AF9" s="2888">
        <f t="shared" ref="AF9" si="56">AE9</f>
        <v>1.3299999999999999E-2</v>
      </c>
      <c r="AG9" s="2888">
        <f>ROUND(AVERAGE(K9:K$33)/100,4)</f>
        <v>2.1100000000000001E-2</v>
      </c>
      <c r="AH9" s="2888">
        <f>ROUND(AVERAGE(L9:L$33)/100,4)</f>
        <v>1.3599999999999999E-2</v>
      </c>
    </row>
    <row r="10" spans="1:34" s="2906" customFormat="1">
      <c r="A10" s="2899" t="s">
        <v>2959</v>
      </c>
      <c r="B10" s="2900">
        <f t="shared" ref="B10" si="57">B11*(1+N10)</f>
        <v>479.34737379023579</v>
      </c>
      <c r="C10" s="2900">
        <f t="shared" ref="C10" si="58">C11*(1+O10)</f>
        <v>351.4265287986122</v>
      </c>
      <c r="D10" s="2900">
        <f t="shared" ref="D10" si="59">C10</f>
        <v>351.4265287986122</v>
      </c>
      <c r="E10" s="2900">
        <f t="shared" ref="E10" si="60">E11*(1+P10)</f>
        <v>685.98209703803116</v>
      </c>
      <c r="F10" s="2900">
        <f t="shared" ref="F10" si="61">F11*(1+Q10)</f>
        <v>316.78315206651001</v>
      </c>
      <c r="G10" s="2883">
        <v>2019</v>
      </c>
      <c r="H10" s="2901">
        <v>4</v>
      </c>
      <c r="I10" s="2901">
        <v>0.45</v>
      </c>
      <c r="J10" s="2901">
        <v>-0.12</v>
      </c>
      <c r="K10" s="2901">
        <v>0.54</v>
      </c>
      <c r="L10" s="2907">
        <v>0.48</v>
      </c>
      <c r="M10" s="2887"/>
      <c r="N10" s="2902">
        <f t="shared" ref="N10" si="62">I10/100</f>
        <v>4.5000000000000005E-3</v>
      </c>
      <c r="O10" s="2888">
        <f t="shared" ref="O10" si="63">J10/100</f>
        <v>-1.1999999999999999E-3</v>
      </c>
      <c r="P10" s="2888">
        <f t="shared" ref="P10" si="64">K10/100</f>
        <v>5.4000000000000003E-3</v>
      </c>
      <c r="Q10" s="2888">
        <f t="shared" ref="Q10" si="65">L10/100</f>
        <v>4.7999999999999996E-3</v>
      </c>
      <c r="R10" s="2903"/>
      <c r="S10" s="2904"/>
      <c r="T10" s="2905"/>
      <c r="U10" s="2905"/>
      <c r="V10" s="2905"/>
      <c r="W10" s="2887"/>
      <c r="X10" s="2887">
        <f>ROUND(IF(项目基本情况!B8="出让",SUMPRODUCT(PRODUCT(1+N10:N$33)),SUMPRODUCT(PRODUCT(1+N10:N$32))),4)</f>
        <v>1.5586</v>
      </c>
      <c r="Y10" s="2887">
        <f>ROUND(IF(项目基本情况!B8="出让",SUMPRODUCT(PRODUCT(1+O10:O$33)),SUMPRODUCT(PRODUCT(1+O10:O$32))),4)</f>
        <v>1.3633</v>
      </c>
      <c r="Z10" s="2887">
        <f t="shared" ref="Z10" si="66">Y10</f>
        <v>1.3633</v>
      </c>
      <c r="AA10" s="2887">
        <f>ROUND(IF(项目基本情况!B8="出让",SUMPRODUCT(PRODUCT(1+P10:P$33)),SUMPRODUCT(PRODUCT(1+P10:P$32))),4)</f>
        <v>1.6221000000000001</v>
      </c>
      <c r="AB10" s="2887">
        <f>ROUND(IF(项目基本情况!B8="出让",SUMPRODUCT(PRODUCT(1+Q10:Q$33)),SUMPRODUCT(PRODUCT(1+Q10:Q$32))),4)</f>
        <v>1.3777999999999999</v>
      </c>
      <c r="AC10" s="2887"/>
      <c r="AD10" s="2888">
        <f>ROUND(AVERAGE(I10:I$33)/100,4)</f>
        <v>0.02</v>
      </c>
      <c r="AE10" s="2888">
        <f>ROUND(AVERAGE(J10:J$33)/100,4)</f>
        <v>1.4E-2</v>
      </c>
      <c r="AF10" s="2888">
        <f t="shared" ref="AF10" si="67">AE10</f>
        <v>1.4E-2</v>
      </c>
      <c r="AG10" s="2888">
        <f>ROUND(AVERAGE(K10:K$33)/100,4)</f>
        <v>2.1899999999999999E-2</v>
      </c>
      <c r="AH10" s="2888">
        <f>ROUND(AVERAGE(L10:L$33)/100,4)</f>
        <v>1.4E-2</v>
      </c>
    </row>
    <row r="11" spans="1:34" s="2906" customFormat="1" ht="13.5" thickBot="1">
      <c r="A11" s="2899" t="s">
        <v>2958</v>
      </c>
      <c r="B11" s="2900">
        <f t="shared" ref="B11" si="68">B12*(1+N11)</f>
        <v>477.19997390765138</v>
      </c>
      <c r="C11" s="2900">
        <f t="shared" ref="C11" si="69">C12*(1+O11)</f>
        <v>351.84874729536665</v>
      </c>
      <c r="D11" s="2900">
        <f t="shared" ref="D11" si="70">C11</f>
        <v>351.84874729536665</v>
      </c>
      <c r="E11" s="2900">
        <f t="shared" ref="E11" si="71">E12*(1+P11)</f>
        <v>682.29768951465201</v>
      </c>
      <c r="F11" s="2900">
        <f t="shared" ref="F11" si="72">F12*(1+Q11)</f>
        <v>315.26985675409043</v>
      </c>
      <c r="G11" s="2883">
        <v>2019</v>
      </c>
      <c r="H11" s="2901">
        <v>3</v>
      </c>
      <c r="I11" s="2901">
        <v>0.61</v>
      </c>
      <c r="J11" s="2901">
        <v>0.67</v>
      </c>
      <c r="K11" s="2901">
        <v>0.6</v>
      </c>
      <c r="L11" s="2907">
        <v>1.03</v>
      </c>
      <c r="M11" s="2887"/>
      <c r="N11" s="2902">
        <f t="shared" ref="N11" si="73">I11/100</f>
        <v>6.0999999999999995E-3</v>
      </c>
      <c r="O11" s="2888">
        <f t="shared" ref="O11" si="74">J11/100</f>
        <v>6.7000000000000002E-3</v>
      </c>
      <c r="P11" s="2888">
        <f t="shared" ref="P11" si="75">K11/100</f>
        <v>6.0000000000000001E-3</v>
      </c>
      <c r="Q11" s="2888">
        <f t="shared" ref="Q11" si="76">L11/100</f>
        <v>1.03E-2</v>
      </c>
      <c r="R11" s="2903"/>
      <c r="S11" s="2904"/>
      <c r="T11" s="2905"/>
      <c r="U11" s="2905"/>
      <c r="V11" s="2905"/>
      <c r="W11" s="2887"/>
      <c r="X11" s="2887">
        <f>ROUND(IF(项目基本情况!B8="出让",SUMPRODUCT(PRODUCT(1+N11:N$33)),SUMPRODUCT(PRODUCT(1+N11:N$32))),4)</f>
        <v>1.5516000000000001</v>
      </c>
      <c r="Y11" s="2887">
        <f>ROUND(IF(项目基本情况!B8="出让",SUMPRODUCT(PRODUCT(1+O11:O$33)),SUMPRODUCT(PRODUCT(1+O11:O$32))),4)</f>
        <v>1.3649</v>
      </c>
      <c r="Z11" s="2887">
        <f t="shared" ref="Z11" si="77">Y11</f>
        <v>1.3649</v>
      </c>
      <c r="AA11" s="2887">
        <f>ROUND(IF(项目基本情况!B8="出让",SUMPRODUCT(PRODUCT(1+P11:P$33)),SUMPRODUCT(PRODUCT(1+P11:P$32))),4)</f>
        <v>1.6133999999999999</v>
      </c>
      <c r="AB11" s="2887">
        <f>ROUND(IF(项目基本情况!B8="出让",SUMPRODUCT(PRODUCT(1+Q11:Q$33)),SUMPRODUCT(PRODUCT(1+Q11:Q$32))),4)</f>
        <v>1.3713</v>
      </c>
      <c r="AC11" s="2887"/>
      <c r="AD11" s="2888">
        <f>ROUND(AVERAGE(I11:I$33)/100,4)</f>
        <v>2.07E-2</v>
      </c>
      <c r="AE11" s="2888">
        <f>ROUND(AVERAGE(J11:J$33)/100,4)</f>
        <v>1.47E-2</v>
      </c>
      <c r="AF11" s="2888">
        <f t="shared" ref="AF11" si="78">AE11</f>
        <v>1.47E-2</v>
      </c>
      <c r="AG11" s="2888">
        <f>ROUND(AVERAGE(K11:K$33)/100,4)</f>
        <v>2.2599999999999999E-2</v>
      </c>
      <c r="AH11" s="2888">
        <f>ROUND(AVERAGE(L11:L$33)/100,4)</f>
        <v>1.44E-2</v>
      </c>
    </row>
    <row r="12" spans="1:34" s="2906" customFormat="1">
      <c r="A12" s="2899" t="s">
        <v>2955</v>
      </c>
      <c r="B12" s="2900">
        <f t="shared" ref="B12:B17" si="79">B13*(1+N12)</f>
        <v>474.30670301923408</v>
      </c>
      <c r="C12" s="2900">
        <f t="shared" ref="C12" si="80">C13*(1+O12)</f>
        <v>349.50705005996491</v>
      </c>
      <c r="D12" s="2900">
        <f t="shared" ref="D12" si="81">C12</f>
        <v>349.50705005996491</v>
      </c>
      <c r="E12" s="2900">
        <f t="shared" ref="E12" si="82">E13*(1+P12)</f>
        <v>678.22831959706957</v>
      </c>
      <c r="F12" s="2900">
        <f t="shared" ref="F12" si="83">F13*(1+Q12)</f>
        <v>312.0556832169558</v>
      </c>
      <c r="G12" s="2883">
        <v>2019</v>
      </c>
      <c r="H12" s="2908">
        <v>2</v>
      </c>
      <c r="I12" s="2908">
        <v>1.53</v>
      </c>
      <c r="J12" s="2908">
        <v>1.01</v>
      </c>
      <c r="K12" s="2908">
        <v>1.62</v>
      </c>
      <c r="L12" s="2909">
        <v>1.25</v>
      </c>
      <c r="M12" s="2887"/>
      <c r="N12" s="2902">
        <f t="shared" ref="N12" si="84">I12/100</f>
        <v>1.5300000000000001E-2</v>
      </c>
      <c r="O12" s="2888">
        <f t="shared" ref="O12" si="85">J12/100</f>
        <v>1.01E-2</v>
      </c>
      <c r="P12" s="2888">
        <f t="shared" ref="P12" si="86">K12/100</f>
        <v>1.6200000000000003E-2</v>
      </c>
      <c r="Q12" s="2888">
        <f t="shared" ref="Q12" si="87">L12/100</f>
        <v>1.2500000000000001E-2</v>
      </c>
      <c r="R12" s="2903"/>
      <c r="S12" s="2904"/>
      <c r="T12" s="2905"/>
      <c r="U12" s="2905"/>
      <c r="V12" s="2905"/>
      <c r="W12" s="2887"/>
      <c r="X12" s="2887">
        <f>ROUND(IF(项目基本情况!B8="出让",SUMPRODUCT(PRODUCT(1+N12:N$33)),SUMPRODUCT(PRODUCT(1+N12:N$32))),4)</f>
        <v>1.5422</v>
      </c>
      <c r="Y12" s="2887">
        <f>ROUND(IF(项目基本情况!B8="出让",SUMPRODUCT(PRODUCT(1+O12:O$33)),SUMPRODUCT(PRODUCT(1+O12:O$32))),4)</f>
        <v>1.3557999999999999</v>
      </c>
      <c r="Z12" s="2887">
        <f t="shared" ref="Z12" si="88">Y12</f>
        <v>1.3557999999999999</v>
      </c>
      <c r="AA12" s="2887">
        <f>ROUND(IF(项目基本情况!B8="出让",SUMPRODUCT(PRODUCT(1+P12:P$33)),SUMPRODUCT(PRODUCT(1+P12:P$32))),4)</f>
        <v>1.6036999999999999</v>
      </c>
      <c r="AB12" s="2887">
        <f>ROUND(IF(项目基本情况!B8="出让",SUMPRODUCT(PRODUCT(1+Q12:Q$33)),SUMPRODUCT(PRODUCT(1+Q12:Q$32))),4)</f>
        <v>1.3573</v>
      </c>
      <c r="AC12" s="2887"/>
      <c r="AD12" s="2888">
        <f>ROUND(AVERAGE(I12:I$33)/100,4)</f>
        <v>2.1299999999999999E-2</v>
      </c>
      <c r="AE12" s="2888">
        <f>ROUND(AVERAGE(J12:J$33)/100,4)</f>
        <v>1.4999999999999999E-2</v>
      </c>
      <c r="AF12" s="2888">
        <f t="shared" ref="AF12" si="89">AE12</f>
        <v>1.4999999999999999E-2</v>
      </c>
      <c r="AG12" s="2888">
        <f>ROUND(AVERAGE(K12:K$33)/100,4)</f>
        <v>2.3300000000000001E-2</v>
      </c>
      <c r="AH12" s="2888">
        <f>ROUND(AVERAGE(L12:L$33)/100,4)</f>
        <v>1.46E-2</v>
      </c>
    </row>
    <row r="13" spans="1:34" s="2906" customFormat="1" ht="13.5" thickBot="1">
      <c r="A13" s="2899" t="s">
        <v>2954</v>
      </c>
      <c r="B13" s="2900">
        <f t="shared" si="79"/>
        <v>467.15916775261894</v>
      </c>
      <c r="C13" s="2900">
        <f t="shared" ref="C13" si="90">C14*(1+O13)</f>
        <v>346.01232557169084</v>
      </c>
      <c r="D13" s="2900">
        <f t="shared" ref="D13" si="91">C13</f>
        <v>346.01232557169084</v>
      </c>
      <c r="E13" s="2900">
        <f t="shared" ref="E13" si="92">E14*(1+P13)</f>
        <v>667.41617752122568</v>
      </c>
      <c r="F13" s="2900">
        <f t="shared" ref="F13" si="93">F14*(1+Q13)</f>
        <v>308.20314391798104</v>
      </c>
      <c r="G13" s="2883">
        <v>2019</v>
      </c>
      <c r="H13" s="2901">
        <v>1</v>
      </c>
      <c r="I13" s="2901">
        <v>0.6</v>
      </c>
      <c r="J13" s="2901">
        <v>0.37</v>
      </c>
      <c r="K13" s="2901">
        <v>0.63</v>
      </c>
      <c r="L13" s="2907">
        <v>1.1299999999999999</v>
      </c>
      <c r="M13" s="2887"/>
      <c r="N13" s="2902">
        <f t="shared" ref="N13" si="94">I13/100</f>
        <v>6.0000000000000001E-3</v>
      </c>
      <c r="O13" s="2888">
        <f t="shared" ref="O13" si="95">J13/100</f>
        <v>3.7000000000000002E-3</v>
      </c>
      <c r="P13" s="2888">
        <f t="shared" ref="P13" si="96">K13/100</f>
        <v>6.3E-3</v>
      </c>
      <c r="Q13" s="2888">
        <f t="shared" ref="Q13" si="97">L13/100</f>
        <v>1.1299999999999999E-2</v>
      </c>
      <c r="R13" s="2903"/>
      <c r="S13" s="2904">
        <f>B13/B14-1</f>
        <v>6.0000000000000053E-3</v>
      </c>
      <c r="T13" s="2905">
        <f>C13/C14-1</f>
        <v>3.7000000000000366E-3</v>
      </c>
      <c r="U13" s="2905">
        <f>E13/E14-1</f>
        <v>6.2999999999999723E-3</v>
      </c>
      <c r="V13" s="2905">
        <f>F13/F14-1</f>
        <v>1.1300000000000088E-2</v>
      </c>
      <c r="W13" s="2887"/>
      <c r="X13" s="2887">
        <f>ROUND(IF(项目基本情况!B8="出让",SUMPRODUCT(PRODUCT(1+N13:N$33)),SUMPRODUCT(PRODUCT(1+N13:N$32))),4)</f>
        <v>1.5189999999999999</v>
      </c>
      <c r="Y13" s="2887">
        <f>ROUND(IF(项目基本情况!B8="出让",SUMPRODUCT(PRODUCT(1+O13:O$33)),SUMPRODUCT(PRODUCT(1+O13:O$32))),4)</f>
        <v>1.3423</v>
      </c>
      <c r="Z13" s="2887">
        <f t="shared" ref="Z13" si="98">Y13</f>
        <v>1.3423</v>
      </c>
      <c r="AA13" s="2887">
        <f>ROUND(IF(项目基本情况!B8="出让",SUMPRODUCT(PRODUCT(1+P13:P$33)),SUMPRODUCT(PRODUCT(1+P13:P$32))),4)</f>
        <v>1.5782</v>
      </c>
      <c r="AB13" s="2887">
        <f>ROUND(IF(项目基本情况!B8="出让",SUMPRODUCT(PRODUCT(1+Q13:Q$33)),SUMPRODUCT(PRODUCT(1+Q13:Q$32))),4)</f>
        <v>1.3405</v>
      </c>
      <c r="AC13" s="2887"/>
      <c r="AD13" s="2888">
        <f>ROUND(AVERAGE(I13:I$33)/100,4)</f>
        <v>2.1600000000000001E-2</v>
      </c>
      <c r="AE13" s="2888">
        <f>ROUND(AVERAGE(J13:J$33)/100,4)</f>
        <v>1.5299999999999999E-2</v>
      </c>
      <c r="AF13" s="2888">
        <f t="shared" ref="AF13" si="99">AE13</f>
        <v>1.5299999999999999E-2</v>
      </c>
      <c r="AG13" s="2888">
        <f>ROUND(AVERAGE(K13:K$33)/100,4)</f>
        <v>2.3699999999999999E-2</v>
      </c>
      <c r="AH13" s="2888">
        <f>ROUND(AVERAGE(L13:L$33)/100,4)</f>
        <v>1.47E-2</v>
      </c>
    </row>
    <row r="14" spans="1:34" s="2906" customFormat="1">
      <c r="A14" s="2899" t="s">
        <v>2951</v>
      </c>
      <c r="B14" s="2910">
        <f t="shared" si="79"/>
        <v>464.37293017158942</v>
      </c>
      <c r="C14" s="2910">
        <f t="shared" ref="C14" si="100">C15*(1+O14)</f>
        <v>344.73679941385956</v>
      </c>
      <c r="D14" s="2910">
        <f t="shared" ref="D14" si="101">C14</f>
        <v>344.73679941385956</v>
      </c>
      <c r="E14" s="2910">
        <f t="shared" ref="E14" si="102">E15*(1+P14)</f>
        <v>663.2377795103107</v>
      </c>
      <c r="F14" s="2911">
        <f t="shared" ref="F14" si="103">F15*(1+Q14)</f>
        <v>304.75936311478398</v>
      </c>
      <c r="G14" s="3559">
        <v>2018</v>
      </c>
      <c r="H14" s="2908">
        <v>4</v>
      </c>
      <c r="I14" s="2908">
        <v>0.96</v>
      </c>
      <c r="J14" s="2908">
        <v>1.03</v>
      </c>
      <c r="K14" s="2908">
        <v>0.92</v>
      </c>
      <c r="L14" s="2909">
        <v>1.29</v>
      </c>
      <c r="M14" s="2887"/>
      <c r="N14" s="2902">
        <f t="shared" ref="N14" si="104">I14/100</f>
        <v>9.5999999999999992E-3</v>
      </c>
      <c r="O14" s="2888">
        <f t="shared" ref="O14" si="105">J14/100</f>
        <v>1.03E-2</v>
      </c>
      <c r="P14" s="2888">
        <f t="shared" ref="P14" si="106">K14/100</f>
        <v>9.1999999999999998E-3</v>
      </c>
      <c r="Q14" s="2888">
        <f t="shared" ref="Q14" si="107">L14/100</f>
        <v>1.29E-2</v>
      </c>
      <c r="R14" s="2903"/>
      <c r="S14" s="2912"/>
      <c r="T14" s="2913"/>
      <c r="U14" s="2913"/>
      <c r="V14" s="2913"/>
      <c r="W14" s="2887"/>
      <c r="X14" s="2887">
        <f>ROUND(SUMPRODUCT(PRODUCT(1+N14:N$32)),4)</f>
        <v>1.5099</v>
      </c>
      <c r="Y14" s="2887">
        <f>ROUND(SUMPRODUCT(PRODUCT(1+O14:O$32)),4)</f>
        <v>1.3372999999999999</v>
      </c>
      <c r="Z14" s="2887">
        <f t="shared" ref="Z14" si="108">Y14</f>
        <v>1.3372999999999999</v>
      </c>
      <c r="AA14" s="2887">
        <f>ROUND(SUMPRODUCT(PRODUCT(1+P14:P$32)),4)</f>
        <v>1.5683</v>
      </c>
      <c r="AB14" s="2887">
        <f>ROUND(SUMPRODUCT(PRODUCT(1+Q14:Q$32)),4)</f>
        <v>1.3255999999999999</v>
      </c>
      <c r="AC14" s="2887"/>
      <c r="AD14" s="2888">
        <f>ROUND(AVERAGE(I14:I$33)/100,4)</f>
        <v>2.24E-2</v>
      </c>
      <c r="AE14" s="2888">
        <f>ROUND(AVERAGE(J14:J$33)/100,4)</f>
        <v>1.5800000000000002E-2</v>
      </c>
      <c r="AF14" s="2888">
        <f t="shared" ref="AF14" si="109">AE14</f>
        <v>1.5800000000000002E-2</v>
      </c>
      <c r="AG14" s="2888">
        <f>ROUND(AVERAGE(K14:K$33)/100,4)</f>
        <v>2.4500000000000001E-2</v>
      </c>
      <c r="AH14" s="2888">
        <f>ROUND(AVERAGE(L14:L$33)/100,4)</f>
        <v>1.49E-2</v>
      </c>
    </row>
    <row r="15" spans="1:34" s="2906" customFormat="1" ht="14.45" customHeight="1">
      <c r="A15" s="2899" t="s">
        <v>2944</v>
      </c>
      <c r="B15" s="2900">
        <f t="shared" si="79"/>
        <v>459.95733971036987</v>
      </c>
      <c r="C15" s="2900">
        <f t="shared" ref="C15" si="110">C16*(1+O15)</f>
        <v>341.22221064422405</v>
      </c>
      <c r="D15" s="2900">
        <f t="shared" ref="D15" si="111">C15</f>
        <v>341.22221064422405</v>
      </c>
      <c r="E15" s="2900">
        <f t="shared" ref="E15" si="112">E16*(1+P15)</f>
        <v>657.19161663724799</v>
      </c>
      <c r="F15" s="2900">
        <f t="shared" ref="F15" si="113">F16*(1+Q15)</f>
        <v>300.87803644464805</v>
      </c>
      <c r="G15" s="3559"/>
      <c r="H15" s="2901">
        <v>3</v>
      </c>
      <c r="I15" s="2901">
        <v>1.51</v>
      </c>
      <c r="J15" s="2901">
        <v>1.41</v>
      </c>
      <c r="K15" s="2901">
        <v>1.52</v>
      </c>
      <c r="L15" s="2907">
        <v>1.74</v>
      </c>
      <c r="M15" s="2887"/>
      <c r="N15" s="2902">
        <f t="shared" ref="N15" si="114">I15/100</f>
        <v>1.5100000000000001E-2</v>
      </c>
      <c r="O15" s="2888">
        <f t="shared" ref="O15" si="115">J15/100</f>
        <v>1.41E-2</v>
      </c>
      <c r="P15" s="2888">
        <f t="shared" ref="P15" si="116">K15/100</f>
        <v>1.52E-2</v>
      </c>
      <c r="Q15" s="2888">
        <f t="shared" ref="Q15" si="117">L15/100</f>
        <v>1.7399999999999999E-2</v>
      </c>
      <c r="R15" s="2903"/>
      <c r="S15" s="2902"/>
      <c r="T15" s="2888"/>
      <c r="U15" s="2888"/>
      <c r="V15" s="2888"/>
      <c r="W15" s="2887"/>
      <c r="X15" s="2887">
        <f>ROUND(SUMPRODUCT(PRODUCT(1+N15:N$32)),4)</f>
        <v>1.4956</v>
      </c>
      <c r="Y15" s="2887">
        <f>ROUND(SUMPRODUCT(PRODUCT(1+O15:O$32)),4)</f>
        <v>1.3237000000000001</v>
      </c>
      <c r="Z15" s="2887">
        <f t="shared" ref="Z15" si="118">Y15</f>
        <v>1.3237000000000001</v>
      </c>
      <c r="AA15" s="2887">
        <f>ROUND(SUMPRODUCT(PRODUCT(1+P15:P$32)),4)</f>
        <v>1.554</v>
      </c>
      <c r="AB15" s="2887">
        <f>ROUND(SUMPRODUCT(PRODUCT(1+Q15:Q$32)),4)</f>
        <v>1.3087</v>
      </c>
      <c r="AC15" s="2887"/>
      <c r="AD15" s="2888">
        <f>ROUND(AVERAGE(I15:I$33)/100,4)</f>
        <v>2.3099999999999999E-2</v>
      </c>
      <c r="AE15" s="2888">
        <f>ROUND(AVERAGE(J15:J$33)/100,4)</f>
        <v>1.61E-2</v>
      </c>
      <c r="AF15" s="2888">
        <f t="shared" ref="AF15" si="119">AE15</f>
        <v>1.61E-2</v>
      </c>
      <c r="AG15" s="2888">
        <f>ROUND(AVERAGE(K15:K$33)/100,4)</f>
        <v>2.53E-2</v>
      </c>
      <c r="AH15" s="2888">
        <f>ROUND(AVERAGE(L15:L$33)/100,4)</f>
        <v>1.4999999999999999E-2</v>
      </c>
    </row>
    <row r="16" spans="1:34" s="2906" customFormat="1" ht="14.45" customHeight="1">
      <c r="A16" s="2899" t="s">
        <v>2945</v>
      </c>
      <c r="B16" s="2900">
        <f t="shared" si="79"/>
        <v>453.11529869999993</v>
      </c>
      <c r="C16" s="2900">
        <f t="shared" ref="C16" si="120">C17*(1+O16)</f>
        <v>336.47787264000004</v>
      </c>
      <c r="D16" s="2900">
        <f t="shared" ref="D16" si="121">C16</f>
        <v>336.47787264000004</v>
      </c>
      <c r="E16" s="2900">
        <f t="shared" ref="E16" si="122">E17*(1+P16)</f>
        <v>647.35186823999993</v>
      </c>
      <c r="F16" s="2900">
        <f t="shared" ref="F16" si="123">F17*(1+Q16)</f>
        <v>295.73229452000004</v>
      </c>
      <c r="G16" s="3559"/>
      <c r="H16" s="2914">
        <v>2</v>
      </c>
      <c r="I16" s="2914">
        <v>1.49</v>
      </c>
      <c r="J16" s="2914">
        <v>0.96</v>
      </c>
      <c r="K16" s="2914">
        <v>1.58</v>
      </c>
      <c r="L16" s="2915">
        <v>2.44</v>
      </c>
      <c r="M16" s="2887"/>
      <c r="N16" s="2902">
        <f t="shared" ref="N16" si="124">I16/100</f>
        <v>1.49E-2</v>
      </c>
      <c r="O16" s="2888">
        <f t="shared" ref="O16" si="125">J16/100</f>
        <v>9.5999999999999992E-3</v>
      </c>
      <c r="P16" s="2888">
        <f t="shared" ref="P16" si="126">K16/100</f>
        <v>1.5800000000000002E-2</v>
      </c>
      <c r="Q16" s="2888">
        <f t="shared" ref="Q16" si="127">L16/100</f>
        <v>2.4399999999999998E-2</v>
      </c>
      <c r="R16" s="2903"/>
      <c r="S16" s="2902"/>
      <c r="T16" s="2888"/>
      <c r="U16" s="2888"/>
      <c r="V16" s="2888"/>
      <c r="W16" s="2887"/>
      <c r="X16" s="2887">
        <f>ROUND(SUMPRODUCT(PRODUCT(1+N16:N$32)),4)</f>
        <v>1.4733000000000001</v>
      </c>
      <c r="Y16" s="2887">
        <f>ROUND(SUMPRODUCT(PRODUCT(1+O16:O$32)),4)</f>
        <v>1.3052999999999999</v>
      </c>
      <c r="Z16" s="2887">
        <f t="shared" ref="Z16" si="128">Y16</f>
        <v>1.3052999999999999</v>
      </c>
      <c r="AA16" s="2887">
        <f>ROUND(SUMPRODUCT(PRODUCT(1+P16:P$32)),4)</f>
        <v>1.5306999999999999</v>
      </c>
      <c r="AB16" s="2887">
        <f>ROUND(SUMPRODUCT(PRODUCT(1+Q16:Q$32)),4)</f>
        <v>1.2863</v>
      </c>
      <c r="AC16" s="2887"/>
      <c r="AD16" s="2888">
        <f>ROUND(AVERAGE(I16:I$33)/100,4)</f>
        <v>2.35E-2</v>
      </c>
      <c r="AE16" s="2888">
        <f>ROUND(AVERAGE(J16:J$33)/100,4)</f>
        <v>1.6199999999999999E-2</v>
      </c>
      <c r="AF16" s="2888">
        <f t="shared" ref="AF16" si="129">AE16</f>
        <v>1.6199999999999999E-2</v>
      </c>
      <c r="AG16" s="2888">
        <f>ROUND(AVERAGE(K16:K$33)/100,4)</f>
        <v>2.5899999999999999E-2</v>
      </c>
      <c r="AH16" s="2888">
        <f>ROUND(AVERAGE(L16:L$33)/100,4)</f>
        <v>1.49E-2</v>
      </c>
    </row>
    <row r="17" spans="1:34" s="2906" customFormat="1" ht="15" customHeight="1" thickBot="1">
      <c r="A17" s="2899" t="s">
        <v>2941</v>
      </c>
      <c r="B17" s="2900">
        <f t="shared" si="79"/>
        <v>446.46299999999997</v>
      </c>
      <c r="C17" s="2900">
        <f t="shared" ref="C17" si="130">C18*(1+O17)</f>
        <v>333.27840000000003</v>
      </c>
      <c r="D17" s="2900">
        <f t="shared" ref="D17:D22" si="131">C17</f>
        <v>333.27840000000003</v>
      </c>
      <c r="E17" s="2900">
        <f t="shared" ref="E17" si="132">E18*(1+P17)</f>
        <v>637.28279999999995</v>
      </c>
      <c r="F17" s="2900">
        <f t="shared" ref="F17" si="133">F18*(1+Q17)</f>
        <v>288.68830000000003</v>
      </c>
      <c r="G17" s="3560"/>
      <c r="H17" s="2901">
        <v>1</v>
      </c>
      <c r="I17" s="2901">
        <v>1.7</v>
      </c>
      <c r="J17" s="2901">
        <v>1.92</v>
      </c>
      <c r="K17" s="2901">
        <v>1.64</v>
      </c>
      <c r="L17" s="2907">
        <v>2.0099999999999998</v>
      </c>
      <c r="M17" s="2887"/>
      <c r="N17" s="2902">
        <f t="shared" ref="N17:N22" si="134">I17/100</f>
        <v>1.7000000000000001E-2</v>
      </c>
      <c r="O17" s="2888">
        <f t="shared" ref="O17" si="135">J17/100</f>
        <v>1.9199999999999998E-2</v>
      </c>
      <c r="P17" s="2888">
        <f t="shared" ref="P17" si="136">K17/100</f>
        <v>1.6399999999999998E-2</v>
      </c>
      <c r="Q17" s="2888">
        <f t="shared" ref="Q17" si="137">L17/100</f>
        <v>2.0099999999999996E-2</v>
      </c>
      <c r="R17" s="2903"/>
      <c r="S17" s="2904">
        <f>B17/B18-1</f>
        <v>1.6999999999999904E-2</v>
      </c>
      <c r="T17" s="2905">
        <f>C17/C18-1</f>
        <v>1.9200000000000106E-2</v>
      </c>
      <c r="U17" s="2905">
        <f>E17/E18-1</f>
        <v>1.639999999999997E-2</v>
      </c>
      <c r="V17" s="2905">
        <f>F17/F18-1</f>
        <v>2.0100000000000007E-2</v>
      </c>
      <c r="W17" s="2887"/>
      <c r="X17" s="2887">
        <f>ROUND(SUMPRODUCT(PRODUCT(1+N17:N$32)),4)</f>
        <v>1.4517</v>
      </c>
      <c r="Y17" s="2887">
        <f>ROUND(SUMPRODUCT(PRODUCT(1+O17:O$32)),4)</f>
        <v>1.2928999999999999</v>
      </c>
      <c r="Z17" s="2887">
        <f t="shared" ref="Z17" si="138">Y17</f>
        <v>1.2928999999999999</v>
      </c>
      <c r="AA17" s="2887">
        <f>ROUND(SUMPRODUCT(PRODUCT(1+P17:P$32)),4)</f>
        <v>1.5068999999999999</v>
      </c>
      <c r="AB17" s="2887">
        <f>ROUND(SUMPRODUCT(PRODUCT(1+Q17:Q$32)),4)</f>
        <v>1.2557</v>
      </c>
      <c r="AC17" s="2887"/>
      <c r="AD17" s="2888">
        <f>ROUND(AVERAGE(I17:I$33)/100,4)</f>
        <v>2.4E-2</v>
      </c>
      <c r="AE17" s="2888">
        <f>ROUND(AVERAGE(J17:J$33)/100,4)</f>
        <v>1.66E-2</v>
      </c>
      <c r="AF17" s="2888">
        <f t="shared" ref="AF17" si="139">AE17</f>
        <v>1.66E-2</v>
      </c>
      <c r="AG17" s="2888">
        <f>ROUND(AVERAGE(K17:K$33)/100,4)</f>
        <v>2.6499999999999999E-2</v>
      </c>
      <c r="AH17" s="2888">
        <f>ROUND(AVERAGE(L17:L$33)/100,4)</f>
        <v>1.43E-2</v>
      </c>
    </row>
    <row r="18" spans="1:34">
      <c r="A18" s="2899" t="s">
        <v>2933</v>
      </c>
      <c r="B18" s="2916">
        <v>439</v>
      </c>
      <c r="C18" s="2916">
        <v>327</v>
      </c>
      <c r="D18" s="2916">
        <f t="shared" si="131"/>
        <v>327</v>
      </c>
      <c r="E18" s="2916">
        <v>627</v>
      </c>
      <c r="F18" s="2917">
        <v>283</v>
      </c>
      <c r="G18" s="3558">
        <v>2017</v>
      </c>
      <c r="H18" s="2908">
        <v>4</v>
      </c>
      <c r="I18" s="2908">
        <v>1.71</v>
      </c>
      <c r="J18" s="2908">
        <v>1.78</v>
      </c>
      <c r="K18" s="2908">
        <v>1.71</v>
      </c>
      <c r="L18" s="2909">
        <v>1.43</v>
      </c>
      <c r="N18" s="2918">
        <f t="shared" si="134"/>
        <v>1.7100000000000001E-2</v>
      </c>
      <c r="O18" s="2919">
        <f t="shared" ref="O18" si="140">J18/100</f>
        <v>1.78E-2</v>
      </c>
      <c r="P18" s="2919">
        <f t="shared" ref="P18" si="141">K18/100</f>
        <v>1.7100000000000001E-2</v>
      </c>
      <c r="Q18" s="2919">
        <f t="shared" ref="Q18" si="142">L18/100</f>
        <v>1.43E-2</v>
      </c>
      <c r="R18" s="2903"/>
      <c r="S18" s="2912"/>
      <c r="T18" s="2913"/>
      <c r="U18" s="2913"/>
      <c r="V18" s="2913"/>
      <c r="X18" s="2887">
        <f>ROUND(SUMPRODUCT(PRODUCT(1+N18:N$32)),4)</f>
        <v>1.4274</v>
      </c>
      <c r="Y18" s="2887">
        <f>ROUND(SUMPRODUCT(PRODUCT(1+O18:O$32)),4)</f>
        <v>1.2685</v>
      </c>
      <c r="Z18" s="2887">
        <f t="shared" si="0"/>
        <v>1.2685</v>
      </c>
      <c r="AA18" s="2887">
        <f>ROUND(SUMPRODUCT(PRODUCT(1+P18:P$32)),4)</f>
        <v>1.4825999999999999</v>
      </c>
      <c r="AB18" s="2887">
        <f>ROUND(SUMPRODUCT(PRODUCT(1+Q18:Q$32)),4)</f>
        <v>1.2309000000000001</v>
      </c>
      <c r="AD18" s="2888">
        <f>ROUND(AVERAGE(I18:I$33)/100,4)</f>
        <v>2.4500000000000001E-2</v>
      </c>
      <c r="AE18" s="2888">
        <f>ROUND(AVERAGE(J18:J$33)/100,4)</f>
        <v>1.6500000000000001E-2</v>
      </c>
      <c r="AF18" s="2888">
        <f t="shared" si="1"/>
        <v>1.6500000000000001E-2</v>
      </c>
      <c r="AG18" s="2888">
        <f>ROUND(AVERAGE(K18:K$33)/100,4)</f>
        <v>2.7099999999999999E-2</v>
      </c>
      <c r="AH18" s="2888">
        <f>ROUND(AVERAGE(L18:L$33)/100,4)</f>
        <v>1.3899999999999999E-2</v>
      </c>
    </row>
    <row r="19" spans="1:34" s="2906" customFormat="1" ht="14.45" customHeight="1">
      <c r="A19" s="2899" t="s">
        <v>2936</v>
      </c>
      <c r="B19" s="2900">
        <f t="shared" ref="B19:C21" si="143">B20*(1+N19)</f>
        <v>431.80730811680002</v>
      </c>
      <c r="C19" s="2900">
        <f t="shared" si="143"/>
        <v>320.57880516480003</v>
      </c>
      <c r="D19" s="2900">
        <f t="shared" si="131"/>
        <v>320.57880516480003</v>
      </c>
      <c r="E19" s="2900">
        <f t="shared" ref="E19:F21" si="144">E20*(1+P19)</f>
        <v>615.96110553196797</v>
      </c>
      <c r="F19" s="2900">
        <f t="shared" si="144"/>
        <v>279.46777300108801</v>
      </c>
      <c r="G19" s="3559"/>
      <c r="H19" s="2901">
        <v>3</v>
      </c>
      <c r="I19" s="2901">
        <v>2.98</v>
      </c>
      <c r="J19" s="2901">
        <v>2.11</v>
      </c>
      <c r="K19" s="2901">
        <v>3.24</v>
      </c>
      <c r="L19" s="2907">
        <v>1.72</v>
      </c>
      <c r="M19" s="2887"/>
      <c r="N19" s="2902">
        <f t="shared" si="134"/>
        <v>2.98E-2</v>
      </c>
      <c r="O19" s="2920">
        <f t="shared" ref="O19:O20" si="145">J19/100</f>
        <v>2.1099999999999997E-2</v>
      </c>
      <c r="P19" s="2920">
        <f t="shared" ref="P19:P20" si="146">K19/100</f>
        <v>3.2400000000000005E-2</v>
      </c>
      <c r="Q19" s="2920">
        <f t="shared" ref="Q19:Q20" si="147">L19/100</f>
        <v>1.72E-2</v>
      </c>
      <c r="R19" s="2903"/>
      <c r="S19" s="2902"/>
      <c r="T19" s="2888"/>
      <c r="U19" s="2888"/>
      <c r="V19" s="2888"/>
      <c r="W19" s="2887"/>
      <c r="X19" s="2887">
        <f>ROUND(SUMPRODUCT(PRODUCT(1+N19:N$32)),4)</f>
        <v>1.4034</v>
      </c>
      <c r="Y19" s="2887">
        <f>ROUND(SUMPRODUCT(PRODUCT(1+O19:O$32)),4)</f>
        <v>1.2463</v>
      </c>
      <c r="Z19" s="2887">
        <f t="shared" si="0"/>
        <v>1.2463</v>
      </c>
      <c r="AA19" s="2887">
        <f>ROUND(SUMPRODUCT(PRODUCT(1+P19:P$32)),4)</f>
        <v>1.4577</v>
      </c>
      <c r="AB19" s="2887">
        <f>ROUND(SUMPRODUCT(PRODUCT(1+Q19:Q$32)),4)</f>
        <v>1.2136</v>
      </c>
      <c r="AC19" s="2887"/>
      <c r="AD19" s="2888">
        <f>ROUND(AVERAGE(I19:I$33)/100,4)</f>
        <v>2.4899999999999999E-2</v>
      </c>
      <c r="AE19" s="2888">
        <f>ROUND(AVERAGE(J19:J$33)/100,4)</f>
        <v>1.6400000000000001E-2</v>
      </c>
      <c r="AF19" s="2888">
        <f t="shared" si="1"/>
        <v>1.6400000000000001E-2</v>
      </c>
      <c r="AG19" s="2888">
        <f>ROUND(AVERAGE(K19:K$33)/100,4)</f>
        <v>2.7799999999999998E-2</v>
      </c>
      <c r="AH19" s="2888">
        <f>ROUND(AVERAGE(L19:L$33)/100,4)</f>
        <v>1.3899999999999999E-2</v>
      </c>
    </row>
    <row r="20" spans="1:34" s="2865" customFormat="1" ht="14.45" customHeight="1">
      <c r="A20" s="2899" t="s">
        <v>2562</v>
      </c>
      <c r="B20" s="2900">
        <f t="shared" si="143"/>
        <v>419.31181600000002</v>
      </c>
      <c r="C20" s="2900">
        <f t="shared" si="143"/>
        <v>313.95436800000004</v>
      </c>
      <c r="D20" s="2900">
        <f t="shared" si="131"/>
        <v>313.95436800000004</v>
      </c>
      <c r="E20" s="2900">
        <f t="shared" si="144"/>
        <v>596.63028431999999</v>
      </c>
      <c r="F20" s="2900">
        <f t="shared" si="144"/>
        <v>274.74220703999998</v>
      </c>
      <c r="G20" s="3559"/>
      <c r="H20" s="2914">
        <v>2</v>
      </c>
      <c r="I20" s="2914">
        <v>3.4</v>
      </c>
      <c r="J20" s="2914">
        <v>2</v>
      </c>
      <c r="K20" s="2914">
        <v>3.82</v>
      </c>
      <c r="L20" s="2915">
        <v>1.68</v>
      </c>
      <c r="N20" s="2902">
        <f t="shared" si="134"/>
        <v>3.4000000000000002E-2</v>
      </c>
      <c r="O20" s="2920">
        <f t="shared" si="145"/>
        <v>0.02</v>
      </c>
      <c r="P20" s="2920">
        <f t="shared" si="146"/>
        <v>3.8199999999999998E-2</v>
      </c>
      <c r="Q20" s="2920">
        <f t="shared" si="147"/>
        <v>1.6799999999999999E-2</v>
      </c>
      <c r="S20" s="2902"/>
      <c r="T20" s="2888"/>
      <c r="U20" s="2888"/>
      <c r="V20" s="2888"/>
      <c r="X20" s="2887">
        <f>ROUND(SUMPRODUCT(PRODUCT(1+N20:N$32)),4)</f>
        <v>1.3628</v>
      </c>
      <c r="Y20" s="2887">
        <f>ROUND(SUMPRODUCT(PRODUCT(1+O20:O$32)),4)</f>
        <v>1.2205999999999999</v>
      </c>
      <c r="Z20" s="2887">
        <f t="shared" si="0"/>
        <v>1.2205999999999999</v>
      </c>
      <c r="AA20" s="2887">
        <f>ROUND(SUMPRODUCT(PRODUCT(1+P20:P$32)),4)</f>
        <v>1.4118999999999999</v>
      </c>
      <c r="AB20" s="2887">
        <f>ROUND(SUMPRODUCT(PRODUCT(1+Q20:Q$32)),4)</f>
        <v>1.1930000000000001</v>
      </c>
      <c r="AD20" s="2888">
        <f>ROUND(AVERAGE(I20:I$33)/100,4)</f>
        <v>2.46E-2</v>
      </c>
      <c r="AE20" s="2888">
        <f>ROUND(AVERAGE(J20:J$33)/100,4)</f>
        <v>1.6E-2</v>
      </c>
      <c r="AF20" s="2888">
        <f t="shared" si="1"/>
        <v>1.6E-2</v>
      </c>
      <c r="AG20" s="2888">
        <f>ROUND(AVERAGE(K20:K$33)/100,4)</f>
        <v>2.75E-2</v>
      </c>
      <c r="AH20" s="2888">
        <f>ROUND(AVERAGE(L20:L$33)/100,4)</f>
        <v>1.37E-2</v>
      </c>
    </row>
    <row r="21" spans="1:34" s="2906" customFormat="1" ht="15" customHeight="1" thickBot="1">
      <c r="A21" s="2899" t="s">
        <v>2563</v>
      </c>
      <c r="B21" s="2900">
        <f t="shared" si="143"/>
        <v>405.524</v>
      </c>
      <c r="C21" s="2900">
        <f t="shared" si="143"/>
        <v>307.79840000000002</v>
      </c>
      <c r="D21" s="2900">
        <f t="shared" si="131"/>
        <v>307.79840000000002</v>
      </c>
      <c r="E21" s="2900">
        <f t="shared" si="144"/>
        <v>574.67759999999998</v>
      </c>
      <c r="F21" s="2900">
        <f t="shared" si="144"/>
        <v>270.20280000000002</v>
      </c>
      <c r="G21" s="3560"/>
      <c r="H21" s="2901">
        <v>1</v>
      </c>
      <c r="I21" s="2901">
        <v>3.45</v>
      </c>
      <c r="J21" s="2901">
        <v>1.92</v>
      </c>
      <c r="K21" s="2901">
        <v>3.92</v>
      </c>
      <c r="L21" s="2907">
        <v>1.58</v>
      </c>
      <c r="M21" s="2887"/>
      <c r="N21" s="2904">
        <f t="shared" si="134"/>
        <v>3.4500000000000003E-2</v>
      </c>
      <c r="O21" s="2905">
        <f t="shared" ref="O21" si="148">J21/100</f>
        <v>1.9199999999999998E-2</v>
      </c>
      <c r="P21" s="2905">
        <f t="shared" ref="P21" si="149">K21/100</f>
        <v>3.9199999999999999E-2</v>
      </c>
      <c r="Q21" s="2905">
        <f t="shared" ref="Q21" si="150">L21/100</f>
        <v>1.5800000000000002E-2</v>
      </c>
      <c r="R21" s="2903"/>
      <c r="S21" s="2904">
        <f>B21/B22-1</f>
        <v>3.4499999999999975E-2</v>
      </c>
      <c r="T21" s="2905">
        <f>C21/C22-1</f>
        <v>1.9200000000000106E-2</v>
      </c>
      <c r="U21" s="2905">
        <f>E21/E22-1</f>
        <v>3.9199999999999902E-2</v>
      </c>
      <c r="V21" s="2905">
        <f>F21/F22-1</f>
        <v>1.5800000000000036E-2</v>
      </c>
      <c r="W21" s="2887"/>
      <c r="X21" s="2887">
        <f>ROUND(SUMPRODUCT(PRODUCT(1+N21:N$32)),4)</f>
        <v>1.3180000000000001</v>
      </c>
      <c r="Y21" s="2887">
        <f>ROUND(SUMPRODUCT(PRODUCT(1+O21:O$32)),4)</f>
        <v>1.1966000000000001</v>
      </c>
      <c r="Z21" s="2887">
        <f t="shared" si="0"/>
        <v>1.1966000000000001</v>
      </c>
      <c r="AA21" s="2887">
        <f>ROUND(SUMPRODUCT(PRODUCT(1+P21:P$32)),4)</f>
        <v>1.36</v>
      </c>
      <c r="AB21" s="2887">
        <f>ROUND(SUMPRODUCT(PRODUCT(1+Q21:Q$32)),4)</f>
        <v>1.1733</v>
      </c>
      <c r="AC21" s="2887"/>
      <c r="AD21" s="2888">
        <f>ROUND(AVERAGE(I21:I$33)/100,4)</f>
        <v>2.3900000000000001E-2</v>
      </c>
      <c r="AE21" s="2888">
        <f>ROUND(AVERAGE(J21:J$33)/100,4)</f>
        <v>1.5699999999999999E-2</v>
      </c>
      <c r="AF21" s="2888">
        <f t="shared" si="1"/>
        <v>1.5699999999999999E-2</v>
      </c>
      <c r="AG21" s="2888">
        <f>ROUND(AVERAGE(K21:K$33)/100,4)</f>
        <v>2.6599999999999999E-2</v>
      </c>
      <c r="AH21" s="2888">
        <f>ROUND(AVERAGE(L21:L$33)/100,4)</f>
        <v>1.34E-2</v>
      </c>
    </row>
    <row r="22" spans="1:34">
      <c r="A22" s="2899" t="s">
        <v>961</v>
      </c>
      <c r="B22" s="2921">
        <v>392</v>
      </c>
      <c r="C22" s="2921">
        <v>302</v>
      </c>
      <c r="D22" s="2921">
        <f t="shared" si="131"/>
        <v>302</v>
      </c>
      <c r="E22" s="2921">
        <v>553</v>
      </c>
      <c r="F22" s="2922">
        <v>266</v>
      </c>
      <c r="G22" s="3558">
        <v>2016</v>
      </c>
      <c r="H22" s="2908">
        <v>4</v>
      </c>
      <c r="I22" s="2908">
        <v>4.5599999999999996</v>
      </c>
      <c r="J22" s="2908">
        <v>2.15</v>
      </c>
      <c r="K22" s="2908">
        <v>5.32</v>
      </c>
      <c r="L22" s="2909">
        <v>1.57</v>
      </c>
      <c r="N22" s="2902">
        <f t="shared" si="134"/>
        <v>4.5599999999999995E-2</v>
      </c>
      <c r="O22" s="2888">
        <f t="shared" ref="O22:Q37" si="151">J22/100</f>
        <v>2.1499999999999998E-2</v>
      </c>
      <c r="P22" s="2888">
        <f t="shared" si="151"/>
        <v>5.3200000000000004E-2</v>
      </c>
      <c r="Q22" s="2888">
        <f t="shared" si="151"/>
        <v>1.5700000000000002E-2</v>
      </c>
      <c r="R22" s="2903"/>
      <c r="S22" s="2912"/>
      <c r="T22" s="2913"/>
      <c r="U22" s="2913"/>
      <c r="V22" s="2913"/>
      <c r="X22" s="2887">
        <f>ROUND(SUMPRODUCT(PRODUCT(1+N22:N$32)),4)</f>
        <v>1.274</v>
      </c>
      <c r="Y22" s="2887">
        <f>ROUND(SUMPRODUCT(PRODUCT(1+O22:O$32)),4)</f>
        <v>1.1740999999999999</v>
      </c>
      <c r="Z22" s="2887">
        <f t="shared" si="0"/>
        <v>1.1740999999999999</v>
      </c>
      <c r="AA22" s="2887">
        <f>ROUND(SUMPRODUCT(PRODUCT(1+P22:P$32)),4)</f>
        <v>1.3087</v>
      </c>
      <c r="AB22" s="2887">
        <f>ROUND(SUMPRODUCT(PRODUCT(1+Q22:Q$32)),4)</f>
        <v>1.1551</v>
      </c>
      <c r="AD22" s="2888">
        <f>ROUND(AVERAGE(I22:I$33)/100,4)</f>
        <v>2.3E-2</v>
      </c>
      <c r="AE22" s="2888">
        <f>ROUND(AVERAGE(J22:J$33)/100,4)</f>
        <v>1.55E-2</v>
      </c>
      <c r="AF22" s="2888">
        <f t="shared" si="1"/>
        <v>1.55E-2</v>
      </c>
      <c r="AG22" s="2888">
        <f>ROUND(AVERAGE(K22:K$33)/100,4)</f>
        <v>2.5600000000000001E-2</v>
      </c>
      <c r="AH22" s="2888">
        <f>ROUND(AVERAGE(L22:L$33)/100,4)</f>
        <v>1.32E-2</v>
      </c>
    </row>
    <row r="23" spans="1:34">
      <c r="A23" s="2899" t="s">
        <v>960</v>
      </c>
      <c r="B23" s="2900">
        <f t="shared" ref="B23:C25" si="152">B22/(1+N22)</f>
        <v>374.90436113236416</v>
      </c>
      <c r="C23" s="2900">
        <f t="shared" si="152"/>
        <v>295.64366128242779</v>
      </c>
      <c r="D23" s="2900">
        <f t="shared" ref="D23:D82" si="153">C23</f>
        <v>295.64366128242779</v>
      </c>
      <c r="E23" s="2900">
        <f t="shared" ref="E23:F25" si="154">E22/(1+P22)</f>
        <v>525.06646410938095</v>
      </c>
      <c r="F23" s="2900">
        <f t="shared" si="154"/>
        <v>261.88835286009646</v>
      </c>
      <c r="G23" s="3559"/>
      <c r="H23" s="2901">
        <v>3</v>
      </c>
      <c r="I23" s="2901">
        <v>4.12</v>
      </c>
      <c r="J23" s="2901">
        <v>2</v>
      </c>
      <c r="K23" s="2901">
        <v>4.79</v>
      </c>
      <c r="L23" s="2907">
        <v>1.97</v>
      </c>
      <c r="N23" s="2902">
        <f t="shared" ref="N23:Q57" si="155">I23/100</f>
        <v>4.1200000000000001E-2</v>
      </c>
      <c r="O23" s="2888">
        <f t="shared" si="151"/>
        <v>0.02</v>
      </c>
      <c r="P23" s="2888">
        <f t="shared" si="151"/>
        <v>4.7899999999999998E-2</v>
      </c>
      <c r="Q23" s="2888">
        <f t="shared" si="151"/>
        <v>1.9699999999999999E-2</v>
      </c>
      <c r="R23" s="2903"/>
      <c r="S23" s="2902"/>
      <c r="T23" s="2888"/>
      <c r="U23" s="2888"/>
      <c r="V23" s="2888"/>
      <c r="X23" s="2887">
        <f>ROUND(SUMPRODUCT(PRODUCT(1+N23:N$32)),4)</f>
        <v>1.2184999999999999</v>
      </c>
      <c r="Y23" s="2887">
        <f>ROUND(SUMPRODUCT(PRODUCT(1+O23:O$32)),4)</f>
        <v>1.1494</v>
      </c>
      <c r="Z23" s="2887">
        <f t="shared" si="0"/>
        <v>1.1494</v>
      </c>
      <c r="AA23" s="2887">
        <f>ROUND(SUMPRODUCT(PRODUCT(1+P23:P$32)),4)</f>
        <v>1.2425999999999999</v>
      </c>
      <c r="AB23" s="2887">
        <f>ROUND(SUMPRODUCT(PRODUCT(1+Q23:Q$32)),4)</f>
        <v>1.1372</v>
      </c>
      <c r="AD23" s="2888">
        <f>ROUND(AVERAGE(I23:I$33)/100,4)</f>
        <v>2.0899999999999998E-2</v>
      </c>
      <c r="AE23" s="2888">
        <f>ROUND(AVERAGE(J23:J$33)/100,4)</f>
        <v>1.49E-2</v>
      </c>
      <c r="AF23" s="2888">
        <f t="shared" si="1"/>
        <v>1.49E-2</v>
      </c>
      <c r="AG23" s="2888">
        <f>ROUND(AVERAGE(K23:K$33)/100,4)</f>
        <v>2.3099999999999999E-2</v>
      </c>
      <c r="AH23" s="2888">
        <f>ROUND(AVERAGE(L23:L$33)/100,4)</f>
        <v>1.2999999999999999E-2</v>
      </c>
    </row>
    <row r="24" spans="1:34">
      <c r="A24" s="2899" t="s">
        <v>950</v>
      </c>
      <c r="B24" s="2900">
        <f t="shared" si="152"/>
        <v>360.06949782209392</v>
      </c>
      <c r="C24" s="2900">
        <f t="shared" si="152"/>
        <v>289.84672674747821</v>
      </c>
      <c r="D24" s="2900">
        <f t="shared" si="153"/>
        <v>289.84672674747821</v>
      </c>
      <c r="E24" s="2900">
        <f t="shared" si="154"/>
        <v>501.06543001181495</v>
      </c>
      <c r="F24" s="2900">
        <f t="shared" si="154"/>
        <v>256.82882500744967</v>
      </c>
      <c r="G24" s="3559"/>
      <c r="H24" s="2914">
        <v>2</v>
      </c>
      <c r="I24" s="2914">
        <v>3.85</v>
      </c>
      <c r="J24" s="2914">
        <v>1.95</v>
      </c>
      <c r="K24" s="2914">
        <v>4.4800000000000004</v>
      </c>
      <c r="L24" s="2915">
        <v>1.41</v>
      </c>
      <c r="N24" s="2902">
        <f t="shared" si="155"/>
        <v>3.85E-2</v>
      </c>
      <c r="O24" s="2888">
        <f t="shared" si="151"/>
        <v>1.95E-2</v>
      </c>
      <c r="P24" s="2888">
        <f t="shared" si="151"/>
        <v>4.4800000000000006E-2</v>
      </c>
      <c r="Q24" s="2888">
        <f t="shared" si="151"/>
        <v>1.41E-2</v>
      </c>
      <c r="R24" s="2903"/>
      <c r="S24" s="2902"/>
      <c r="T24" s="2888"/>
      <c r="U24" s="2888"/>
      <c r="V24" s="2888"/>
      <c r="X24" s="2887">
        <f>ROUND(SUMPRODUCT(PRODUCT(1+N24:N$32)),4)</f>
        <v>1.1702999999999999</v>
      </c>
      <c r="Y24" s="2887">
        <f>ROUND(SUMPRODUCT(PRODUCT(1+O24:O$32)),4)</f>
        <v>1.1269</v>
      </c>
      <c r="Z24" s="2887">
        <f t="shared" si="0"/>
        <v>1.1269</v>
      </c>
      <c r="AA24" s="2887">
        <f>ROUND(SUMPRODUCT(PRODUCT(1+P24:P$32)),4)</f>
        <v>1.1858</v>
      </c>
      <c r="AB24" s="2887">
        <f>ROUND(SUMPRODUCT(PRODUCT(1+Q24:Q$32)),4)</f>
        <v>1.1152</v>
      </c>
      <c r="AD24" s="2888">
        <f>ROUND(AVERAGE(I24:I$33)/100,4)</f>
        <v>1.89E-2</v>
      </c>
      <c r="AE24" s="2888">
        <f>ROUND(AVERAGE(J24:J$33)/100,4)</f>
        <v>1.44E-2</v>
      </c>
      <c r="AF24" s="2888">
        <f t="shared" si="1"/>
        <v>1.44E-2</v>
      </c>
      <c r="AG24" s="2888">
        <f>ROUND(AVERAGE(K24:K$33)/100,4)</f>
        <v>2.06E-2</v>
      </c>
      <c r="AH24" s="2888">
        <f>ROUND(AVERAGE(L24:L$33)/100,4)</f>
        <v>1.23E-2</v>
      </c>
    </row>
    <row r="25" spans="1:34" ht="13.5" thickBot="1">
      <c r="A25" s="2899" t="s">
        <v>959</v>
      </c>
      <c r="B25" s="2900">
        <f t="shared" si="152"/>
        <v>346.720748986128</v>
      </c>
      <c r="C25" s="2900">
        <f t="shared" si="152"/>
        <v>284.30282172386285</v>
      </c>
      <c r="D25" s="2900">
        <f t="shared" si="153"/>
        <v>284.30282172386285</v>
      </c>
      <c r="E25" s="2900">
        <f t="shared" si="154"/>
        <v>479.58023546306947</v>
      </c>
      <c r="F25" s="2900">
        <f t="shared" si="154"/>
        <v>253.25788877571213</v>
      </c>
      <c r="G25" s="3562"/>
      <c r="H25" s="2901">
        <v>1</v>
      </c>
      <c r="I25" s="2901">
        <v>4.09</v>
      </c>
      <c r="J25" s="2901">
        <v>2.93</v>
      </c>
      <c r="K25" s="2901">
        <v>4.54</v>
      </c>
      <c r="L25" s="2907">
        <v>1.48</v>
      </c>
      <c r="N25" s="2902">
        <f t="shared" si="155"/>
        <v>4.0899999999999999E-2</v>
      </c>
      <c r="O25" s="2888">
        <f t="shared" si="151"/>
        <v>2.9300000000000003E-2</v>
      </c>
      <c r="P25" s="2888">
        <f t="shared" si="151"/>
        <v>4.5400000000000003E-2</v>
      </c>
      <c r="Q25" s="2888">
        <f t="shared" si="151"/>
        <v>1.4800000000000001E-2</v>
      </c>
      <c r="R25" s="2903"/>
      <c r="S25" s="2904">
        <f>B25/B26-1</f>
        <v>4.1203450408792808E-2</v>
      </c>
      <c r="T25" s="2905">
        <f>C25/C26-1</f>
        <v>2.6363977342465095E-2</v>
      </c>
      <c r="U25" s="2905">
        <f>E25/E26-1</f>
        <v>4.4837114298626357E-2</v>
      </c>
      <c r="V25" s="2905">
        <f>F25/F26-1</f>
        <v>1.7099954922538574E-2</v>
      </c>
      <c r="X25" s="2887">
        <f>ROUND(SUMPRODUCT(PRODUCT(1+N25:N$32)),4)</f>
        <v>1.1269</v>
      </c>
      <c r="Y25" s="2887">
        <f>ROUND(SUMPRODUCT(PRODUCT(1+O25:O$32)),4)</f>
        <v>1.1052999999999999</v>
      </c>
      <c r="Z25" s="2887">
        <f t="shared" si="0"/>
        <v>1.1052999999999999</v>
      </c>
      <c r="AA25" s="2887">
        <f>ROUND(SUMPRODUCT(PRODUCT(1+P25:P$32)),4)</f>
        <v>1.1349</v>
      </c>
      <c r="AB25" s="2887">
        <f>ROUND(SUMPRODUCT(PRODUCT(1+Q25:Q$32)),4)</f>
        <v>1.0996999999999999</v>
      </c>
      <c r="AD25" s="2888">
        <f>ROUND(AVERAGE(I25:I$33)/100,4)</f>
        <v>1.67E-2</v>
      </c>
      <c r="AE25" s="2888">
        <f>ROUND(AVERAGE(J25:J$33)/100,4)</f>
        <v>1.38E-2</v>
      </c>
      <c r="AF25" s="2888">
        <f t="shared" si="1"/>
        <v>1.38E-2</v>
      </c>
      <c r="AG25" s="2888">
        <f>ROUND(AVERAGE(K25:K$33)/100,4)</f>
        <v>1.7899999999999999E-2</v>
      </c>
      <c r="AH25" s="2888">
        <f>ROUND(AVERAGE(L25:L$33)/100,4)</f>
        <v>1.21E-2</v>
      </c>
    </row>
    <row r="26" spans="1:34" ht="13.5" thickBot="1">
      <c r="A26" s="2899" t="s">
        <v>958</v>
      </c>
      <c r="B26" s="2921">
        <v>333</v>
      </c>
      <c r="C26" s="2921">
        <v>277</v>
      </c>
      <c r="D26" s="2921">
        <f t="shared" si="153"/>
        <v>277</v>
      </c>
      <c r="E26" s="2921">
        <v>459</v>
      </c>
      <c r="F26" s="2922">
        <v>249</v>
      </c>
      <c r="G26" s="3561">
        <v>2015</v>
      </c>
      <c r="H26" s="2923">
        <v>4</v>
      </c>
      <c r="I26" s="2923">
        <v>1.63</v>
      </c>
      <c r="J26" s="2923">
        <v>1.1100000000000001</v>
      </c>
      <c r="K26" s="2923">
        <v>1.77</v>
      </c>
      <c r="L26" s="2924">
        <v>1.89</v>
      </c>
      <c r="N26" s="2918">
        <f t="shared" si="155"/>
        <v>1.6299999999999999E-2</v>
      </c>
      <c r="O26" s="2919">
        <f t="shared" si="151"/>
        <v>1.11E-2</v>
      </c>
      <c r="P26" s="2919">
        <f t="shared" si="151"/>
        <v>1.77E-2</v>
      </c>
      <c r="Q26" s="2919">
        <f t="shared" si="151"/>
        <v>1.89E-2</v>
      </c>
      <c r="R26" s="2903"/>
      <c r="X26" s="2887">
        <f>ROUND(SUMPRODUCT(PRODUCT(1+N26:N$32)),4)</f>
        <v>1.0826</v>
      </c>
      <c r="Y26" s="2887">
        <f>ROUND(SUMPRODUCT(PRODUCT(1+O26:O$32)),4)</f>
        <v>1.0738000000000001</v>
      </c>
      <c r="Z26" s="2887">
        <f t="shared" si="0"/>
        <v>1.0738000000000001</v>
      </c>
      <c r="AA26" s="2887">
        <f>ROUND(SUMPRODUCT(PRODUCT(1+P26:P$32)),4)</f>
        <v>1.0855999999999999</v>
      </c>
      <c r="AB26" s="2887">
        <f>ROUND(SUMPRODUCT(PRODUCT(1+Q26:Q$32)),4)</f>
        <v>1.0837000000000001</v>
      </c>
      <c r="AD26" s="2888">
        <f>ROUND(AVERAGE(I26:I$33)/100,4)</f>
        <v>1.37E-2</v>
      </c>
      <c r="AE26" s="2888">
        <f>ROUND(AVERAGE(J26:J$33)/100,4)</f>
        <v>1.1900000000000001E-2</v>
      </c>
      <c r="AF26" s="2888">
        <f t="shared" si="1"/>
        <v>1.1900000000000001E-2</v>
      </c>
      <c r="AG26" s="2888">
        <f>ROUND(AVERAGE(K26:K$33)/100,4)</f>
        <v>1.4500000000000001E-2</v>
      </c>
      <c r="AH26" s="2888">
        <f>ROUND(AVERAGE(L26:L$33)/100,4)</f>
        <v>1.18E-2</v>
      </c>
    </row>
    <row r="27" spans="1:34">
      <c r="A27" s="2899" t="s">
        <v>957</v>
      </c>
      <c r="B27" s="2900">
        <f t="shared" ref="B27:C29" si="156">B26/(1+N26)</f>
        <v>327.65915576109415</v>
      </c>
      <c r="C27" s="2900">
        <f t="shared" si="156"/>
        <v>273.95905449510434</v>
      </c>
      <c r="D27" s="2900">
        <f t="shared" si="153"/>
        <v>273.95905449510434</v>
      </c>
      <c r="E27" s="2900">
        <f t="shared" ref="E27:F29" si="157">E26/(1+P26)</f>
        <v>451.01699911565294</v>
      </c>
      <c r="F27" s="2900">
        <f t="shared" si="157"/>
        <v>244.38119540681129</v>
      </c>
      <c r="G27" s="3559"/>
      <c r="H27" s="2926">
        <v>3</v>
      </c>
      <c r="I27" s="2926">
        <v>1.65</v>
      </c>
      <c r="J27" s="2926">
        <v>0.92</v>
      </c>
      <c r="K27" s="2926">
        <v>1.88</v>
      </c>
      <c r="L27" s="2927">
        <v>1.26</v>
      </c>
      <c r="N27" s="2902">
        <f t="shared" si="155"/>
        <v>1.6500000000000001E-2</v>
      </c>
      <c r="O27" s="2920">
        <f t="shared" si="151"/>
        <v>9.1999999999999998E-3</v>
      </c>
      <c r="P27" s="2920">
        <f t="shared" si="151"/>
        <v>1.8799999999999997E-2</v>
      </c>
      <c r="Q27" s="2920">
        <f t="shared" si="151"/>
        <v>1.26E-2</v>
      </c>
      <c r="R27" s="2903"/>
      <c r="S27" s="2902"/>
      <c r="T27" s="2888"/>
      <c r="U27" s="2888"/>
      <c r="V27" s="2888"/>
      <c r="X27" s="2887">
        <f>ROUND(SUMPRODUCT(PRODUCT(1+N27:N$32)),4)</f>
        <v>1.0651999999999999</v>
      </c>
      <c r="Y27" s="2887">
        <f>ROUND(SUMPRODUCT(PRODUCT(1+O27:O$32)),4)</f>
        <v>1.0621</v>
      </c>
      <c r="Z27" s="2887">
        <f t="shared" si="0"/>
        <v>1.0621</v>
      </c>
      <c r="AA27" s="2887">
        <f>ROUND(SUMPRODUCT(PRODUCT(1+P27:P$32)),4)</f>
        <v>1.0668</v>
      </c>
      <c r="AB27" s="2887">
        <f>ROUND(SUMPRODUCT(PRODUCT(1+Q27:Q$32)),4)</f>
        <v>1.0636000000000001</v>
      </c>
      <c r="AD27" s="2888">
        <f>ROUND(AVERAGE(I27:I$33)/100,4)</f>
        <v>1.3299999999999999E-2</v>
      </c>
      <c r="AE27" s="2888">
        <f>ROUND(AVERAGE(J27:J$33)/100,4)</f>
        <v>1.2E-2</v>
      </c>
      <c r="AF27" s="2888">
        <f t="shared" si="1"/>
        <v>1.2E-2</v>
      </c>
      <c r="AG27" s="2888">
        <f>ROUND(AVERAGE(K27:K$33)/100,4)</f>
        <v>1.4E-2</v>
      </c>
      <c r="AH27" s="2888">
        <f>ROUND(AVERAGE(L27:L$33)/100,4)</f>
        <v>1.0800000000000001E-2</v>
      </c>
    </row>
    <row r="28" spans="1:34">
      <c r="A28" s="2899" t="s">
        <v>956</v>
      </c>
      <c r="B28" s="2900">
        <f t="shared" si="156"/>
        <v>322.34053690220776</v>
      </c>
      <c r="C28" s="2900">
        <f t="shared" si="156"/>
        <v>271.46160770422546</v>
      </c>
      <c r="D28" s="2900">
        <f t="shared" si="153"/>
        <v>271.46160770422546</v>
      </c>
      <c r="E28" s="2900">
        <f t="shared" si="157"/>
        <v>442.69434542172456</v>
      </c>
      <c r="F28" s="2900">
        <f t="shared" si="157"/>
        <v>241.34030753190925</v>
      </c>
      <c r="G28" s="3559"/>
      <c r="H28" s="2914">
        <v>2</v>
      </c>
      <c r="I28" s="2914">
        <v>0.77</v>
      </c>
      <c r="J28" s="2914">
        <v>0.69</v>
      </c>
      <c r="K28" s="2914">
        <v>0.8</v>
      </c>
      <c r="L28" s="2915">
        <v>0.88</v>
      </c>
      <c r="N28" s="2902">
        <f t="shared" si="155"/>
        <v>7.7000000000000002E-3</v>
      </c>
      <c r="O28" s="2920">
        <f t="shared" si="151"/>
        <v>6.8999999999999999E-3</v>
      </c>
      <c r="P28" s="2920">
        <f t="shared" si="151"/>
        <v>8.0000000000000002E-3</v>
      </c>
      <c r="Q28" s="2920">
        <f t="shared" si="151"/>
        <v>8.8000000000000005E-3</v>
      </c>
      <c r="R28" s="2903"/>
      <c r="S28" s="2902"/>
      <c r="T28" s="2888"/>
      <c r="U28" s="2888"/>
      <c r="V28" s="2888"/>
      <c r="X28" s="2887">
        <f>ROUND(SUMPRODUCT(PRODUCT(1+N28:N$32)),4)</f>
        <v>1.048</v>
      </c>
      <c r="Y28" s="2887">
        <f>ROUND(SUMPRODUCT(PRODUCT(1+O28:O$32)),4)</f>
        <v>1.0524</v>
      </c>
      <c r="Z28" s="2887">
        <f t="shared" si="0"/>
        <v>1.0524</v>
      </c>
      <c r="AA28" s="2887">
        <f>ROUND(SUMPRODUCT(PRODUCT(1+P28:P$32)),4)</f>
        <v>1.0470999999999999</v>
      </c>
      <c r="AB28" s="2887">
        <f>ROUND(SUMPRODUCT(PRODUCT(1+Q28:Q$32)),4)</f>
        <v>1.0504</v>
      </c>
      <c r="AD28" s="2888">
        <f>ROUND(AVERAGE(I28:I$33)/100,4)</f>
        <v>1.2800000000000001E-2</v>
      </c>
      <c r="AE28" s="2888">
        <f>ROUND(AVERAGE(J28:J$33)/100,4)</f>
        <v>1.2500000000000001E-2</v>
      </c>
      <c r="AF28" s="2888">
        <f t="shared" si="1"/>
        <v>1.2500000000000001E-2</v>
      </c>
      <c r="AG28" s="2888">
        <f>ROUND(AVERAGE(K28:K$33)/100,4)</f>
        <v>1.32E-2</v>
      </c>
      <c r="AH28" s="2888">
        <f>ROUND(AVERAGE(L28:L$33)/100,4)</f>
        <v>1.0500000000000001E-2</v>
      </c>
    </row>
    <row r="29" spans="1:34">
      <c r="A29" s="2899" t="s">
        <v>955</v>
      </c>
      <c r="B29" s="2900">
        <f t="shared" si="156"/>
        <v>319.87748030386797</v>
      </c>
      <c r="C29" s="2900">
        <f t="shared" si="156"/>
        <v>269.60135833173649</v>
      </c>
      <c r="D29" s="2900">
        <f t="shared" si="153"/>
        <v>269.60135833173649</v>
      </c>
      <c r="E29" s="2900">
        <f t="shared" si="157"/>
        <v>439.18089823583784</v>
      </c>
      <c r="F29" s="2900">
        <f t="shared" si="157"/>
        <v>239.23503918706311</v>
      </c>
      <c r="G29" s="3562"/>
      <c r="H29" s="2901">
        <v>1</v>
      </c>
      <c r="I29" s="2901">
        <v>0.51</v>
      </c>
      <c r="J29" s="2901">
        <v>0.54</v>
      </c>
      <c r="K29" s="2901">
        <v>0.48</v>
      </c>
      <c r="L29" s="2907">
        <v>0.93</v>
      </c>
      <c r="N29" s="2904">
        <f t="shared" si="155"/>
        <v>5.1000000000000004E-3</v>
      </c>
      <c r="O29" s="2905">
        <f t="shared" si="151"/>
        <v>5.4000000000000003E-3</v>
      </c>
      <c r="P29" s="2905">
        <f t="shared" si="151"/>
        <v>4.7999999999999996E-3</v>
      </c>
      <c r="Q29" s="2905">
        <f t="shared" si="151"/>
        <v>9.300000000000001E-3</v>
      </c>
      <c r="R29" s="2903"/>
      <c r="S29" s="2904">
        <f>B29/B30-1</f>
        <v>5.9040261127922822E-3</v>
      </c>
      <c r="T29" s="2905">
        <f>C29/C30-1</f>
        <v>5.9752176557332781E-3</v>
      </c>
      <c r="U29" s="2905">
        <f>E29/E30-1</f>
        <v>4.9906138119859556E-3</v>
      </c>
      <c r="V29" s="2905">
        <f>F29/F30-1</f>
        <v>9.4305450930933787E-3</v>
      </c>
      <c r="X29" s="2887">
        <f>ROUND(SUMPRODUCT(PRODUCT(1+N29:N$32)),4)</f>
        <v>1.0399</v>
      </c>
      <c r="Y29" s="2887">
        <f>ROUND(SUMPRODUCT(PRODUCT(1+O29:O$32)),4)</f>
        <v>1.0451999999999999</v>
      </c>
      <c r="Z29" s="2887">
        <f t="shared" si="0"/>
        <v>1.0451999999999999</v>
      </c>
      <c r="AA29" s="2887">
        <f>ROUND(SUMPRODUCT(PRODUCT(1+P29:P$32)),4)</f>
        <v>1.0387999999999999</v>
      </c>
      <c r="AB29" s="2887">
        <f>ROUND(SUMPRODUCT(PRODUCT(1+Q29:Q$32)),4)</f>
        <v>1.0411999999999999</v>
      </c>
      <c r="AD29" s="2888">
        <f>ROUND(AVERAGE(I29:I$33)/100,4)</f>
        <v>1.38E-2</v>
      </c>
      <c r="AE29" s="2888">
        <f>ROUND(AVERAGE(J29:J$33)/100,4)</f>
        <v>1.3599999999999999E-2</v>
      </c>
      <c r="AF29" s="2888">
        <f t="shared" si="1"/>
        <v>1.3599999999999999E-2</v>
      </c>
      <c r="AG29" s="2888">
        <f>ROUND(AVERAGE(K29:K$33)/100,4)</f>
        <v>1.4200000000000001E-2</v>
      </c>
      <c r="AH29" s="2888">
        <f>ROUND(AVERAGE(L29:L$33)/100,4)</f>
        <v>1.0800000000000001E-2</v>
      </c>
    </row>
    <row r="30" spans="1:34" ht="13.5" thickBot="1">
      <c r="A30" s="2899" t="s">
        <v>954</v>
      </c>
      <c r="B30" s="2928">
        <v>318</v>
      </c>
      <c r="C30" s="2928">
        <v>268</v>
      </c>
      <c r="D30" s="2928">
        <f t="shared" si="153"/>
        <v>268</v>
      </c>
      <c r="E30" s="2928">
        <v>437</v>
      </c>
      <c r="F30" s="2929">
        <v>237</v>
      </c>
      <c r="G30" s="3561">
        <v>2014</v>
      </c>
      <c r="H30" s="2923">
        <v>4</v>
      </c>
      <c r="I30" s="2923">
        <v>0.21</v>
      </c>
      <c r="J30" s="2923">
        <v>0.41</v>
      </c>
      <c r="K30" s="2923">
        <v>0.12</v>
      </c>
      <c r="L30" s="2924">
        <v>0.89</v>
      </c>
      <c r="N30" s="2902">
        <f t="shared" si="155"/>
        <v>2.0999999999999999E-3</v>
      </c>
      <c r="O30" s="2888">
        <f t="shared" si="151"/>
        <v>4.0999999999999995E-3</v>
      </c>
      <c r="P30" s="2888">
        <f t="shared" si="151"/>
        <v>1.1999999999999999E-3</v>
      </c>
      <c r="Q30" s="2888">
        <f t="shared" si="151"/>
        <v>8.8999999999999999E-3</v>
      </c>
      <c r="R30" s="2903"/>
      <c r="S30" s="2912"/>
      <c r="T30" s="2913"/>
      <c r="U30" s="2913"/>
      <c r="V30" s="2913"/>
      <c r="X30" s="2887">
        <f>ROUND(SUMPRODUCT(PRODUCT(1+N30:N$32)),4)</f>
        <v>1.0347</v>
      </c>
      <c r="Y30" s="2887">
        <f>ROUND(SUMPRODUCT(PRODUCT(1+O30:O$32)),4)</f>
        <v>1.0395000000000001</v>
      </c>
      <c r="Z30" s="2887">
        <f t="shared" si="0"/>
        <v>1.0395000000000001</v>
      </c>
      <c r="AA30" s="2887">
        <f>ROUND(SUMPRODUCT(PRODUCT(1+P30:P$32)),4)</f>
        <v>1.0338000000000001</v>
      </c>
      <c r="AB30" s="2887">
        <f>ROUND(SUMPRODUCT(PRODUCT(1+Q30:Q$32)),4)</f>
        <v>1.0316000000000001</v>
      </c>
      <c r="AD30" s="2888">
        <f>ROUND(AVERAGE(I30:I$33)/100,4)</f>
        <v>1.6E-2</v>
      </c>
      <c r="AE30" s="2888">
        <f>ROUND(AVERAGE(J30:J$33)/100,4)</f>
        <v>1.5599999999999999E-2</v>
      </c>
      <c r="AF30" s="2888">
        <f t="shared" si="1"/>
        <v>1.5599999999999999E-2</v>
      </c>
      <c r="AG30" s="2888">
        <f>ROUND(AVERAGE(K30:K$33)/100,4)</f>
        <v>1.66E-2</v>
      </c>
      <c r="AH30" s="2888">
        <f>ROUND(AVERAGE(L30:L$33)/100,4)</f>
        <v>1.12E-2</v>
      </c>
    </row>
    <row r="31" spans="1:34">
      <c r="A31" s="2899" t="s">
        <v>953</v>
      </c>
      <c r="B31" s="2900">
        <f t="shared" ref="B31:C33" si="158">B30/(1+N30)</f>
        <v>317.33359944117353</v>
      </c>
      <c r="C31" s="2900">
        <f t="shared" si="158"/>
        <v>266.90568668459315</v>
      </c>
      <c r="D31" s="2900">
        <f t="shared" si="153"/>
        <v>266.90568668459315</v>
      </c>
      <c r="E31" s="2900">
        <f t="shared" ref="E31:F33" si="159">E30/(1+P30)</f>
        <v>436.47622852576905</v>
      </c>
      <c r="F31" s="2900">
        <f t="shared" si="159"/>
        <v>234.90930716622066</v>
      </c>
      <c r="G31" s="3559"/>
      <c r="H31" s="2930">
        <v>3</v>
      </c>
      <c r="I31" s="2930">
        <v>0.83</v>
      </c>
      <c r="J31" s="2930">
        <v>1.47</v>
      </c>
      <c r="K31" s="2930">
        <v>0.65</v>
      </c>
      <c r="L31" s="2931">
        <v>0.72</v>
      </c>
      <c r="N31" s="2902">
        <f t="shared" si="155"/>
        <v>8.3000000000000001E-3</v>
      </c>
      <c r="O31" s="2888">
        <f t="shared" si="151"/>
        <v>1.47E-2</v>
      </c>
      <c r="P31" s="2888">
        <f t="shared" si="151"/>
        <v>6.5000000000000006E-3</v>
      </c>
      <c r="Q31" s="2888">
        <f t="shared" si="151"/>
        <v>7.1999999999999998E-3</v>
      </c>
      <c r="R31" s="2903"/>
      <c r="S31" s="2902"/>
      <c r="T31" s="2888"/>
      <c r="U31" s="2888"/>
      <c r="V31" s="2888"/>
      <c r="X31" s="2887">
        <f>ROUND(SUMPRODUCT(PRODUCT(1+N31:N$32)),4)</f>
        <v>1.0325</v>
      </c>
      <c r="Y31" s="2887">
        <f>ROUND(SUMPRODUCT(PRODUCT(1+O31:O$32)),4)</f>
        <v>1.0353000000000001</v>
      </c>
      <c r="Z31" s="2887">
        <f t="shared" ref="Z31:Z32" si="160">Y31</f>
        <v>1.0353000000000001</v>
      </c>
      <c r="AA31" s="2887">
        <f>ROUND(SUMPRODUCT(PRODUCT(1+P31:P$32)),4)</f>
        <v>1.0326</v>
      </c>
      <c r="AB31" s="2887">
        <f>ROUND(SUMPRODUCT(PRODUCT(1+Q31:Q$32)),4)</f>
        <v>1.0225</v>
      </c>
      <c r="AD31" s="2888">
        <f>ROUND(AVERAGE(I31:I$33)/100,4)</f>
        <v>2.07E-2</v>
      </c>
      <c r="AE31" s="2888">
        <f>ROUND(AVERAGE(J31:J$33)/100,4)</f>
        <v>1.95E-2</v>
      </c>
      <c r="AF31" s="2888">
        <f t="shared" si="1"/>
        <v>1.95E-2</v>
      </c>
      <c r="AG31" s="2888">
        <f>ROUND(AVERAGE(K31:K$33)/100,4)</f>
        <v>2.1700000000000001E-2</v>
      </c>
      <c r="AH31" s="2888">
        <f>ROUND(AVERAGE(L31:L$33)/100,4)</f>
        <v>1.2E-2</v>
      </c>
    </row>
    <row r="32" spans="1:34" ht="13.5" thickBot="1">
      <c r="A32" s="2899" t="s">
        <v>952</v>
      </c>
      <c r="B32" s="2900">
        <f t="shared" si="158"/>
        <v>314.72141172386546</v>
      </c>
      <c r="C32" s="2900">
        <f t="shared" si="158"/>
        <v>263.03901319069001</v>
      </c>
      <c r="D32" s="2900">
        <f t="shared" si="153"/>
        <v>263.03901319069001</v>
      </c>
      <c r="E32" s="2900">
        <f t="shared" si="159"/>
        <v>433.65745506782821</v>
      </c>
      <c r="F32" s="2900">
        <f t="shared" si="159"/>
        <v>233.23005080045735</v>
      </c>
      <c r="G32" s="3559"/>
      <c r="H32" s="2923">
        <v>2</v>
      </c>
      <c r="I32" s="2923">
        <v>2.4</v>
      </c>
      <c r="J32" s="2923">
        <v>2.0299999999999998</v>
      </c>
      <c r="K32" s="2923">
        <v>2.59</v>
      </c>
      <c r="L32" s="2924">
        <v>1.52</v>
      </c>
      <c r="N32" s="2902">
        <f t="shared" si="155"/>
        <v>2.4E-2</v>
      </c>
      <c r="O32" s="2888">
        <f t="shared" si="151"/>
        <v>2.0299999999999999E-2</v>
      </c>
      <c r="P32" s="2888">
        <f t="shared" si="151"/>
        <v>2.5899999999999999E-2</v>
      </c>
      <c r="Q32" s="2888">
        <f t="shared" si="151"/>
        <v>1.52E-2</v>
      </c>
      <c r="R32" s="2903"/>
      <c r="S32" s="2902"/>
      <c r="T32" s="2888"/>
      <c r="U32" s="2888"/>
      <c r="V32" s="2888"/>
      <c r="X32" s="2887">
        <f>1+N32</f>
        <v>1.024</v>
      </c>
      <c r="Y32" s="2887">
        <f>1+O32</f>
        <v>1.0203</v>
      </c>
      <c r="Z32" s="2887">
        <f t="shared" si="160"/>
        <v>1.0203</v>
      </c>
      <c r="AA32" s="2887">
        <f>1+P32</f>
        <v>1.0259</v>
      </c>
      <c r="AB32" s="2887">
        <f>1+Q32</f>
        <v>1.0152000000000001</v>
      </c>
      <c r="AD32" s="2888">
        <f>ROUND(AVERAGE(I32:I$33)/100,4)</f>
        <v>2.69E-2</v>
      </c>
      <c r="AE32" s="2888">
        <f>ROUND(AVERAGE(J32:J$33)/100,4)</f>
        <v>2.1899999999999999E-2</v>
      </c>
      <c r="AF32" s="2888">
        <f t="shared" ref="AF32" si="161">AE32</f>
        <v>2.1899999999999999E-2</v>
      </c>
      <c r="AG32" s="2888">
        <f>ROUND(AVERAGE(K32:K$33)/100,4)</f>
        <v>2.9399999999999999E-2</v>
      </c>
      <c r="AH32" s="2888">
        <f>ROUND(AVERAGE(L32:L$33)/100,4)</f>
        <v>1.44E-2</v>
      </c>
    </row>
    <row r="33" spans="1:34" s="2936" customFormat="1" ht="13.5" thickBot="1">
      <c r="A33" s="2932" t="s">
        <v>951</v>
      </c>
      <c r="B33" s="2933">
        <f t="shared" si="158"/>
        <v>307.34512863658733</v>
      </c>
      <c r="C33" s="2933">
        <f t="shared" si="158"/>
        <v>257.80556031626975</v>
      </c>
      <c r="D33" s="2933">
        <f t="shared" si="153"/>
        <v>257.80556031626975</v>
      </c>
      <c r="E33" s="2933">
        <f t="shared" si="159"/>
        <v>422.70928459677179</v>
      </c>
      <c r="F33" s="2933">
        <f t="shared" si="159"/>
        <v>229.73803270336617</v>
      </c>
      <c r="G33" s="3562"/>
      <c r="H33" s="2934">
        <v>1</v>
      </c>
      <c r="I33" s="2934">
        <v>2.97</v>
      </c>
      <c r="J33" s="2934">
        <v>2.34</v>
      </c>
      <c r="K33" s="2934">
        <v>3.28</v>
      </c>
      <c r="L33" s="2935">
        <v>1.36</v>
      </c>
      <c r="N33" s="2937">
        <f t="shared" si="155"/>
        <v>2.9700000000000001E-2</v>
      </c>
      <c r="O33" s="2938">
        <f t="shared" si="151"/>
        <v>2.3399999999999997E-2</v>
      </c>
      <c r="P33" s="2938">
        <f t="shared" si="151"/>
        <v>3.2799999999999996E-2</v>
      </c>
      <c r="Q33" s="2938">
        <f t="shared" si="151"/>
        <v>1.3600000000000001E-2</v>
      </c>
      <c r="R33" s="2939"/>
      <c r="S33" s="2940">
        <f>B33/B34-1</f>
        <v>2.7910129219355539E-2</v>
      </c>
      <c r="T33" s="2941">
        <f>C33/C34-1</f>
        <v>2.3037937762975247E-2</v>
      </c>
      <c r="U33" s="2941">
        <f>E33/E34-1</f>
        <v>3.3519033243940788E-2</v>
      </c>
      <c r="V33" s="2941">
        <f>F33/F34-1</f>
        <v>1.2061818076502862E-2</v>
      </c>
      <c r="W33" s="2942" t="s">
        <v>2621</v>
      </c>
      <c r="X33" s="2943">
        <v>1</v>
      </c>
      <c r="Y33" s="2943">
        <v>1</v>
      </c>
      <c r="Z33" s="2943">
        <v>1</v>
      </c>
      <c r="AA33" s="2943">
        <v>1</v>
      </c>
      <c r="AB33" s="2943">
        <v>1</v>
      </c>
      <c r="AD33" s="2938">
        <f>I33/100</f>
        <v>2.9700000000000001E-2</v>
      </c>
      <c r="AE33" s="2938">
        <f>J33/100</f>
        <v>2.3399999999999997E-2</v>
      </c>
      <c r="AF33" s="2938">
        <f>AE33</f>
        <v>2.3399999999999997E-2</v>
      </c>
      <c r="AG33" s="2938">
        <f>K33/100</f>
        <v>3.2799999999999996E-2</v>
      </c>
      <c r="AH33" s="2938">
        <f>L33/100</f>
        <v>1.3600000000000001E-2</v>
      </c>
    </row>
    <row r="34" spans="1:34" ht="13.5" thickBot="1">
      <c r="A34" s="2899" t="s">
        <v>2564</v>
      </c>
      <c r="B34" s="2921">
        <v>299</v>
      </c>
      <c r="C34" s="2921">
        <v>252</v>
      </c>
      <c r="D34" s="2921">
        <f t="shared" si="153"/>
        <v>252</v>
      </c>
      <c r="E34" s="2921">
        <v>409</v>
      </c>
      <c r="F34" s="2922">
        <v>227</v>
      </c>
      <c r="G34" s="3566">
        <v>2013</v>
      </c>
      <c r="H34" s="2944">
        <v>4</v>
      </c>
      <c r="I34" s="2944">
        <v>1.83</v>
      </c>
      <c r="J34" s="2944">
        <v>1.68</v>
      </c>
      <c r="K34" s="2944">
        <v>1.97</v>
      </c>
      <c r="L34" s="2945">
        <v>0.87</v>
      </c>
      <c r="N34" s="2918">
        <f t="shared" si="155"/>
        <v>1.83E-2</v>
      </c>
      <c r="O34" s="2919">
        <f t="shared" si="151"/>
        <v>1.6799999999999999E-2</v>
      </c>
      <c r="P34" s="2919">
        <f t="shared" si="151"/>
        <v>1.9699999999999999E-2</v>
      </c>
      <c r="Q34" s="2919">
        <f t="shared" si="151"/>
        <v>8.6999999999999994E-3</v>
      </c>
      <c r="R34" s="2903"/>
      <c r="S34" s="2912"/>
      <c r="T34" s="2913"/>
      <c r="U34" s="2913"/>
      <c r="V34" s="2913"/>
      <c r="X34" s="2913"/>
      <c r="Y34" s="2913"/>
      <c r="Z34" s="2913"/>
    </row>
    <row r="35" spans="1:34">
      <c r="A35" s="2899" t="s">
        <v>2565</v>
      </c>
      <c r="B35" s="2900">
        <f t="shared" ref="B35:C37" si="162">B34/(1+N34)</f>
        <v>293.62663262299913</v>
      </c>
      <c r="C35" s="2900">
        <f t="shared" si="162"/>
        <v>247.83634933123525</v>
      </c>
      <c r="D35" s="2900">
        <f t="shared" si="153"/>
        <v>247.83634933123525</v>
      </c>
      <c r="E35" s="2900">
        <f t="shared" ref="E35:F37" si="163">E34/(1+P34)</f>
        <v>401.09836226341076</v>
      </c>
      <c r="F35" s="2900">
        <f t="shared" si="163"/>
        <v>225.04213343908003</v>
      </c>
      <c r="G35" s="3567"/>
      <c r="H35" s="2926">
        <v>3</v>
      </c>
      <c r="I35" s="2926">
        <v>1.86</v>
      </c>
      <c r="J35" s="2926">
        <v>1.72</v>
      </c>
      <c r="K35" s="2926">
        <v>1.98</v>
      </c>
      <c r="L35" s="2927">
        <v>0.88</v>
      </c>
      <c r="N35" s="2902">
        <f t="shared" si="155"/>
        <v>1.8600000000000002E-2</v>
      </c>
      <c r="O35" s="2920">
        <f t="shared" si="151"/>
        <v>1.72E-2</v>
      </c>
      <c r="P35" s="2920">
        <f t="shared" si="151"/>
        <v>1.9799999999999998E-2</v>
      </c>
      <c r="Q35" s="2920">
        <f t="shared" si="151"/>
        <v>8.8000000000000005E-3</v>
      </c>
      <c r="R35" s="2903"/>
      <c r="S35" s="2902"/>
      <c r="T35" s="2888"/>
      <c r="U35" s="2888"/>
      <c r="V35" s="2888"/>
    </row>
    <row r="36" spans="1:34">
      <c r="A36" s="2899" t="s">
        <v>2566</v>
      </c>
      <c r="B36" s="2900">
        <f t="shared" si="162"/>
        <v>288.2649053828776</v>
      </c>
      <c r="C36" s="2900">
        <f t="shared" si="162"/>
        <v>243.64564425013293</v>
      </c>
      <c r="D36" s="2900">
        <f t="shared" si="153"/>
        <v>243.64564425013293</v>
      </c>
      <c r="E36" s="2900">
        <f t="shared" si="163"/>
        <v>393.31080825986544</v>
      </c>
      <c r="F36" s="2900">
        <f t="shared" si="163"/>
        <v>223.07903790551154</v>
      </c>
      <c r="G36" s="3567"/>
      <c r="H36" s="2914">
        <v>2</v>
      </c>
      <c r="I36" s="2914">
        <v>2.04</v>
      </c>
      <c r="J36" s="2914">
        <v>2.33</v>
      </c>
      <c r="K36" s="2914">
        <v>2.0699999999999998</v>
      </c>
      <c r="L36" s="2915">
        <v>0.69</v>
      </c>
      <c r="N36" s="2902">
        <f t="shared" si="155"/>
        <v>2.0400000000000001E-2</v>
      </c>
      <c r="O36" s="2920">
        <f t="shared" si="151"/>
        <v>2.3300000000000001E-2</v>
      </c>
      <c r="P36" s="2920">
        <f t="shared" si="151"/>
        <v>2.07E-2</v>
      </c>
      <c r="Q36" s="2920">
        <f t="shared" si="151"/>
        <v>6.8999999999999999E-3</v>
      </c>
      <c r="R36" s="2903"/>
      <c r="S36" s="2902"/>
      <c r="T36" s="2888"/>
      <c r="U36" s="2888"/>
      <c r="V36" s="2888"/>
      <c r="X36" s="2946"/>
      <c r="Y36" s="2947"/>
    </row>
    <row r="37" spans="1:34">
      <c r="A37" s="2899" t="s">
        <v>2567</v>
      </c>
      <c r="B37" s="2900">
        <f t="shared" si="162"/>
        <v>282.50186729015837</v>
      </c>
      <c r="C37" s="2900">
        <f t="shared" si="162"/>
        <v>238.09796174155468</v>
      </c>
      <c r="D37" s="2900">
        <f t="shared" si="153"/>
        <v>238.09796174155468</v>
      </c>
      <c r="E37" s="2900">
        <f t="shared" si="163"/>
        <v>385.33438646014054</v>
      </c>
      <c r="F37" s="2900">
        <f t="shared" si="163"/>
        <v>221.55034055567739</v>
      </c>
      <c r="G37" s="3568"/>
      <c r="H37" s="2901">
        <v>1</v>
      </c>
      <c r="I37" s="2901">
        <v>1.67</v>
      </c>
      <c r="J37" s="2901">
        <v>1.31</v>
      </c>
      <c r="K37" s="2901">
        <v>1.85</v>
      </c>
      <c r="L37" s="2907">
        <v>0.96</v>
      </c>
      <c r="N37" s="2904">
        <f t="shared" si="155"/>
        <v>1.67E-2</v>
      </c>
      <c r="O37" s="2905">
        <f t="shared" si="151"/>
        <v>1.3100000000000001E-2</v>
      </c>
      <c r="P37" s="2905">
        <f t="shared" si="151"/>
        <v>1.8500000000000003E-2</v>
      </c>
      <c r="Q37" s="2905">
        <f t="shared" si="151"/>
        <v>9.5999999999999992E-3</v>
      </c>
      <c r="R37" s="2903"/>
      <c r="S37" s="2904">
        <f>B37/B38-1</f>
        <v>1.6193767230785472E-2</v>
      </c>
      <c r="T37" s="2905">
        <f>C37/C38-1</f>
        <v>1.7512657015190891E-2</v>
      </c>
      <c r="U37" s="2905">
        <f>E37/E38-1</f>
        <v>1.6713420739157048E-2</v>
      </c>
      <c r="V37" s="2905">
        <f>F37/F38-1</f>
        <v>7.0470025258062563E-3</v>
      </c>
      <c r="X37" s="2948"/>
      <c r="Y37" s="2888"/>
      <c r="Z37" s="2888"/>
    </row>
    <row r="38" spans="1:34" ht="13.5" thickBot="1">
      <c r="A38" s="2899" t="s">
        <v>2568</v>
      </c>
      <c r="B38" s="2949">
        <v>278</v>
      </c>
      <c r="C38" s="2949">
        <v>234</v>
      </c>
      <c r="D38" s="2949">
        <f t="shared" si="153"/>
        <v>234</v>
      </c>
      <c r="E38" s="2949">
        <v>379</v>
      </c>
      <c r="F38" s="2950">
        <v>220</v>
      </c>
      <c r="G38" s="3561">
        <v>2012</v>
      </c>
      <c r="H38" s="2923">
        <v>4</v>
      </c>
      <c r="I38" s="2923">
        <v>0.91</v>
      </c>
      <c r="J38" s="2923">
        <v>0.68</v>
      </c>
      <c r="K38" s="2923">
        <v>0.98</v>
      </c>
      <c r="L38" s="2924">
        <v>0.9</v>
      </c>
      <c r="N38" s="2902">
        <f t="shared" si="155"/>
        <v>9.1000000000000004E-3</v>
      </c>
      <c r="O38" s="2888">
        <f t="shared" si="155"/>
        <v>6.8000000000000005E-3</v>
      </c>
      <c r="P38" s="2888">
        <f t="shared" si="155"/>
        <v>9.7999999999999997E-3</v>
      </c>
      <c r="Q38" s="2888">
        <f t="shared" si="155"/>
        <v>9.0000000000000011E-3</v>
      </c>
      <c r="R38" s="2903"/>
      <c r="S38" s="2912"/>
      <c r="T38" s="2913"/>
      <c r="U38" s="2913"/>
      <c r="V38" s="2913"/>
      <c r="X38" s="2913"/>
      <c r="Y38" s="2913"/>
      <c r="Z38" s="2913"/>
    </row>
    <row r="39" spans="1:34">
      <c r="A39" s="2899" t="s">
        <v>2569</v>
      </c>
      <c r="B39" s="2900">
        <f>B38/(1+N38)</f>
        <v>275.49301357645425</v>
      </c>
      <c r="C39" s="2900">
        <f>C38/(1+O38)</f>
        <v>232.41954707985698</v>
      </c>
      <c r="D39" s="2900">
        <f t="shared" si="153"/>
        <v>232.41954707985698</v>
      </c>
      <c r="E39" s="2900">
        <f t="shared" ref="E39:F41" si="164">E38/(1+P38)</f>
        <v>375.32184591008121</v>
      </c>
      <c r="F39" s="2900">
        <f t="shared" si="164"/>
        <v>218.03766105054513</v>
      </c>
      <c r="G39" s="3559"/>
      <c r="H39" s="2926">
        <v>3</v>
      </c>
      <c r="I39" s="2926">
        <v>0.09</v>
      </c>
      <c r="J39" s="2926">
        <v>0.28999999999999998</v>
      </c>
      <c r="K39" s="2926">
        <v>-0.01</v>
      </c>
      <c r="L39" s="2927">
        <v>0.57999999999999996</v>
      </c>
      <c r="N39" s="2902">
        <f t="shared" si="155"/>
        <v>8.9999999999999998E-4</v>
      </c>
      <c r="O39" s="2888">
        <f t="shared" si="155"/>
        <v>2.8999999999999998E-3</v>
      </c>
      <c r="P39" s="2888">
        <f t="shared" si="155"/>
        <v>-1E-4</v>
      </c>
      <c r="Q39" s="2888">
        <f t="shared" si="155"/>
        <v>5.7999999999999996E-3</v>
      </c>
      <c r="R39" s="2903"/>
      <c r="S39" s="2902"/>
      <c r="T39" s="2888"/>
      <c r="U39" s="2888"/>
      <c r="V39" s="2888"/>
    </row>
    <row r="40" spans="1:34">
      <c r="A40" s="2899" t="s">
        <v>2570</v>
      </c>
      <c r="B40" s="2900">
        <f>B39/(1+N39)</f>
        <v>275.24529281292263</v>
      </c>
      <c r="C40" s="2900">
        <f>C39/(1+O39)</f>
        <v>231.74747938962707</v>
      </c>
      <c r="D40" s="2900">
        <f t="shared" si="153"/>
        <v>231.74747938962707</v>
      </c>
      <c r="E40" s="2900">
        <f t="shared" si="164"/>
        <v>375.35938184826603</v>
      </c>
      <c r="F40" s="2900">
        <f t="shared" si="164"/>
        <v>216.78033510692495</v>
      </c>
      <c r="G40" s="3559"/>
      <c r="H40" s="2914">
        <v>2</v>
      </c>
      <c r="I40" s="2914">
        <v>0.02</v>
      </c>
      <c r="J40" s="2914">
        <v>0.12</v>
      </c>
      <c r="K40" s="2914">
        <v>-0.08</v>
      </c>
      <c r="L40" s="2915">
        <v>1.24</v>
      </c>
      <c r="N40" s="2902">
        <f t="shared" si="155"/>
        <v>2.0000000000000001E-4</v>
      </c>
      <c r="O40" s="2888">
        <f t="shared" si="155"/>
        <v>1.1999999999999999E-3</v>
      </c>
      <c r="P40" s="2888">
        <f t="shared" si="155"/>
        <v>-8.0000000000000004E-4</v>
      </c>
      <c r="Q40" s="2888">
        <f t="shared" si="155"/>
        <v>1.24E-2</v>
      </c>
      <c r="R40" s="2903"/>
      <c r="S40" s="2902"/>
      <c r="T40" s="2888"/>
      <c r="U40" s="2888"/>
      <c r="V40" s="2888"/>
    </row>
    <row r="41" spans="1:34" ht="13.5" thickBot="1">
      <c r="A41" s="2899" t="s">
        <v>2571</v>
      </c>
      <c r="B41" s="2900">
        <f>B40/(1+N40)</f>
        <v>275.19025476197027</v>
      </c>
      <c r="C41" s="2951">
        <v>232</v>
      </c>
      <c r="D41" s="2951">
        <f t="shared" si="153"/>
        <v>232</v>
      </c>
      <c r="E41" s="2900">
        <f t="shared" si="164"/>
        <v>375.65990977608692</v>
      </c>
      <c r="F41" s="2900">
        <f t="shared" si="164"/>
        <v>214.12518283971252</v>
      </c>
      <c r="G41" s="3562"/>
      <c r="H41" s="2901">
        <v>1</v>
      </c>
      <c r="I41" s="2901">
        <v>0.02</v>
      </c>
      <c r="J41" s="2901">
        <v>0.13</v>
      </c>
      <c r="K41" s="2901">
        <v>-0.04</v>
      </c>
      <c r="L41" s="2907">
        <v>0.46</v>
      </c>
      <c r="N41" s="2902">
        <f t="shared" si="155"/>
        <v>2.0000000000000001E-4</v>
      </c>
      <c r="O41" s="2888">
        <f t="shared" si="155"/>
        <v>1.2999999999999999E-3</v>
      </c>
      <c r="P41" s="2888">
        <f t="shared" si="155"/>
        <v>-4.0000000000000002E-4</v>
      </c>
      <c r="Q41" s="2888">
        <f t="shared" si="155"/>
        <v>4.5999999999999999E-3</v>
      </c>
      <c r="R41" s="2903"/>
      <c r="S41" s="2904">
        <f>B41/B42-1</f>
        <v>6.9183549807361189E-4</v>
      </c>
      <c r="T41" s="2905">
        <f>C41/C42-1</f>
        <v>0</v>
      </c>
      <c r="U41" s="2905">
        <f>E41/E42-1</f>
        <v>-9.0449527636460303E-4</v>
      </c>
      <c r="V41" s="2905">
        <f>F41/F42-1</f>
        <v>5.2825485432512753E-3</v>
      </c>
      <c r="X41" s="2888"/>
      <c r="Y41" s="2888"/>
      <c r="Z41" s="2888"/>
    </row>
    <row r="42" spans="1:34" ht="13.5" thickBot="1">
      <c r="A42" s="2899" t="s">
        <v>2572</v>
      </c>
      <c r="B42" s="2921">
        <v>275</v>
      </c>
      <c r="C42" s="2921">
        <v>232</v>
      </c>
      <c r="D42" s="2921">
        <f t="shared" si="153"/>
        <v>232</v>
      </c>
      <c r="E42" s="2921">
        <v>376</v>
      </c>
      <c r="F42" s="2922">
        <v>213</v>
      </c>
      <c r="G42" s="3561">
        <v>2011</v>
      </c>
      <c r="H42" s="2923">
        <v>4</v>
      </c>
      <c r="I42" s="2923">
        <v>-0.2</v>
      </c>
      <c r="J42" s="2923">
        <v>0.04</v>
      </c>
      <c r="K42" s="2923">
        <v>-0.34</v>
      </c>
      <c r="L42" s="2924">
        <v>0.46</v>
      </c>
      <c r="N42" s="2918">
        <f t="shared" si="155"/>
        <v>-2E-3</v>
      </c>
      <c r="O42" s="2919">
        <f t="shared" si="155"/>
        <v>4.0000000000000002E-4</v>
      </c>
      <c r="P42" s="2919">
        <f t="shared" si="155"/>
        <v>-3.4000000000000002E-3</v>
      </c>
      <c r="Q42" s="2919">
        <f t="shared" si="155"/>
        <v>4.5999999999999999E-3</v>
      </c>
      <c r="R42" s="2903"/>
      <c r="S42" s="2912"/>
      <c r="T42" s="2913"/>
      <c r="U42" s="2913"/>
      <c r="V42" s="2913"/>
      <c r="X42" s="2913"/>
      <c r="Y42" s="2913"/>
      <c r="Z42" s="2913"/>
    </row>
    <row r="43" spans="1:34">
      <c r="A43" s="2899" t="s">
        <v>2573</v>
      </c>
      <c r="B43" s="2900">
        <f t="shared" ref="B43:C45" si="165">B42/(1+N42)</f>
        <v>275.55110220440883</v>
      </c>
      <c r="C43" s="2900">
        <f t="shared" si="165"/>
        <v>231.90723710515795</v>
      </c>
      <c r="D43" s="2900">
        <f t="shared" si="153"/>
        <v>231.90723710515795</v>
      </c>
      <c r="E43" s="2900">
        <f t="shared" ref="E43:F45" si="166">E42/(1+P42)</f>
        <v>377.28276138872161</v>
      </c>
      <c r="F43" s="2900">
        <f t="shared" si="166"/>
        <v>212.02468644236512</v>
      </c>
      <c r="G43" s="3559">
        <v>2011</v>
      </c>
      <c r="H43" s="2926">
        <v>3</v>
      </c>
      <c r="I43" s="2926">
        <v>0.13</v>
      </c>
      <c r="J43" s="2926">
        <v>0.75</v>
      </c>
      <c r="K43" s="2926">
        <v>-0.08</v>
      </c>
      <c r="L43" s="2927">
        <v>0.53</v>
      </c>
      <c r="N43" s="2902">
        <f t="shared" si="155"/>
        <v>1.2999999999999999E-3</v>
      </c>
      <c r="O43" s="2920">
        <f t="shared" si="155"/>
        <v>7.4999999999999997E-3</v>
      </c>
      <c r="P43" s="2920">
        <f t="shared" si="155"/>
        <v>-8.0000000000000004E-4</v>
      </c>
      <c r="Q43" s="2920">
        <f t="shared" si="155"/>
        <v>5.3E-3</v>
      </c>
      <c r="R43" s="2903"/>
      <c r="S43" s="2902"/>
      <c r="T43" s="2888"/>
      <c r="U43" s="2888"/>
      <c r="V43" s="2888"/>
    </row>
    <row r="44" spans="1:34">
      <c r="A44" s="2899" t="s">
        <v>2574</v>
      </c>
      <c r="B44" s="2900">
        <f t="shared" si="165"/>
        <v>275.19335084830601</v>
      </c>
      <c r="C44" s="2900">
        <f t="shared" si="165"/>
        <v>230.18088050139744</v>
      </c>
      <c r="D44" s="2900">
        <f t="shared" si="153"/>
        <v>230.18088050139744</v>
      </c>
      <c r="E44" s="2900">
        <f t="shared" si="166"/>
        <v>377.58482925212331</v>
      </c>
      <c r="F44" s="2900">
        <f t="shared" si="166"/>
        <v>210.90687997847917</v>
      </c>
      <c r="G44" s="3559">
        <v>2011</v>
      </c>
      <c r="H44" s="2914">
        <v>2</v>
      </c>
      <c r="I44" s="2914">
        <v>-0.4</v>
      </c>
      <c r="J44" s="2914">
        <v>0.17</v>
      </c>
      <c r="K44" s="2914">
        <v>-0.57999999999999996</v>
      </c>
      <c r="L44" s="2915">
        <v>-0.2</v>
      </c>
      <c r="N44" s="2902">
        <f t="shared" si="155"/>
        <v>-4.0000000000000001E-3</v>
      </c>
      <c r="O44" s="2920">
        <f t="shared" si="155"/>
        <v>1.7000000000000001E-3</v>
      </c>
      <c r="P44" s="2920">
        <f t="shared" si="155"/>
        <v>-5.7999999999999996E-3</v>
      </c>
      <c r="Q44" s="2920">
        <f t="shared" si="155"/>
        <v>-2E-3</v>
      </c>
      <c r="R44" s="2903"/>
      <c r="S44" s="2902"/>
      <c r="T44" s="2888"/>
      <c r="U44" s="2888"/>
      <c r="V44" s="2888"/>
    </row>
    <row r="45" spans="1:34" ht="13.5" thickBot="1">
      <c r="A45" s="2899" t="s">
        <v>2575</v>
      </c>
      <c r="B45" s="2900">
        <f t="shared" si="165"/>
        <v>276.29854502841971</v>
      </c>
      <c r="C45" s="2900">
        <f t="shared" si="165"/>
        <v>229.79023709833027</v>
      </c>
      <c r="D45" s="2900">
        <f t="shared" si="153"/>
        <v>229.79023709833027</v>
      </c>
      <c r="E45" s="2900">
        <f t="shared" si="166"/>
        <v>379.78759731655936</v>
      </c>
      <c r="F45" s="2900">
        <f t="shared" si="166"/>
        <v>211.32953905659235</v>
      </c>
      <c r="G45" s="3562">
        <v>2011</v>
      </c>
      <c r="H45" s="2901">
        <v>1</v>
      </c>
      <c r="I45" s="2901">
        <v>2.65</v>
      </c>
      <c r="J45" s="2901">
        <v>3.76</v>
      </c>
      <c r="K45" s="2901">
        <v>1.89</v>
      </c>
      <c r="L45" s="2907">
        <v>7.95</v>
      </c>
      <c r="N45" s="2904">
        <f t="shared" si="155"/>
        <v>2.6499999999999999E-2</v>
      </c>
      <c r="O45" s="2905">
        <f t="shared" si="155"/>
        <v>3.7599999999999995E-2</v>
      </c>
      <c r="P45" s="2905">
        <f t="shared" si="155"/>
        <v>1.89E-2</v>
      </c>
      <c r="Q45" s="2905">
        <f t="shared" si="155"/>
        <v>7.9500000000000001E-2</v>
      </c>
      <c r="R45" s="2903"/>
      <c r="S45" s="2904">
        <f>B45/B46-1</f>
        <v>2.713213765211786E-2</v>
      </c>
      <c r="T45" s="2905">
        <f>C45/C46-1</f>
        <v>3.9774828499231862E-2</v>
      </c>
      <c r="U45" s="2905">
        <f>E45/E46-1</f>
        <v>1.8197311840641772E-2</v>
      </c>
      <c r="V45" s="2905">
        <f>F45/F46-1</f>
        <v>7.8211933962205826E-2</v>
      </c>
      <c r="X45" s="2888"/>
      <c r="Y45" s="2888"/>
      <c r="Z45" s="2888"/>
    </row>
    <row r="46" spans="1:34" ht="13.5" thickBot="1">
      <c r="A46" s="2899" t="s">
        <v>2576</v>
      </c>
      <c r="B46" s="2921">
        <v>269</v>
      </c>
      <c r="C46" s="2921">
        <v>221</v>
      </c>
      <c r="D46" s="2921">
        <f t="shared" si="153"/>
        <v>221</v>
      </c>
      <c r="E46" s="2921">
        <v>373</v>
      </c>
      <c r="F46" s="2922">
        <v>196</v>
      </c>
      <c r="G46" s="3561">
        <v>2010</v>
      </c>
      <c r="H46" s="2923">
        <v>4</v>
      </c>
      <c r="I46" s="2923">
        <v>5.72</v>
      </c>
      <c r="J46" s="2923">
        <v>6.57</v>
      </c>
      <c r="K46" s="2923">
        <v>5.72</v>
      </c>
      <c r="L46" s="2924">
        <v>2.72</v>
      </c>
      <c r="N46" s="2902">
        <f t="shared" si="155"/>
        <v>5.7200000000000001E-2</v>
      </c>
      <c r="O46" s="2888">
        <f t="shared" si="155"/>
        <v>6.5700000000000008E-2</v>
      </c>
      <c r="P46" s="2888">
        <f t="shared" si="155"/>
        <v>5.7200000000000001E-2</v>
      </c>
      <c r="Q46" s="2888">
        <f t="shared" si="155"/>
        <v>2.7200000000000002E-2</v>
      </c>
      <c r="R46" s="2903"/>
      <c r="S46" s="2912"/>
      <c r="T46" s="2913"/>
      <c r="U46" s="2913"/>
      <c r="V46" s="2913"/>
      <c r="X46" s="2913"/>
      <c r="Y46" s="2913"/>
      <c r="Z46" s="2913"/>
    </row>
    <row r="47" spans="1:34">
      <c r="A47" s="2899" t="s">
        <v>2577</v>
      </c>
      <c r="B47" s="2900">
        <f t="shared" ref="B47:C49" si="167">B46/(1+N46)</f>
        <v>254.44570563753314</v>
      </c>
      <c r="C47" s="2900">
        <f t="shared" si="167"/>
        <v>207.37543398705074</v>
      </c>
      <c r="D47" s="2900">
        <f t="shared" si="153"/>
        <v>207.37543398705074</v>
      </c>
      <c r="E47" s="2900">
        <f t="shared" ref="E47:F49" si="168">E46/(1+P46)</f>
        <v>352.81876655315932</v>
      </c>
      <c r="F47" s="2900">
        <f t="shared" si="168"/>
        <v>190.809968847352</v>
      </c>
      <c r="G47" s="3559">
        <v>2010</v>
      </c>
      <c r="H47" s="2926">
        <v>3</v>
      </c>
      <c r="I47" s="2926">
        <v>4.7300000000000004</v>
      </c>
      <c r="J47" s="2926">
        <v>3.9</v>
      </c>
      <c r="K47" s="2926">
        <v>5.03</v>
      </c>
      <c r="L47" s="2927">
        <v>4.21</v>
      </c>
      <c r="N47" s="2902">
        <f t="shared" si="155"/>
        <v>4.7300000000000002E-2</v>
      </c>
      <c r="O47" s="2888">
        <f t="shared" si="155"/>
        <v>3.9E-2</v>
      </c>
      <c r="P47" s="2888">
        <f t="shared" si="155"/>
        <v>5.0300000000000004E-2</v>
      </c>
      <c r="Q47" s="2888">
        <f t="shared" si="155"/>
        <v>4.2099999999999999E-2</v>
      </c>
      <c r="R47" s="2903"/>
      <c r="S47" s="2902"/>
      <c r="T47" s="2888"/>
      <c r="U47" s="2888"/>
      <c r="V47" s="2888"/>
    </row>
    <row r="48" spans="1:34">
      <c r="A48" s="2899" t="s">
        <v>2578</v>
      </c>
      <c r="B48" s="2900">
        <f t="shared" si="167"/>
        <v>242.95398227588385</v>
      </c>
      <c r="C48" s="2900">
        <f t="shared" si="167"/>
        <v>199.59137053614126</v>
      </c>
      <c r="D48" s="2900">
        <f t="shared" si="153"/>
        <v>199.59137053614126</v>
      </c>
      <c r="E48" s="2900">
        <f t="shared" si="168"/>
        <v>335.92189522342125</v>
      </c>
      <c r="F48" s="2900">
        <f t="shared" si="168"/>
        <v>183.10139991109489</v>
      </c>
      <c r="G48" s="3559">
        <v>2010</v>
      </c>
      <c r="H48" s="2914">
        <v>2</v>
      </c>
      <c r="I48" s="2914">
        <v>4.6900000000000004</v>
      </c>
      <c r="J48" s="2914">
        <v>3.55</v>
      </c>
      <c r="K48" s="2914">
        <v>5.07</v>
      </c>
      <c r="L48" s="2915">
        <v>4.2300000000000004</v>
      </c>
      <c r="N48" s="2902">
        <f t="shared" si="155"/>
        <v>4.6900000000000004E-2</v>
      </c>
      <c r="O48" s="2888">
        <f t="shared" si="155"/>
        <v>3.5499999999999997E-2</v>
      </c>
      <c r="P48" s="2888">
        <f t="shared" si="155"/>
        <v>5.0700000000000002E-2</v>
      </c>
      <c r="Q48" s="2888">
        <f t="shared" si="155"/>
        <v>4.2300000000000004E-2</v>
      </c>
      <c r="R48" s="2903"/>
      <c r="S48" s="2902"/>
      <c r="T48" s="2888"/>
      <c r="U48" s="2888"/>
      <c r="V48" s="2888"/>
    </row>
    <row r="49" spans="1:26" ht="13.5" thickBot="1">
      <c r="A49" s="2899" t="s">
        <v>2579</v>
      </c>
      <c r="B49" s="2900">
        <f t="shared" si="167"/>
        <v>232.06990378821649</v>
      </c>
      <c r="C49" s="2900">
        <f t="shared" si="167"/>
        <v>192.74878854286936</v>
      </c>
      <c r="D49" s="2900">
        <f t="shared" si="153"/>
        <v>192.74878854286936</v>
      </c>
      <c r="E49" s="2900">
        <f t="shared" si="168"/>
        <v>319.71247284992984</v>
      </c>
      <c r="F49" s="2900">
        <f t="shared" si="168"/>
        <v>175.67053622862409</v>
      </c>
      <c r="G49" s="3562">
        <v>2010</v>
      </c>
      <c r="H49" s="2901">
        <v>1</v>
      </c>
      <c r="I49" s="2901">
        <v>5.4</v>
      </c>
      <c r="J49" s="2901">
        <v>3.2</v>
      </c>
      <c r="K49" s="2901">
        <v>6.16</v>
      </c>
      <c r="L49" s="2907">
        <v>4.51</v>
      </c>
      <c r="N49" s="2902">
        <f t="shared" si="155"/>
        <v>5.4000000000000006E-2</v>
      </c>
      <c r="O49" s="2888">
        <f t="shared" si="155"/>
        <v>3.2000000000000001E-2</v>
      </c>
      <c r="P49" s="2888">
        <f t="shared" si="155"/>
        <v>6.1600000000000002E-2</v>
      </c>
      <c r="Q49" s="2888">
        <f t="shared" si="155"/>
        <v>4.5100000000000001E-2</v>
      </c>
      <c r="R49" s="2903"/>
      <c r="S49" s="2904">
        <f>B49/B50-1</f>
        <v>5.4863199037347599E-2</v>
      </c>
      <c r="T49" s="2905">
        <f>C49/C50-1</f>
        <v>3.0742184721226584E-2</v>
      </c>
      <c r="U49" s="2905">
        <f>E49/E50-1</f>
        <v>6.2167683886810154E-2</v>
      </c>
      <c r="V49" s="2905">
        <f>F49/F50-1</f>
        <v>4.5657953741810031E-2</v>
      </c>
      <c r="X49" s="2888"/>
      <c r="Y49" s="2888"/>
      <c r="Z49" s="2888"/>
    </row>
    <row r="50" spans="1:26" ht="13.5" thickBot="1">
      <c r="A50" s="2899" t="s">
        <v>2580</v>
      </c>
      <c r="B50" s="2921">
        <v>220</v>
      </c>
      <c r="C50" s="2921">
        <v>187</v>
      </c>
      <c r="D50" s="2921">
        <f t="shared" si="153"/>
        <v>187</v>
      </c>
      <c r="E50" s="2921">
        <v>301</v>
      </c>
      <c r="F50" s="2922">
        <v>168</v>
      </c>
      <c r="G50" s="3561">
        <v>2009</v>
      </c>
      <c r="H50" s="2923">
        <v>4</v>
      </c>
      <c r="I50" s="2923">
        <v>2.2999999999999998</v>
      </c>
      <c r="J50" s="2923">
        <v>1.04</v>
      </c>
      <c r="K50" s="2923">
        <v>2.84</v>
      </c>
      <c r="L50" s="2924">
        <v>0.67</v>
      </c>
      <c r="N50" s="2918">
        <f t="shared" si="155"/>
        <v>2.3E-2</v>
      </c>
      <c r="O50" s="2919">
        <f t="shared" si="155"/>
        <v>1.04E-2</v>
      </c>
      <c r="P50" s="2919">
        <f t="shared" si="155"/>
        <v>2.8399999999999998E-2</v>
      </c>
      <c r="Q50" s="2919">
        <f t="shared" si="155"/>
        <v>6.7000000000000002E-3</v>
      </c>
      <c r="R50" s="2903"/>
      <c r="S50" s="2912"/>
      <c r="T50" s="2913"/>
      <c r="U50" s="2913"/>
      <c r="V50" s="2913"/>
      <c r="X50" s="2913"/>
      <c r="Y50" s="2913"/>
      <c r="Z50" s="2913"/>
    </row>
    <row r="51" spans="1:26">
      <c r="A51" s="2899" t="s">
        <v>2581</v>
      </c>
      <c r="B51" s="2900">
        <f t="shared" ref="B51:C53" si="169">B50/(1+N50)</f>
        <v>215.05376344086022</v>
      </c>
      <c r="C51" s="2900">
        <f t="shared" si="169"/>
        <v>185.0752177355503</v>
      </c>
      <c r="D51" s="2900">
        <f t="shared" si="153"/>
        <v>185.0752177355503</v>
      </c>
      <c r="E51" s="2900">
        <f t="shared" ref="E51:F53" si="170">E50/(1+P50)</f>
        <v>292.68767016725008</v>
      </c>
      <c r="F51" s="2900">
        <f t="shared" si="170"/>
        <v>166.88189132810174</v>
      </c>
      <c r="G51" s="3559">
        <v>2009</v>
      </c>
      <c r="H51" s="2926">
        <v>3</v>
      </c>
      <c r="I51" s="2926">
        <v>2.1</v>
      </c>
      <c r="J51" s="2926">
        <v>1.86</v>
      </c>
      <c r="K51" s="2926">
        <v>2.29</v>
      </c>
      <c r="L51" s="2927">
        <v>0.85</v>
      </c>
      <c r="N51" s="2902">
        <f t="shared" si="155"/>
        <v>2.1000000000000001E-2</v>
      </c>
      <c r="O51" s="2920">
        <f t="shared" si="155"/>
        <v>1.8600000000000002E-2</v>
      </c>
      <c r="P51" s="2920">
        <f t="shared" si="155"/>
        <v>2.29E-2</v>
      </c>
      <c r="Q51" s="2920">
        <f t="shared" si="155"/>
        <v>8.5000000000000006E-3</v>
      </c>
      <c r="R51" s="2903"/>
      <c r="S51" s="2902"/>
      <c r="T51" s="2888"/>
      <c r="U51" s="2888"/>
      <c r="V51" s="2888"/>
    </row>
    <row r="52" spans="1:26">
      <c r="A52" s="2899" t="s">
        <v>2582</v>
      </c>
      <c r="B52" s="2900">
        <f t="shared" si="169"/>
        <v>210.630522469011</v>
      </c>
      <c r="C52" s="2900">
        <f t="shared" si="169"/>
        <v>181.69567812247232</v>
      </c>
      <c r="D52" s="2900">
        <f t="shared" si="153"/>
        <v>181.69567812247232</v>
      </c>
      <c r="E52" s="2900">
        <f t="shared" si="170"/>
        <v>286.13517466736738</v>
      </c>
      <c r="F52" s="2900">
        <f t="shared" si="170"/>
        <v>165.47535084591149</v>
      </c>
      <c r="G52" s="3559">
        <v>2009</v>
      </c>
      <c r="H52" s="2914">
        <v>2</v>
      </c>
      <c r="I52" s="2914">
        <v>0.86</v>
      </c>
      <c r="J52" s="2914">
        <v>-1.1299999999999999</v>
      </c>
      <c r="K52" s="2914">
        <v>1.79</v>
      </c>
      <c r="L52" s="2915">
        <v>-2.0699999999999998</v>
      </c>
      <c r="N52" s="2902">
        <f t="shared" si="155"/>
        <v>8.6E-3</v>
      </c>
      <c r="O52" s="2920">
        <f t="shared" si="155"/>
        <v>-1.1299999999999999E-2</v>
      </c>
      <c r="P52" s="2920">
        <f t="shared" si="155"/>
        <v>1.7899999999999999E-2</v>
      </c>
      <c r="Q52" s="2920">
        <f t="shared" si="155"/>
        <v>-2.07E-2</v>
      </c>
      <c r="R52" s="2903"/>
      <c r="S52" s="2902"/>
      <c r="T52" s="2888"/>
      <c r="U52" s="2888"/>
      <c r="V52" s="2888"/>
    </row>
    <row r="53" spans="1:26">
      <c r="A53" s="2899" t="s">
        <v>2583</v>
      </c>
      <c r="B53" s="2900">
        <f t="shared" si="169"/>
        <v>208.83454537875372</v>
      </c>
      <c r="C53" s="2900">
        <f t="shared" si="169"/>
        <v>183.77230517090351</v>
      </c>
      <c r="D53" s="2900">
        <f t="shared" si="153"/>
        <v>183.77230517090351</v>
      </c>
      <c r="E53" s="2900">
        <f t="shared" si="170"/>
        <v>281.10342338870947</v>
      </c>
      <c r="F53" s="2900">
        <f t="shared" si="170"/>
        <v>168.97309388942256</v>
      </c>
      <c r="G53" s="3562">
        <v>2009</v>
      </c>
      <c r="H53" s="2901">
        <v>1</v>
      </c>
      <c r="I53" s="2901">
        <v>-2.64</v>
      </c>
      <c r="J53" s="2901">
        <v>-2.5299999999999998</v>
      </c>
      <c r="K53" s="2901">
        <v>-3.02</v>
      </c>
      <c r="L53" s="2907">
        <v>1.52</v>
      </c>
      <c r="N53" s="2904">
        <f t="shared" si="155"/>
        <v>-2.64E-2</v>
      </c>
      <c r="O53" s="2905">
        <f t="shared" si="155"/>
        <v>-2.53E-2</v>
      </c>
      <c r="P53" s="2905">
        <f t="shared" si="155"/>
        <v>-3.0200000000000001E-2</v>
      </c>
      <c r="Q53" s="2905">
        <f t="shared" si="155"/>
        <v>1.52E-2</v>
      </c>
      <c r="R53" s="2903"/>
      <c r="S53" s="2904">
        <f>B53/B54-1</f>
        <v>-2.4137638417038754E-2</v>
      </c>
      <c r="T53" s="2905">
        <f>C53/C54-1</f>
        <v>-2.248773845264096E-2</v>
      </c>
      <c r="U53" s="2905">
        <f>E53/E54-1</f>
        <v>-2.7323794502735366E-2</v>
      </c>
      <c r="V53" s="2905">
        <f>F53/F54-1</f>
        <v>1.7910204153148035E-2</v>
      </c>
      <c r="X53" s="2888"/>
      <c r="Y53" s="2888"/>
      <c r="Z53" s="2888"/>
    </row>
    <row r="54" spans="1:26" ht="13.5" thickBot="1">
      <c r="A54" s="2899" t="s">
        <v>2584</v>
      </c>
      <c r="B54" s="2949">
        <v>214</v>
      </c>
      <c r="C54" s="2949">
        <v>188</v>
      </c>
      <c r="D54" s="2949">
        <f t="shared" si="153"/>
        <v>188</v>
      </c>
      <c r="E54" s="2949">
        <v>289</v>
      </c>
      <c r="F54" s="2950">
        <v>166</v>
      </c>
      <c r="G54" s="3561">
        <v>2008</v>
      </c>
      <c r="H54" s="2923">
        <v>4</v>
      </c>
      <c r="I54" s="2923">
        <v>1.73</v>
      </c>
      <c r="J54" s="2923">
        <v>0.03</v>
      </c>
      <c r="K54" s="2923">
        <v>2.59</v>
      </c>
      <c r="L54" s="2924">
        <v>-1.66</v>
      </c>
      <c r="N54" s="2902">
        <f t="shared" si="155"/>
        <v>1.7299999999999999E-2</v>
      </c>
      <c r="O54" s="2888">
        <f t="shared" si="155"/>
        <v>2.9999999999999997E-4</v>
      </c>
      <c r="P54" s="2888">
        <f t="shared" si="155"/>
        <v>2.5899999999999999E-2</v>
      </c>
      <c r="Q54" s="2888">
        <f t="shared" si="155"/>
        <v>-1.66E-2</v>
      </c>
      <c r="R54" s="2903"/>
      <c r="S54" s="2912"/>
      <c r="T54" s="2913"/>
      <c r="U54" s="2913"/>
      <c r="V54" s="2913"/>
      <c r="X54" s="2913"/>
      <c r="Y54" s="2913"/>
      <c r="Z54" s="2913"/>
    </row>
    <row r="55" spans="1:26">
      <c r="A55" s="2899" t="s">
        <v>2585</v>
      </c>
      <c r="B55" s="2900">
        <f t="shared" ref="B55:C57" si="171">B54/(1+N54)</f>
        <v>210.36075887152265</v>
      </c>
      <c r="C55" s="2900">
        <f t="shared" si="171"/>
        <v>187.94361691492554</v>
      </c>
      <c r="D55" s="2900">
        <f t="shared" si="153"/>
        <v>187.94361691492554</v>
      </c>
      <c r="E55" s="2900">
        <f t="shared" ref="E55:F57" si="172">E54/(1+P54)</f>
        <v>281.70386977288234</v>
      </c>
      <c r="F55" s="2900">
        <f t="shared" si="172"/>
        <v>168.80211511083994</v>
      </c>
      <c r="G55" s="3559">
        <v>2008</v>
      </c>
      <c r="H55" s="2926">
        <v>3</v>
      </c>
      <c r="I55" s="2926">
        <v>1.96</v>
      </c>
      <c r="J55" s="2926">
        <v>2.36</v>
      </c>
      <c r="K55" s="2926">
        <v>1.82</v>
      </c>
      <c r="L55" s="2927">
        <v>2.2200000000000002</v>
      </c>
      <c r="N55" s="2902">
        <f t="shared" si="155"/>
        <v>1.9599999999999999E-2</v>
      </c>
      <c r="O55" s="2888">
        <f t="shared" si="155"/>
        <v>2.3599999999999999E-2</v>
      </c>
      <c r="P55" s="2888">
        <f t="shared" si="155"/>
        <v>1.8200000000000001E-2</v>
      </c>
      <c r="Q55" s="2888">
        <f t="shared" si="155"/>
        <v>2.2200000000000001E-2</v>
      </c>
      <c r="R55" s="2903"/>
      <c r="S55" s="2902"/>
      <c r="T55" s="2888"/>
      <c r="U55" s="2888"/>
      <c r="V55" s="2888"/>
    </row>
    <row r="56" spans="1:26">
      <c r="A56" s="2899" t="s">
        <v>2586</v>
      </c>
      <c r="B56" s="2900">
        <f t="shared" si="171"/>
        <v>206.31694671589116</v>
      </c>
      <c r="C56" s="2900">
        <f t="shared" si="171"/>
        <v>183.61041121036101</v>
      </c>
      <c r="D56" s="2900">
        <f t="shared" si="153"/>
        <v>183.61041121036101</v>
      </c>
      <c r="E56" s="2900">
        <f t="shared" si="172"/>
        <v>276.66850301795557</v>
      </c>
      <c r="F56" s="2900">
        <f t="shared" si="172"/>
        <v>165.1360938278614</v>
      </c>
      <c r="G56" s="3559">
        <v>2008</v>
      </c>
      <c r="H56" s="2914">
        <v>2</v>
      </c>
      <c r="I56" s="2914">
        <v>4.93</v>
      </c>
      <c r="J56" s="2914">
        <v>7.38</v>
      </c>
      <c r="K56" s="2914">
        <v>3.98</v>
      </c>
      <c r="L56" s="2915">
        <v>6.86</v>
      </c>
      <c r="N56" s="2902">
        <f t="shared" si="155"/>
        <v>4.9299999999999997E-2</v>
      </c>
      <c r="O56" s="2888">
        <f t="shared" si="155"/>
        <v>7.3800000000000004E-2</v>
      </c>
      <c r="P56" s="2888">
        <f t="shared" si="155"/>
        <v>3.9800000000000002E-2</v>
      </c>
      <c r="Q56" s="2888">
        <f t="shared" si="155"/>
        <v>6.8600000000000008E-2</v>
      </c>
      <c r="R56" s="2903"/>
      <c r="S56" s="2902"/>
      <c r="T56" s="2888"/>
      <c r="U56" s="2888"/>
      <c r="V56" s="2888"/>
    </row>
    <row r="57" spans="1:26" s="2955" customFormat="1" ht="13.5" thickBot="1">
      <c r="A57" s="2899" t="s">
        <v>2587</v>
      </c>
      <c r="B57" s="2952">
        <f t="shared" si="171"/>
        <v>196.62341248059772</v>
      </c>
      <c r="C57" s="2952">
        <f t="shared" si="171"/>
        <v>170.99125648199012</v>
      </c>
      <c r="D57" s="2952">
        <f t="shared" si="153"/>
        <v>170.99125648199012</v>
      </c>
      <c r="E57" s="2952">
        <f t="shared" si="172"/>
        <v>266.07857570490052</v>
      </c>
      <c r="F57" s="2952">
        <f t="shared" si="172"/>
        <v>154.53499328828505</v>
      </c>
      <c r="G57" s="3562">
        <v>2008</v>
      </c>
      <c r="H57" s="2953">
        <v>1</v>
      </c>
      <c r="I57" s="2953">
        <v>4.1399999999999997</v>
      </c>
      <c r="J57" s="2953">
        <v>3.45</v>
      </c>
      <c r="K57" s="2953">
        <v>4.95</v>
      </c>
      <c r="L57" s="2954">
        <v>4.82</v>
      </c>
      <c r="N57" s="2956">
        <f t="shared" si="155"/>
        <v>4.1399999999999999E-2</v>
      </c>
      <c r="O57" s="2957">
        <f t="shared" si="155"/>
        <v>3.4500000000000003E-2</v>
      </c>
      <c r="P57" s="2957">
        <f t="shared" si="155"/>
        <v>4.9500000000000002E-2</v>
      </c>
      <c r="Q57" s="2957">
        <f t="shared" si="155"/>
        <v>4.82E-2</v>
      </c>
      <c r="R57" s="2958"/>
      <c r="S57" s="2956">
        <f>B57/B58-1</f>
        <v>4.5869215322328349E-2</v>
      </c>
      <c r="T57" s="2957">
        <f>C57/C58-1</f>
        <v>3.6310645345394743E-2</v>
      </c>
      <c r="U57" s="2957">
        <f>E57/E58-1</f>
        <v>4.7553447657088688E-2</v>
      </c>
      <c r="V57" s="2957">
        <f>F57/F58-1</f>
        <v>4.4155360055980086E-2</v>
      </c>
      <c r="X57" s="2957"/>
      <c r="Y57" s="2957"/>
      <c r="Z57" s="2957"/>
    </row>
    <row r="58" spans="1:26" ht="13.5" thickBot="1">
      <c r="A58" s="2899" t="s">
        <v>2588</v>
      </c>
      <c r="B58" s="2921">
        <v>188</v>
      </c>
      <c r="C58" s="2921">
        <v>165</v>
      </c>
      <c r="D58" s="2921">
        <f t="shared" si="153"/>
        <v>165</v>
      </c>
      <c r="E58" s="2921">
        <v>254</v>
      </c>
      <c r="F58" s="2922">
        <v>148</v>
      </c>
      <c r="G58" s="3561">
        <v>2007</v>
      </c>
      <c r="H58" s="2959">
        <v>4</v>
      </c>
      <c r="I58" s="2959">
        <v>5.51</v>
      </c>
      <c r="J58" s="2959">
        <v>4.8899999999999997</v>
      </c>
      <c r="K58" s="2959">
        <v>6.43</v>
      </c>
      <c r="L58" s="2960">
        <v>5.36</v>
      </c>
      <c r="N58" s="2961">
        <f t="shared" ref="N58:O61" si="173">B58/B59-1</f>
        <v>4.1339718365245526E-2</v>
      </c>
      <c r="O58" s="2962">
        <f t="shared" si="173"/>
        <v>4.0324492593776018E-2</v>
      </c>
      <c r="P58" s="2962">
        <f t="shared" ref="P58:Q61" si="174">E58/E59-1</f>
        <v>6.1625555347990968E-2</v>
      </c>
      <c r="Q58" s="2962">
        <f t="shared" si="174"/>
        <v>4.6757569250590603E-2</v>
      </c>
      <c r="R58" s="2903"/>
      <c r="S58" s="2912"/>
      <c r="T58" s="2913"/>
      <c r="U58" s="2913"/>
      <c r="V58" s="2913"/>
      <c r="X58" s="2913"/>
      <c r="Y58" s="2913"/>
      <c r="Z58" s="2913"/>
    </row>
    <row r="59" spans="1:26">
      <c r="A59" s="2899" t="s">
        <v>2589</v>
      </c>
      <c r="B59" s="2900">
        <f t="shared" ref="B59:C61" si="175">B60+(B$58-B$62)*I59/SUM(I$58:I$61)</f>
        <v>180.5366651097618</v>
      </c>
      <c r="C59" s="2900">
        <f t="shared" si="175"/>
        <v>158.60435967302453</v>
      </c>
      <c r="D59" s="2900">
        <f t="shared" si="153"/>
        <v>158.60435967302453</v>
      </c>
      <c r="E59" s="2900">
        <f t="shared" ref="E59:F61" si="176">E60+(E$58-E$62)*K59/SUM(K$58:K$61)</f>
        <v>239.25573260785075</v>
      </c>
      <c r="F59" s="2900">
        <f t="shared" si="176"/>
        <v>141.38899430740037</v>
      </c>
      <c r="G59" s="3559">
        <v>2007</v>
      </c>
      <c r="H59" s="2926">
        <v>3</v>
      </c>
      <c r="I59" s="2926">
        <v>8.65</v>
      </c>
      <c r="J59" s="2926">
        <v>8.06</v>
      </c>
      <c r="K59" s="2926">
        <v>9.94</v>
      </c>
      <c r="L59" s="2927">
        <v>5.8</v>
      </c>
      <c r="N59" s="2961">
        <f t="shared" si="173"/>
        <v>6.940217571740015E-2</v>
      </c>
      <c r="O59" s="2962">
        <f t="shared" si="173"/>
        <v>7.1197482471153428E-2</v>
      </c>
      <c r="P59" s="2962">
        <f t="shared" si="174"/>
        <v>0.10529679922579582</v>
      </c>
      <c r="Q59" s="2962">
        <f t="shared" si="174"/>
        <v>5.3292245059512133E-2</v>
      </c>
      <c r="R59" s="2903"/>
      <c r="S59" s="2902"/>
      <c r="T59" s="2888"/>
      <c r="U59" s="2888"/>
      <c r="V59" s="2888"/>
      <c r="X59" s="2963"/>
      <c r="Y59" s="2963"/>
      <c r="Z59" s="2963"/>
    </row>
    <row r="60" spans="1:26">
      <c r="A60" s="2899" t="s">
        <v>2590</v>
      </c>
      <c r="B60" s="2900">
        <f t="shared" si="175"/>
        <v>168.82017748715555</v>
      </c>
      <c r="C60" s="2900">
        <f t="shared" si="175"/>
        <v>148.06267029972753</v>
      </c>
      <c r="D60" s="2900">
        <f t="shared" si="153"/>
        <v>148.06267029972753</v>
      </c>
      <c r="E60" s="2900">
        <f t="shared" si="176"/>
        <v>216.46288379323747</v>
      </c>
      <c r="F60" s="2900">
        <f t="shared" si="176"/>
        <v>134.23529411764704</v>
      </c>
      <c r="G60" s="3559">
        <v>2007</v>
      </c>
      <c r="H60" s="2914">
        <v>2</v>
      </c>
      <c r="I60" s="2914">
        <v>3.67</v>
      </c>
      <c r="J60" s="2914">
        <v>2.3199999999999998</v>
      </c>
      <c r="K60" s="2914">
        <v>5.0199999999999996</v>
      </c>
      <c r="L60" s="2915">
        <v>6.71</v>
      </c>
      <c r="N60" s="2961">
        <f t="shared" si="173"/>
        <v>3.0339138143848032E-2</v>
      </c>
      <c r="O60" s="2962">
        <f t="shared" si="173"/>
        <v>2.0922341588790472E-2</v>
      </c>
      <c r="P60" s="2962">
        <f t="shared" si="174"/>
        <v>5.6164796592717003E-2</v>
      </c>
      <c r="Q60" s="2962">
        <f t="shared" si="174"/>
        <v>6.5704536723887319E-2</v>
      </c>
      <c r="R60" s="2903"/>
      <c r="S60" s="2902"/>
      <c r="T60" s="2888"/>
      <c r="U60" s="2888"/>
      <c r="V60" s="2888"/>
      <c r="X60" s="2963"/>
      <c r="Y60" s="2963"/>
      <c r="Z60" s="2963"/>
    </row>
    <row r="61" spans="1:26">
      <c r="A61" s="2899" t="s">
        <v>2591</v>
      </c>
      <c r="B61" s="2900">
        <f t="shared" si="175"/>
        <v>163.84913591779542</v>
      </c>
      <c r="C61" s="2900">
        <f t="shared" si="175"/>
        <v>145.0283378746594</v>
      </c>
      <c r="D61" s="2900">
        <f t="shared" si="153"/>
        <v>145.0283378746594</v>
      </c>
      <c r="E61" s="2900">
        <f t="shared" si="176"/>
        <v>204.95180722891567</v>
      </c>
      <c r="F61" s="2900">
        <f t="shared" si="176"/>
        <v>125.95920303605313</v>
      </c>
      <c r="G61" s="3562">
        <v>2007</v>
      </c>
      <c r="H61" s="2901">
        <v>1</v>
      </c>
      <c r="I61" s="2901">
        <v>3.58</v>
      </c>
      <c r="J61" s="2901">
        <v>3.08</v>
      </c>
      <c r="K61" s="2901">
        <v>4.34</v>
      </c>
      <c r="L61" s="2907">
        <v>3.21</v>
      </c>
      <c r="N61" s="2964">
        <f t="shared" si="173"/>
        <v>3.0497710174814063E-2</v>
      </c>
      <c r="O61" s="2965">
        <f t="shared" si="173"/>
        <v>2.8569772160704998E-2</v>
      </c>
      <c r="P61" s="2965">
        <f t="shared" si="174"/>
        <v>5.1034908866234296E-2</v>
      </c>
      <c r="Q61" s="2965">
        <f t="shared" si="174"/>
        <v>3.245248390207478E-2</v>
      </c>
      <c r="R61" s="2903"/>
      <c r="S61" s="2904">
        <f>B61/B62-1</f>
        <v>3.0497710174814063E-2</v>
      </c>
      <c r="T61" s="2905">
        <f>C61/C62-1</f>
        <v>2.8569772160704998E-2</v>
      </c>
      <c r="U61" s="2905">
        <f>E61/E62-1</f>
        <v>5.1034908866234296E-2</v>
      </c>
      <c r="V61" s="2905">
        <f>F61/F62-1</f>
        <v>3.245248390207478E-2</v>
      </c>
      <c r="X61" s="2963"/>
      <c r="Y61" s="2963"/>
      <c r="Z61" s="2963"/>
    </row>
    <row r="62" spans="1:26" ht="13.5" thickBot="1">
      <c r="A62" s="2899" t="s">
        <v>2592</v>
      </c>
      <c r="B62" s="2928">
        <v>159</v>
      </c>
      <c r="C62" s="2928">
        <v>141</v>
      </c>
      <c r="D62" s="2928">
        <f t="shared" si="153"/>
        <v>141</v>
      </c>
      <c r="E62" s="2928">
        <v>195</v>
      </c>
      <c r="F62" s="2929">
        <v>122</v>
      </c>
      <c r="G62" s="3561">
        <v>2006</v>
      </c>
      <c r="H62" s="2923">
        <v>4</v>
      </c>
      <c r="I62" s="2923">
        <v>3.79</v>
      </c>
      <c r="J62" s="2923">
        <v>2.21</v>
      </c>
      <c r="K62" s="2923">
        <v>5.65</v>
      </c>
      <c r="L62" s="2924">
        <v>5.41</v>
      </c>
      <c r="N62" s="2961">
        <f t="shared" ref="N62:O65" si="177">I62/SUM(I$62:I$65)*(B$62/B$66-1)</f>
        <v>7.245466462748526E-2</v>
      </c>
      <c r="O62" s="2962">
        <f t="shared" si="177"/>
        <v>2.3237230038062766E-2</v>
      </c>
      <c r="P62" s="2962">
        <f t="shared" ref="P62:Q65" si="178">K62/SUM(K$62:K$65)*(E$62/E$66-1)</f>
        <v>0.16146893866323722</v>
      </c>
      <c r="Q62" s="2962">
        <f t="shared" si="178"/>
        <v>5.0755230321793784E-2</v>
      </c>
      <c r="R62" s="2903"/>
      <c r="S62" s="2912"/>
      <c r="T62" s="2913"/>
      <c r="U62" s="2913"/>
      <c r="V62" s="2913"/>
      <c r="X62" s="2963"/>
      <c r="Y62" s="2963"/>
      <c r="Z62" s="2963"/>
    </row>
    <row r="63" spans="1:26">
      <c r="A63" s="2899" t="s">
        <v>2593</v>
      </c>
      <c r="B63" s="2900">
        <f t="shared" ref="B63:C65" si="179">B64+(B$62-B$66)*I63/SUM(I$62:I$65)</f>
        <v>149.00125628140702</v>
      </c>
      <c r="C63" s="2900">
        <f t="shared" si="179"/>
        <v>137.95592286501378</v>
      </c>
      <c r="D63" s="2900">
        <f t="shared" si="153"/>
        <v>137.95592286501378</v>
      </c>
      <c r="E63" s="2900">
        <f t="shared" ref="E63:F65" si="180">E64+(E$62-E$66)*K63/SUM(K$62:K$65)</f>
        <v>169.97231450719823</v>
      </c>
      <c r="F63" s="2900">
        <f t="shared" si="180"/>
        <v>116.21390374331551</v>
      </c>
      <c r="G63" s="3559">
        <v>2006</v>
      </c>
      <c r="H63" s="2926">
        <v>3</v>
      </c>
      <c r="I63" s="2926">
        <v>0.92</v>
      </c>
      <c r="J63" s="2926">
        <v>1.08</v>
      </c>
      <c r="K63" s="2926">
        <v>0.73</v>
      </c>
      <c r="L63" s="2927">
        <v>1.08</v>
      </c>
      <c r="N63" s="2961">
        <f t="shared" si="177"/>
        <v>1.7587939698492462E-2</v>
      </c>
      <c r="O63" s="2962">
        <f t="shared" si="177"/>
        <v>1.1355750425840628E-2</v>
      </c>
      <c r="P63" s="2962">
        <f t="shared" si="178"/>
        <v>2.0862358446754544E-2</v>
      </c>
      <c r="Q63" s="2962">
        <f t="shared" si="178"/>
        <v>1.0132282578103011E-2</v>
      </c>
      <c r="R63" s="2903"/>
      <c r="S63" s="2902"/>
      <c r="T63" s="2888"/>
      <c r="U63" s="2888"/>
      <c r="V63" s="2888"/>
      <c r="X63" s="2963"/>
      <c r="Y63" s="2963"/>
      <c r="Z63" s="2963"/>
    </row>
    <row r="64" spans="1:26">
      <c r="A64" s="2899" t="s">
        <v>2594</v>
      </c>
      <c r="B64" s="2900">
        <f t="shared" si="179"/>
        <v>146.57412060301507</v>
      </c>
      <c r="C64" s="2900">
        <f t="shared" si="179"/>
        <v>136.46831955922866</v>
      </c>
      <c r="D64" s="2900">
        <f t="shared" si="153"/>
        <v>136.46831955922866</v>
      </c>
      <c r="E64" s="2900">
        <f t="shared" si="180"/>
        <v>166.73864894795128</v>
      </c>
      <c r="F64" s="2900">
        <f t="shared" si="180"/>
        <v>115.05882352941177</v>
      </c>
      <c r="G64" s="3559">
        <v>2006</v>
      </c>
      <c r="H64" s="2914">
        <v>2</v>
      </c>
      <c r="I64" s="2914">
        <v>0.96</v>
      </c>
      <c r="J64" s="2914">
        <v>0.25</v>
      </c>
      <c r="K64" s="2914">
        <v>1.9</v>
      </c>
      <c r="L64" s="2915">
        <v>0.95</v>
      </c>
      <c r="N64" s="2961">
        <f t="shared" si="177"/>
        <v>1.8352632728861701E-2</v>
      </c>
      <c r="O64" s="2962">
        <f t="shared" si="177"/>
        <v>2.6286459319075526E-3</v>
      </c>
      <c r="P64" s="2962">
        <f t="shared" si="178"/>
        <v>5.4299289107991269E-2</v>
      </c>
      <c r="Q64" s="2962">
        <f t="shared" si="178"/>
        <v>8.9126559714794995E-3</v>
      </c>
      <c r="R64" s="2903"/>
      <c r="S64" s="2902"/>
      <c r="T64" s="2888"/>
      <c r="U64" s="2888"/>
      <c r="V64" s="2888"/>
      <c r="X64" s="2963"/>
      <c r="Y64" s="2963"/>
      <c r="Z64" s="2963"/>
    </row>
    <row r="65" spans="1:26">
      <c r="A65" s="2899" t="s">
        <v>2595</v>
      </c>
      <c r="B65" s="2900">
        <f t="shared" si="179"/>
        <v>144.04145728643215</v>
      </c>
      <c r="C65" s="2900">
        <f t="shared" si="179"/>
        <v>136.12396694214877</v>
      </c>
      <c r="D65" s="2900">
        <f t="shared" si="153"/>
        <v>136.12396694214877</v>
      </c>
      <c r="E65" s="2900">
        <f t="shared" si="180"/>
        <v>158.32225913621264</v>
      </c>
      <c r="F65" s="2900">
        <f t="shared" si="180"/>
        <v>114.04278074866311</v>
      </c>
      <c r="G65" s="3562">
        <v>2006</v>
      </c>
      <c r="H65" s="2901">
        <v>1</v>
      </c>
      <c r="I65" s="2901">
        <v>2.29</v>
      </c>
      <c r="J65" s="2901">
        <v>3.72</v>
      </c>
      <c r="K65" s="2901">
        <v>0.75</v>
      </c>
      <c r="L65" s="2907">
        <v>0.04</v>
      </c>
      <c r="N65" s="2964">
        <f t="shared" si="177"/>
        <v>4.3778675988638847E-2</v>
      </c>
      <c r="O65" s="2965">
        <f t="shared" si="177"/>
        <v>3.9114251466784385E-2</v>
      </c>
      <c r="P65" s="2965">
        <f t="shared" si="178"/>
        <v>2.1433929911049188E-2</v>
      </c>
      <c r="Q65" s="2965">
        <f t="shared" si="178"/>
        <v>3.7526972511492629E-4</v>
      </c>
      <c r="R65" s="2903"/>
      <c r="S65" s="2904">
        <f>B65/B66-1</f>
        <v>4.3778675988638716E-2</v>
      </c>
      <c r="T65" s="2905">
        <f>C65/C66-1</f>
        <v>3.91142514667846E-2</v>
      </c>
      <c r="U65" s="2905">
        <f>E65/E66-1</f>
        <v>2.143392991104931E-2</v>
      </c>
      <c r="V65" s="2905">
        <f>F65/F66-1</f>
        <v>3.7526972511492396E-4</v>
      </c>
      <c r="X65" s="2963"/>
      <c r="Y65" s="2963"/>
      <c r="Z65" s="2963"/>
    </row>
    <row r="66" spans="1:26" ht="13.5" thickBot="1">
      <c r="A66" s="2899" t="s">
        <v>2596</v>
      </c>
      <c r="B66" s="2928">
        <v>138</v>
      </c>
      <c r="C66" s="2928">
        <v>131</v>
      </c>
      <c r="D66" s="2928">
        <f t="shared" si="153"/>
        <v>131</v>
      </c>
      <c r="E66" s="2928">
        <v>155</v>
      </c>
      <c r="F66" s="2929">
        <v>114</v>
      </c>
      <c r="G66" s="3561">
        <v>2005</v>
      </c>
      <c r="H66" s="2923">
        <v>4</v>
      </c>
      <c r="I66" s="2923">
        <v>3.29</v>
      </c>
      <c r="J66" s="2923">
        <v>1.44</v>
      </c>
      <c r="K66" s="2923">
        <v>0.66</v>
      </c>
      <c r="L66" s="2924">
        <v>7.78</v>
      </c>
      <c r="N66" s="2961">
        <f t="shared" ref="N66:O69" si="181">I66/SUM(I$66:I$69)*(B$66/B$70-1)</f>
        <v>9.9404603216919935E-2</v>
      </c>
      <c r="O66" s="2962">
        <f t="shared" si="181"/>
        <v>4.7636550760861554E-2</v>
      </c>
      <c r="P66" s="2962">
        <f t="shared" ref="P66:Q69" si="182">K66/SUM(K$66:K$69)*(E$66/E$70-1)</f>
        <v>8.3756345177664976E-2</v>
      </c>
      <c r="Q66" s="2962">
        <f t="shared" si="182"/>
        <v>5.2148766661559584E-2</v>
      </c>
      <c r="R66" s="2903"/>
      <c r="S66" s="2912"/>
      <c r="T66" s="2913"/>
      <c r="U66" s="2913"/>
      <c r="V66" s="2913"/>
      <c r="X66" s="2963"/>
      <c r="Y66" s="2963"/>
      <c r="Z66" s="2963"/>
    </row>
    <row r="67" spans="1:26">
      <c r="A67" s="2899" t="s">
        <v>2597</v>
      </c>
      <c r="B67" s="2900">
        <f t="shared" ref="B67:C69" si="183">B68+(B$66-B$70)*I67/SUM(I$66:I$69)</f>
        <v>125.9720430107527</v>
      </c>
      <c r="C67" s="2900">
        <f t="shared" si="183"/>
        <v>125.1883408071749</v>
      </c>
      <c r="D67" s="2900">
        <f t="shared" si="153"/>
        <v>125.1883408071749</v>
      </c>
      <c r="E67" s="2900">
        <f t="shared" ref="E67:F69" si="184">E68+(E$66-E$70)*K67/SUM(K$66:K$69)</f>
        <v>144.61421319796952</v>
      </c>
      <c r="F67" s="2900">
        <f t="shared" si="184"/>
        <v>108.42008196721311</v>
      </c>
      <c r="G67" s="3559">
        <v>2005</v>
      </c>
      <c r="H67" s="2926">
        <v>3</v>
      </c>
      <c r="I67" s="2926">
        <v>0.46</v>
      </c>
      <c r="J67" s="2926">
        <v>0.32</v>
      </c>
      <c r="K67" s="2926">
        <v>0.42</v>
      </c>
      <c r="L67" s="2927">
        <v>0.64</v>
      </c>
      <c r="N67" s="2961">
        <f t="shared" si="181"/>
        <v>1.3898515951301874E-2</v>
      </c>
      <c r="O67" s="2962">
        <f t="shared" si="181"/>
        <v>1.0585900169080346E-2</v>
      </c>
      <c r="P67" s="2962">
        <f t="shared" si="182"/>
        <v>5.3299492385786795E-2</v>
      </c>
      <c r="Q67" s="2962">
        <f t="shared" si="182"/>
        <v>4.2898728359123568E-3</v>
      </c>
      <c r="R67" s="2903"/>
      <c r="S67" s="2902"/>
      <c r="T67" s="2888"/>
      <c r="U67" s="2888"/>
      <c r="V67" s="2888"/>
      <c r="X67" s="2963"/>
      <c r="Y67" s="2963"/>
      <c r="Z67" s="2963"/>
    </row>
    <row r="68" spans="1:26">
      <c r="A68" s="2899" t="s">
        <v>2598</v>
      </c>
      <c r="B68" s="2900">
        <f t="shared" si="183"/>
        <v>124.29032258064517</v>
      </c>
      <c r="C68" s="2900">
        <f t="shared" si="183"/>
        <v>123.8968609865471</v>
      </c>
      <c r="D68" s="2900">
        <f t="shared" si="153"/>
        <v>123.8968609865471</v>
      </c>
      <c r="E68" s="2900">
        <f t="shared" si="184"/>
        <v>138.00507614213197</v>
      </c>
      <c r="F68" s="2900">
        <f t="shared" si="184"/>
        <v>107.96106557377048</v>
      </c>
      <c r="G68" s="3559">
        <v>2005</v>
      </c>
      <c r="H68" s="2914">
        <v>2</v>
      </c>
      <c r="I68" s="2914">
        <v>0.47</v>
      </c>
      <c r="J68" s="2914">
        <v>0.1</v>
      </c>
      <c r="K68" s="2914">
        <v>0.52</v>
      </c>
      <c r="L68" s="2915">
        <v>0.79</v>
      </c>
      <c r="N68" s="2961">
        <f t="shared" si="181"/>
        <v>1.420065760241713E-2</v>
      </c>
      <c r="O68" s="2962">
        <f t="shared" si="181"/>
        <v>3.3080938028376083E-3</v>
      </c>
      <c r="P68" s="2962">
        <f t="shared" si="182"/>
        <v>6.598984771573603E-2</v>
      </c>
      <c r="Q68" s="2962">
        <f t="shared" si="182"/>
        <v>5.2953117818293153E-3</v>
      </c>
      <c r="R68" s="2903"/>
      <c r="S68" s="2902"/>
      <c r="T68" s="2888"/>
      <c r="U68" s="2888"/>
      <c r="V68" s="2888"/>
      <c r="X68" s="2963"/>
      <c r="Y68" s="2963"/>
      <c r="Z68" s="2963"/>
    </row>
    <row r="69" spans="1:26">
      <c r="A69" s="2899" t="s">
        <v>2599</v>
      </c>
      <c r="B69" s="2900">
        <f t="shared" si="183"/>
        <v>122.57204301075269</v>
      </c>
      <c r="C69" s="2900">
        <f t="shared" si="183"/>
        <v>123.4932735426009</v>
      </c>
      <c r="D69" s="2900">
        <f t="shared" si="153"/>
        <v>123.4932735426009</v>
      </c>
      <c r="E69" s="2900">
        <f t="shared" si="184"/>
        <v>129.82233502538071</v>
      </c>
      <c r="F69" s="2900">
        <f t="shared" si="184"/>
        <v>107.39446721311475</v>
      </c>
      <c r="G69" s="3562">
        <v>2005</v>
      </c>
      <c r="H69" s="2901">
        <v>1</v>
      </c>
      <c r="I69" s="2901">
        <v>0.43</v>
      </c>
      <c r="J69" s="2901">
        <v>0.37</v>
      </c>
      <c r="K69" s="2901">
        <v>0.37</v>
      </c>
      <c r="L69" s="2907">
        <v>0.55000000000000004</v>
      </c>
      <c r="N69" s="2964">
        <f t="shared" si="181"/>
        <v>1.2992090997956099E-2</v>
      </c>
      <c r="O69" s="2965">
        <f t="shared" si="181"/>
        <v>1.2239947070499151E-2</v>
      </c>
      <c r="P69" s="2965">
        <f t="shared" si="182"/>
        <v>4.6954314720812178E-2</v>
      </c>
      <c r="Q69" s="2965">
        <f t="shared" si="182"/>
        <v>3.6866094683621815E-3</v>
      </c>
      <c r="R69" s="2903"/>
      <c r="S69" s="2904">
        <f>B69/B70-1</f>
        <v>1.2992090997956174E-2</v>
      </c>
      <c r="T69" s="2905">
        <f>C69/C70-1</f>
        <v>1.2239947070499246E-2</v>
      </c>
      <c r="U69" s="2905">
        <f>E69/E70-1</f>
        <v>4.695431472081224E-2</v>
      </c>
      <c r="V69" s="2905">
        <f>F69/F70-1</f>
        <v>3.6866094683620787E-3</v>
      </c>
      <c r="X69" s="2963"/>
      <c r="Y69" s="2963"/>
      <c r="Z69" s="2963"/>
    </row>
    <row r="70" spans="1:26" ht="13.5" thickBot="1">
      <c r="A70" s="2899" t="s">
        <v>2600</v>
      </c>
      <c r="B70" s="2949">
        <v>121</v>
      </c>
      <c r="C70" s="2949">
        <v>122</v>
      </c>
      <c r="D70" s="2949">
        <f t="shared" si="153"/>
        <v>122</v>
      </c>
      <c r="E70" s="2949">
        <v>124</v>
      </c>
      <c r="F70" s="2950">
        <v>107</v>
      </c>
      <c r="G70" s="3561">
        <v>2004</v>
      </c>
      <c r="H70" s="2923">
        <v>4</v>
      </c>
      <c r="I70" s="2923">
        <v>0.33</v>
      </c>
      <c r="J70" s="2923">
        <v>0.5</v>
      </c>
      <c r="K70" s="2923">
        <v>0.5</v>
      </c>
      <c r="L70" s="2924">
        <v>0</v>
      </c>
      <c r="N70" s="2961">
        <f t="shared" ref="N70:O73" si="185">I70/SUM(I$70:I$73)*(B$70/B$74-1)</f>
        <v>1.3391770148526898E-2</v>
      </c>
      <c r="O70" s="2962">
        <f t="shared" si="185"/>
        <v>1.063264221158958E-2</v>
      </c>
      <c r="P70" s="2962">
        <f t="shared" ref="P70:Q73" si="186">K70/SUM(K$70:K$73)*(E$70/E$74-1)</f>
        <v>2.2244466688911134E-2</v>
      </c>
      <c r="Q70" s="2962">
        <f t="shared" si="186"/>
        <v>0</v>
      </c>
      <c r="R70" s="2903"/>
      <c r="S70" s="2912"/>
      <c r="T70" s="2913"/>
      <c r="U70" s="2913"/>
      <c r="V70" s="2913"/>
      <c r="X70" s="2963"/>
      <c r="Y70" s="2963"/>
      <c r="Z70" s="2963"/>
    </row>
    <row r="71" spans="1:26">
      <c r="A71" s="2899" t="s">
        <v>2601</v>
      </c>
      <c r="B71" s="2900">
        <f t="shared" ref="B71:C73" si="187">B72+(B$70-B$74)*I71/SUM(I$70:I$73)</f>
        <v>119.51351351351352</v>
      </c>
      <c r="C71" s="2900">
        <f t="shared" si="187"/>
        <v>120.7878787878788</v>
      </c>
      <c r="D71" s="2900">
        <f t="shared" si="153"/>
        <v>120.7878787878788</v>
      </c>
      <c r="E71" s="2900">
        <f t="shared" ref="E71:F73" si="188">E72+(E$70-E$74)*K71/SUM(K$70:K$73)</f>
        <v>121.5975975975976</v>
      </c>
      <c r="F71" s="2900">
        <f t="shared" si="188"/>
        <v>107</v>
      </c>
      <c r="G71" s="3559">
        <v>2004</v>
      </c>
      <c r="H71" s="2926">
        <v>3</v>
      </c>
      <c r="I71" s="2926">
        <v>0.56000000000000005</v>
      </c>
      <c r="J71" s="2926">
        <v>0.8</v>
      </c>
      <c r="K71" s="2926">
        <v>0.83</v>
      </c>
      <c r="L71" s="2927">
        <v>0.06</v>
      </c>
      <c r="N71" s="2961">
        <f t="shared" si="185"/>
        <v>2.2725428130833527E-2</v>
      </c>
      <c r="O71" s="2962">
        <f t="shared" si="185"/>
        <v>1.7012227538543329E-2</v>
      </c>
      <c r="P71" s="2962">
        <f t="shared" si="186"/>
        <v>3.6925814703592477E-2</v>
      </c>
      <c r="Q71" s="2962">
        <f t="shared" si="186"/>
        <v>2.8846153846153744E-2</v>
      </c>
      <c r="R71" s="2903"/>
      <c r="S71" s="2902"/>
      <c r="T71" s="2888"/>
      <c r="U71" s="2888"/>
      <c r="V71" s="2888"/>
      <c r="X71" s="2963"/>
      <c r="Y71" s="2963"/>
      <c r="Z71" s="2963"/>
    </row>
    <row r="72" spans="1:26">
      <c r="A72" s="2899" t="s">
        <v>2602</v>
      </c>
      <c r="B72" s="2900">
        <f t="shared" si="187"/>
        <v>116.99099099099099</v>
      </c>
      <c r="C72" s="2900">
        <f t="shared" si="187"/>
        <v>118.84848484848486</v>
      </c>
      <c r="D72" s="2900">
        <f t="shared" si="153"/>
        <v>118.84848484848486</v>
      </c>
      <c r="E72" s="2900">
        <f t="shared" si="188"/>
        <v>117.60960960960961</v>
      </c>
      <c r="F72" s="2900">
        <f t="shared" si="188"/>
        <v>104</v>
      </c>
      <c r="G72" s="3559">
        <v>2004</v>
      </c>
      <c r="H72" s="2914">
        <v>2</v>
      </c>
      <c r="I72" s="2914">
        <v>1</v>
      </c>
      <c r="J72" s="2914">
        <v>1.5</v>
      </c>
      <c r="K72" s="2914">
        <v>1.5</v>
      </c>
      <c r="L72" s="2915">
        <v>0</v>
      </c>
      <c r="N72" s="2961">
        <f t="shared" si="185"/>
        <v>4.0581121662202721E-2</v>
      </c>
      <c r="O72" s="2962">
        <f t="shared" si="185"/>
        <v>3.1897926634768738E-2</v>
      </c>
      <c r="P72" s="2962">
        <f t="shared" si="186"/>
        <v>6.6733400066733395E-2</v>
      </c>
      <c r="Q72" s="2962">
        <f t="shared" si="186"/>
        <v>0</v>
      </c>
      <c r="R72" s="2903"/>
      <c r="S72" s="2902"/>
      <c r="T72" s="2888"/>
      <c r="U72" s="2888"/>
      <c r="V72" s="2888"/>
      <c r="X72" s="2963"/>
      <c r="Y72" s="2963"/>
      <c r="Z72" s="2963"/>
    </row>
    <row r="73" spans="1:26" s="2955" customFormat="1" ht="13.5" thickBot="1">
      <c r="A73" s="2899" t="s">
        <v>2603</v>
      </c>
      <c r="B73" s="2952">
        <f t="shared" si="187"/>
        <v>112.48648648648648</v>
      </c>
      <c r="C73" s="2952">
        <f t="shared" si="187"/>
        <v>115.21212121212122</v>
      </c>
      <c r="D73" s="2952">
        <f t="shared" si="153"/>
        <v>115.21212121212122</v>
      </c>
      <c r="E73" s="2952">
        <f t="shared" si="188"/>
        <v>110.4024024024024</v>
      </c>
      <c r="F73" s="2952">
        <f t="shared" si="188"/>
        <v>104</v>
      </c>
      <c r="G73" s="3562">
        <v>2004</v>
      </c>
      <c r="H73" s="2953">
        <v>1</v>
      </c>
      <c r="I73" s="2953">
        <v>0.33</v>
      </c>
      <c r="J73" s="2953">
        <v>0.5</v>
      </c>
      <c r="K73" s="2953">
        <v>0.5</v>
      </c>
      <c r="L73" s="2954">
        <v>0</v>
      </c>
      <c r="N73" s="2966">
        <f t="shared" si="185"/>
        <v>1.3391770148526898E-2</v>
      </c>
      <c r="O73" s="2967">
        <f t="shared" si="185"/>
        <v>1.063264221158958E-2</v>
      </c>
      <c r="P73" s="2967">
        <f t="shared" si="186"/>
        <v>2.2244466688911134E-2</v>
      </c>
      <c r="Q73" s="2967">
        <f t="shared" si="186"/>
        <v>0</v>
      </c>
      <c r="R73" s="2958"/>
      <c r="S73" s="2956">
        <f>B73/B74-1</f>
        <v>1.3391770148526883E-2</v>
      </c>
      <c r="T73" s="2957">
        <f>C73/C74-1</f>
        <v>1.063264221158966E-2</v>
      </c>
      <c r="U73" s="2957">
        <f>E73/E74-1</f>
        <v>2.2244466688911224E-2</v>
      </c>
      <c r="V73" s="2957">
        <f>F73/F74-1</f>
        <v>0</v>
      </c>
      <c r="X73" s="2968"/>
      <c r="Y73" s="2968"/>
      <c r="Z73" s="2968"/>
    </row>
    <row r="74" spans="1:26" ht="13.5" thickBot="1">
      <c r="A74" s="2899" t="s">
        <v>2604</v>
      </c>
      <c r="B74" s="2969">
        <v>111</v>
      </c>
      <c r="C74" s="2969">
        <v>114</v>
      </c>
      <c r="D74" s="2969">
        <f t="shared" si="153"/>
        <v>114</v>
      </c>
      <c r="E74" s="2969">
        <v>108</v>
      </c>
      <c r="F74" s="2970">
        <v>104</v>
      </c>
      <c r="G74" s="3561">
        <v>2003</v>
      </c>
      <c r="H74" s="2959">
        <v>4</v>
      </c>
      <c r="I74" s="2971"/>
      <c r="J74" s="2971"/>
      <c r="K74" s="2971"/>
      <c r="L74" s="2971"/>
      <c r="N74" s="2972"/>
      <c r="O74" s="2971"/>
      <c r="P74" s="2971"/>
      <c r="Q74" s="2971"/>
      <c r="S74" s="2972"/>
      <c r="T74" s="2971"/>
      <c r="U74" s="2971"/>
      <c r="V74" s="2971"/>
      <c r="X74" s="2963"/>
      <c r="Y74" s="2963"/>
      <c r="Z74" s="2963"/>
    </row>
    <row r="75" spans="1:26">
      <c r="A75" s="2899" t="s">
        <v>2605</v>
      </c>
      <c r="B75" s="2973">
        <f t="shared" ref="B75:C77" si="189">B76+(B$74-B$78)/4</f>
        <v>109.75</v>
      </c>
      <c r="C75" s="2973">
        <f t="shared" si="189"/>
        <v>112.25</v>
      </c>
      <c r="D75" s="2973">
        <f t="shared" si="153"/>
        <v>112.25</v>
      </c>
      <c r="E75" s="2973">
        <f t="shared" ref="E75:F77" si="190">E76+(E$74-E$78)/4</f>
        <v>107.25</v>
      </c>
      <c r="F75" s="2973">
        <f t="shared" si="190"/>
        <v>103.5</v>
      </c>
      <c r="G75" s="3559">
        <v>2003</v>
      </c>
      <c r="H75" s="2926">
        <v>3</v>
      </c>
      <c r="I75" s="2971"/>
      <c r="J75" s="2971"/>
      <c r="K75" s="2971"/>
      <c r="L75" s="2971"/>
      <c r="X75" s="2963"/>
      <c r="Y75" s="2963"/>
      <c r="Z75" s="2963"/>
    </row>
    <row r="76" spans="1:26">
      <c r="A76" s="2899" t="s">
        <v>2606</v>
      </c>
      <c r="B76" s="2973">
        <f t="shared" si="189"/>
        <v>108.5</v>
      </c>
      <c r="C76" s="2973">
        <f t="shared" si="189"/>
        <v>110.5</v>
      </c>
      <c r="D76" s="2973">
        <f t="shared" si="153"/>
        <v>110.5</v>
      </c>
      <c r="E76" s="2973">
        <f t="shared" si="190"/>
        <v>106.5</v>
      </c>
      <c r="F76" s="2973">
        <f t="shared" si="190"/>
        <v>103</v>
      </c>
      <c r="G76" s="3559">
        <v>2003</v>
      </c>
      <c r="H76" s="2914">
        <v>2</v>
      </c>
      <c r="I76" s="2971"/>
      <c r="J76" s="2971"/>
      <c r="K76" s="2971"/>
      <c r="L76" s="2971"/>
      <c r="X76" s="2963"/>
      <c r="Y76" s="2963"/>
      <c r="Z76" s="2963"/>
    </row>
    <row r="77" spans="1:26" ht="13.5" thickBot="1">
      <c r="A77" s="2899" t="s">
        <v>2607</v>
      </c>
      <c r="B77" s="2973">
        <f t="shared" si="189"/>
        <v>107.25</v>
      </c>
      <c r="C77" s="2973">
        <f t="shared" si="189"/>
        <v>108.75</v>
      </c>
      <c r="D77" s="2973">
        <f t="shared" si="153"/>
        <v>108.75</v>
      </c>
      <c r="E77" s="2973">
        <f t="shared" si="190"/>
        <v>105.75</v>
      </c>
      <c r="F77" s="2973">
        <f t="shared" si="190"/>
        <v>102.5</v>
      </c>
      <c r="G77" s="3562">
        <v>2003</v>
      </c>
      <c r="H77" s="2974">
        <v>1</v>
      </c>
      <c r="I77" s="2971"/>
      <c r="J77" s="2971"/>
      <c r="K77" s="2971"/>
      <c r="L77" s="2971"/>
      <c r="S77" s="2902"/>
      <c r="T77" s="2888"/>
      <c r="U77" s="2888"/>
      <c r="X77" s="2963"/>
      <c r="Y77" s="2963"/>
      <c r="Z77" s="2963"/>
    </row>
    <row r="78" spans="1:26" ht="13.5" thickBot="1">
      <c r="A78" s="2899" t="s">
        <v>2608</v>
      </c>
      <c r="B78" s="2975">
        <v>106</v>
      </c>
      <c r="C78" s="2975">
        <v>107</v>
      </c>
      <c r="D78" s="2975">
        <f t="shared" si="153"/>
        <v>107</v>
      </c>
      <c r="E78" s="2975">
        <v>105</v>
      </c>
      <c r="F78" s="2976">
        <v>102</v>
      </c>
      <c r="G78" s="3561">
        <v>2002</v>
      </c>
      <c r="H78" s="2923">
        <v>4</v>
      </c>
      <c r="I78" s="2971"/>
      <c r="J78" s="2971"/>
      <c r="K78" s="2971"/>
      <c r="L78" s="2971"/>
      <c r="N78" s="2972"/>
      <c r="O78" s="2971"/>
      <c r="P78" s="2971"/>
      <c r="Q78" s="2971"/>
      <c r="S78" s="2972"/>
      <c r="T78" s="2971"/>
      <c r="U78" s="2971"/>
      <c r="V78" s="2971"/>
      <c r="X78" s="2963"/>
      <c r="Y78" s="2963"/>
      <c r="Z78" s="2963"/>
    </row>
    <row r="79" spans="1:26">
      <c r="A79" s="2899" t="s">
        <v>2609</v>
      </c>
      <c r="B79" s="2973">
        <f t="shared" ref="B79:C81" si="191">B80+(B$78-B$82)/4</f>
        <v>105</v>
      </c>
      <c r="C79" s="2973">
        <f t="shared" si="191"/>
        <v>106</v>
      </c>
      <c r="D79" s="2973">
        <f t="shared" si="153"/>
        <v>106</v>
      </c>
      <c r="E79" s="2973">
        <f t="shared" ref="E79:F81" si="192">E80+(E$78-E$82)/4</f>
        <v>104.5</v>
      </c>
      <c r="F79" s="2973">
        <f t="shared" si="192"/>
        <v>101.5</v>
      </c>
      <c r="G79" s="3559">
        <v>2002</v>
      </c>
      <c r="H79" s="2926">
        <v>3</v>
      </c>
      <c r="I79" s="2971"/>
      <c r="J79" s="2971"/>
      <c r="K79" s="2971"/>
      <c r="L79" s="2971"/>
      <c r="X79" s="2963"/>
      <c r="Y79" s="2963"/>
      <c r="Z79" s="2963"/>
    </row>
    <row r="80" spans="1:26">
      <c r="A80" s="2899" t="s">
        <v>2610</v>
      </c>
      <c r="B80" s="2973">
        <f t="shared" si="191"/>
        <v>104</v>
      </c>
      <c r="C80" s="2973">
        <f t="shared" si="191"/>
        <v>105</v>
      </c>
      <c r="D80" s="2973">
        <f t="shared" si="153"/>
        <v>105</v>
      </c>
      <c r="E80" s="2973">
        <f t="shared" si="192"/>
        <v>104</v>
      </c>
      <c r="F80" s="2973">
        <f t="shared" si="192"/>
        <v>101</v>
      </c>
      <c r="G80" s="3559">
        <v>2002</v>
      </c>
      <c r="H80" s="2914">
        <v>2</v>
      </c>
      <c r="I80" s="2971"/>
      <c r="J80" s="2971"/>
      <c r="K80" s="2971"/>
      <c r="L80" s="2971"/>
      <c r="X80" s="2963"/>
      <c r="Y80" s="2963"/>
      <c r="Z80" s="2963"/>
    </row>
    <row r="81" spans="1:26" s="2936" customFormat="1" ht="13.5" thickBot="1">
      <c r="A81" s="2932" t="s">
        <v>2611</v>
      </c>
      <c r="B81" s="2939">
        <f t="shared" si="191"/>
        <v>103</v>
      </c>
      <c r="C81" s="2939">
        <f t="shared" si="191"/>
        <v>104</v>
      </c>
      <c r="D81" s="2939">
        <f t="shared" si="153"/>
        <v>104</v>
      </c>
      <c r="E81" s="2939">
        <f t="shared" si="192"/>
        <v>103.5</v>
      </c>
      <c r="F81" s="2939">
        <f t="shared" si="192"/>
        <v>100.5</v>
      </c>
      <c r="G81" s="3562">
        <v>2002</v>
      </c>
      <c r="H81" s="2977">
        <v>1</v>
      </c>
      <c r="I81" s="2978"/>
      <c r="J81" s="2978"/>
      <c r="K81" s="2978"/>
      <c r="L81" s="2978"/>
      <c r="N81" s="2979"/>
      <c r="S81" s="2979"/>
      <c r="X81" s="2980"/>
      <c r="Y81" s="2980"/>
      <c r="Z81" s="2980"/>
    </row>
    <row r="82" spans="1:26" ht="13.5" thickBot="1">
      <c r="B82" s="2981">
        <v>102</v>
      </c>
      <c r="C82" s="2982">
        <v>103</v>
      </c>
      <c r="D82" s="2982">
        <f t="shared" si="153"/>
        <v>103</v>
      </c>
      <c r="E82" s="2982">
        <v>103</v>
      </c>
      <c r="F82" s="2983">
        <v>100</v>
      </c>
      <c r="I82" s="2971"/>
      <c r="J82" s="2971"/>
      <c r="K82" s="2971"/>
      <c r="L82" s="2971"/>
      <c r="N82" s="2972"/>
      <c r="O82" s="2971"/>
      <c r="P82" s="2971"/>
      <c r="Q82" s="2971"/>
      <c r="S82" s="2972"/>
      <c r="T82" s="2971"/>
      <c r="U82" s="2971"/>
      <c r="V82" s="2971"/>
      <c r="X82" s="2913"/>
      <c r="Y82" s="2913"/>
      <c r="Z82" s="2913"/>
    </row>
    <row r="84" spans="1:26" s="2985" customFormat="1">
      <c r="A84" s="2984" t="s">
        <v>2612</v>
      </c>
      <c r="G84" s="2986"/>
      <c r="N84" s="2986"/>
      <c r="S84" s="2986"/>
    </row>
    <row r="85" spans="1:26" s="2985" customFormat="1">
      <c r="A85" s="2985" t="s">
        <v>2613</v>
      </c>
      <c r="G85" s="2986"/>
      <c r="N85" s="2986"/>
      <c r="S85" s="2986"/>
    </row>
    <row r="86" spans="1:26" s="2985" customFormat="1">
      <c r="A86" s="2985" t="s">
        <v>2614</v>
      </c>
      <c r="G86" s="2986"/>
      <c r="I86" s="2987"/>
      <c r="J86" s="2987"/>
      <c r="K86" s="2987"/>
      <c r="L86" s="2987"/>
      <c r="N86" s="2988"/>
      <c r="O86" s="2987"/>
      <c r="P86" s="2987"/>
      <c r="Q86" s="2987"/>
      <c r="S86" s="2988"/>
      <c r="T86" s="2987"/>
      <c r="U86" s="2987"/>
      <c r="V86" s="2987"/>
    </row>
    <row r="87" spans="1:26" s="2985" customFormat="1">
      <c r="A87" s="2985" t="s">
        <v>2615</v>
      </c>
      <c r="G87" s="2986"/>
      <c r="N87" s="2986"/>
      <c r="S87" s="2986"/>
    </row>
    <row r="94" spans="1:26" ht="13.5" thickBot="1"/>
    <row r="95" spans="1:26">
      <c r="G95" s="2887"/>
      <c r="S95" s="2989" t="s">
        <v>2616</v>
      </c>
      <c r="T95" s="2990" t="s">
        <v>2617</v>
      </c>
      <c r="U95" s="2990" t="s">
        <v>2618</v>
      </c>
      <c r="V95" s="2990" t="s">
        <v>2619</v>
      </c>
    </row>
    <row r="96" spans="1:26">
      <c r="G96" s="2887"/>
      <c r="N96" s="2912"/>
      <c r="O96" s="2913"/>
      <c r="P96" s="2913"/>
      <c r="Q96" s="2913"/>
      <c r="S96" s="2991">
        <v>2006</v>
      </c>
      <c r="T96" s="2992">
        <v>15.1</v>
      </c>
      <c r="U96" s="2992">
        <v>7.43</v>
      </c>
      <c r="V96" s="2992">
        <v>26.26</v>
      </c>
    </row>
    <row r="97" spans="7:22">
      <c r="G97" s="2887"/>
      <c r="N97" s="2912"/>
      <c r="O97" s="2913"/>
      <c r="P97" s="2913"/>
      <c r="Q97" s="2913"/>
      <c r="S97" s="2993">
        <v>2005</v>
      </c>
      <c r="T97" s="2994">
        <v>13.9</v>
      </c>
      <c r="U97" s="2994">
        <v>7.49</v>
      </c>
      <c r="V97" s="2994">
        <v>24.92</v>
      </c>
    </row>
    <row r="98" spans="7:22">
      <c r="G98" s="2887"/>
      <c r="N98" s="2912"/>
      <c r="O98" s="2913"/>
      <c r="P98" s="2913"/>
      <c r="Q98" s="2913"/>
      <c r="S98" s="2991">
        <v>2004</v>
      </c>
      <c r="T98" s="2992">
        <v>9.48</v>
      </c>
      <c r="U98" s="2992">
        <v>7.2</v>
      </c>
      <c r="V98" s="2992">
        <v>14.68</v>
      </c>
    </row>
    <row r="99" spans="7:22">
      <c r="G99" s="2887"/>
      <c r="N99" s="2912"/>
      <c r="O99" s="2913"/>
      <c r="P99" s="2913"/>
      <c r="Q99" s="2913"/>
      <c r="S99" s="2993">
        <v>2003</v>
      </c>
      <c r="T99" s="2994">
        <v>4.5</v>
      </c>
      <c r="U99" s="2994">
        <v>6.12</v>
      </c>
      <c r="V99" s="2994">
        <v>2.34</v>
      </c>
    </row>
    <row r="100" spans="7:22" ht="13.5" thickBot="1">
      <c r="G100" s="2887"/>
      <c r="N100" s="2912"/>
      <c r="O100" s="2913"/>
      <c r="P100" s="2913"/>
      <c r="Q100" s="2913"/>
      <c r="S100" s="2995">
        <v>2002</v>
      </c>
      <c r="T100" s="2996">
        <v>3.59</v>
      </c>
      <c r="U100" s="2996">
        <v>4.54</v>
      </c>
      <c r="V100" s="2996">
        <v>2.5499999999999998</v>
      </c>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row>
    <row r="110" spans="7:22">
      <c r="G110" s="2887"/>
      <c r="N110" s="2912"/>
      <c r="O110" s="2913"/>
      <c r="P110" s="2913"/>
      <c r="Q110" s="2913"/>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row r="115" spans="7:19">
      <c r="G115" s="2887"/>
      <c r="N115" s="2912"/>
      <c r="O115" s="2913"/>
      <c r="P115" s="2913"/>
      <c r="Q115" s="2913"/>
      <c r="S115" s="2887"/>
    </row>
    <row r="116" spans="7:19">
      <c r="G116" s="2887"/>
      <c r="N116" s="2912"/>
      <c r="O116" s="2913"/>
      <c r="P116" s="2913"/>
      <c r="Q116" s="2913"/>
      <c r="S116" s="2887"/>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9" customWidth="1"/>
    <col min="2" max="2" width="12.5" style="3249" customWidth="1"/>
    <col min="3" max="3" width="12.125" style="3249" customWidth="1"/>
    <col min="4" max="4" width="16.625" style="3249" customWidth="1"/>
    <col min="5" max="5" width="12.5" style="3249" customWidth="1"/>
    <col min="6" max="6" width="12.75" style="3249" customWidth="1"/>
    <col min="7" max="16384" width="8.875" style="3249"/>
  </cols>
  <sheetData>
    <row r="1" spans="1:14" ht="20.25">
      <c r="A1" s="3252" t="s">
        <v>2917</v>
      </c>
      <c r="B1" s="3247"/>
      <c r="C1" s="3247"/>
      <c r="D1" s="3247"/>
      <c r="E1" s="3247"/>
      <c r="F1" s="3247"/>
      <c r="G1" s="3248"/>
      <c r="H1" s="3248"/>
      <c r="I1" s="3248"/>
      <c r="J1" s="3248"/>
      <c r="K1" s="3248"/>
      <c r="L1" s="3248"/>
      <c r="M1" s="3248"/>
      <c r="N1" s="3248"/>
    </row>
    <row r="2" spans="1:14" ht="14.25">
      <c r="A2" s="3253" t="s">
        <v>2912</v>
      </c>
      <c r="B2" s="3258">
        <f ca="1">SUMIF(B7:B14,"&lt;&gt;#ref!",B7:B14)</f>
        <v>0</v>
      </c>
      <c r="C2" s="3253" t="s">
        <v>2913</v>
      </c>
      <c r="D2" s="3250"/>
      <c r="E2" s="3250"/>
      <c r="F2" s="3250"/>
      <c r="G2" s="3248"/>
      <c r="H2" s="3248"/>
      <c r="I2" s="3248"/>
      <c r="J2" s="3248"/>
      <c r="K2" s="3248"/>
      <c r="L2" s="3248"/>
      <c r="M2" s="3248"/>
      <c r="N2" s="3248"/>
    </row>
    <row r="3" spans="1:14" ht="14.25">
      <c r="A3" s="3253" t="s">
        <v>2942</v>
      </c>
      <c r="B3" s="3258" t="e">
        <f ca="1">ROUND(B2*10000/E3,0)</f>
        <v>#DIV/0!</v>
      </c>
      <c r="C3" s="3253" t="s">
        <v>2067</v>
      </c>
      <c r="D3" s="3253" t="s">
        <v>2914</v>
      </c>
      <c r="E3" s="3251">
        <f ca="1">SUMIF(E7:E14,"&lt;&gt;#ref!",E7:E14)</f>
        <v>0</v>
      </c>
      <c r="F3" s="3250"/>
      <c r="G3" s="3248"/>
      <c r="H3" s="3248"/>
      <c r="I3" s="3248"/>
      <c r="J3" s="3248"/>
      <c r="K3" s="3248"/>
      <c r="L3" s="3248"/>
      <c r="M3" s="3248"/>
      <c r="N3" s="3248"/>
    </row>
    <row r="4" spans="1:14" ht="14.25">
      <c r="A4" s="3253" t="s">
        <v>2920</v>
      </c>
      <c r="B4" s="3258" t="e">
        <f ca="1">ROUND(B2*10000/E4,0)</f>
        <v>#DIV/0!</v>
      </c>
      <c r="C4" s="3253" t="s">
        <v>2067</v>
      </c>
      <c r="D4" s="3253" t="s">
        <v>2921</v>
      </c>
      <c r="E4" s="3251">
        <f ca="1">SUMIF(F7:F14,"&lt;&gt;#ref!",F7:F14)</f>
        <v>0</v>
      </c>
      <c r="F4" s="3250"/>
      <c r="G4" s="3248"/>
      <c r="H4" s="3248"/>
      <c r="I4" s="3248"/>
      <c r="J4" s="3248"/>
      <c r="K4" s="3248"/>
      <c r="L4" s="3248"/>
      <c r="M4" s="3248"/>
      <c r="N4" s="3248"/>
    </row>
    <row r="5" spans="1:14" ht="14.25">
      <c r="A5" s="3254"/>
      <c r="B5" s="3250"/>
      <c r="C5" s="3250"/>
      <c r="D5" s="3250"/>
      <c r="E5" s="3250"/>
      <c r="F5" s="3250"/>
      <c r="G5" s="3248"/>
      <c r="H5" s="3248"/>
      <c r="I5" s="3248"/>
      <c r="J5" s="3248"/>
      <c r="K5" s="3248"/>
      <c r="L5" s="3248"/>
      <c r="M5" s="3248"/>
      <c r="N5" s="3248"/>
    </row>
    <row r="6" spans="1:14" ht="28.5">
      <c r="A6" s="3255" t="s">
        <v>2918</v>
      </c>
      <c r="B6" s="3253" t="s">
        <v>2915</v>
      </c>
      <c r="C6" s="2791"/>
      <c r="D6" s="3250"/>
      <c r="E6" s="3253" t="s">
        <v>2916</v>
      </c>
      <c r="F6" s="3253" t="s">
        <v>2919</v>
      </c>
      <c r="G6" s="3248"/>
      <c r="H6" s="3248"/>
      <c r="I6" s="3248"/>
      <c r="J6" s="3248"/>
      <c r="K6" s="3248"/>
      <c r="L6" s="3248"/>
      <c r="M6" s="3248"/>
      <c r="N6" s="3248"/>
    </row>
    <row r="7" spans="1:14" ht="14.25">
      <c r="A7" s="3256"/>
      <c r="B7" s="3258" t="e">
        <f ca="1">SUMIF(INDIRECT("'"&amp;A7&amp;"'"&amp;"!A:A"),"总价",INDIRECT("'"&amp;A7&amp;"'"&amp;"!B:B"))</f>
        <v>#REF!</v>
      </c>
      <c r="C7" s="3253" t="s">
        <v>2913</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4.25">
      <c r="A8" s="3256"/>
      <c r="B8" s="3258" t="e">
        <f t="shared" ref="B8:B14" ca="1" si="0">SUMIF(INDIRECT("'"&amp;A8&amp;"'"&amp;"!A:A"),"总价",INDIRECT("'"&amp;A8&amp;"'"&amp;"!B:B"))</f>
        <v>#REF!</v>
      </c>
      <c r="C8" s="3253" t="s">
        <v>2913</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4.25">
      <c r="A9" s="3256"/>
      <c r="B9" s="3258" t="e">
        <f t="shared" ca="1" si="0"/>
        <v>#REF!</v>
      </c>
      <c r="C9" s="3253" t="s">
        <v>2913</v>
      </c>
      <c r="D9" s="3250"/>
      <c r="E9" s="3251" t="e">
        <f t="shared" ca="1" si="1"/>
        <v>#REF!</v>
      </c>
      <c r="F9" s="3251" t="e">
        <f t="shared" ca="1" si="2"/>
        <v>#REF!</v>
      </c>
      <c r="G9" s="3248"/>
      <c r="H9" s="3248"/>
      <c r="I9" s="3248"/>
      <c r="J9" s="3248"/>
      <c r="K9" s="3248"/>
      <c r="L9" s="3248"/>
      <c r="M9" s="3248"/>
      <c r="N9" s="3248"/>
    </row>
    <row r="10" spans="1:14" ht="14.25">
      <c r="A10" s="3256"/>
      <c r="B10" s="3258" t="e">
        <f t="shared" ca="1" si="0"/>
        <v>#REF!</v>
      </c>
      <c r="C10" s="3253" t="s">
        <v>2913</v>
      </c>
      <c r="D10" s="3250"/>
      <c r="E10" s="3251" t="e">
        <f t="shared" ca="1" si="1"/>
        <v>#REF!</v>
      </c>
      <c r="F10" s="3251" t="e">
        <f t="shared" ca="1" si="2"/>
        <v>#REF!</v>
      </c>
      <c r="G10" s="3248"/>
      <c r="H10" s="3248"/>
      <c r="I10" s="3248"/>
      <c r="J10" s="3248"/>
      <c r="K10" s="3248"/>
      <c r="L10" s="3248"/>
      <c r="M10" s="3248"/>
      <c r="N10" s="3248"/>
    </row>
    <row r="11" spans="1:14" ht="14.25">
      <c r="A11" s="3256"/>
      <c r="B11" s="3258" t="e">
        <f t="shared" ca="1" si="0"/>
        <v>#REF!</v>
      </c>
      <c r="C11" s="3253" t="s">
        <v>2913</v>
      </c>
      <c r="D11" s="3250"/>
      <c r="E11" s="3251" t="e">
        <f t="shared" ca="1" si="1"/>
        <v>#REF!</v>
      </c>
      <c r="F11" s="3251" t="e">
        <f t="shared" ca="1" si="2"/>
        <v>#REF!</v>
      </c>
      <c r="G11" s="3248"/>
      <c r="H11" s="3248"/>
      <c r="I11" s="3248"/>
      <c r="J11" s="3248"/>
      <c r="K11" s="3248"/>
      <c r="L11" s="3248"/>
      <c r="M11" s="3248"/>
      <c r="N11" s="3248"/>
    </row>
    <row r="12" spans="1:14" ht="14.25">
      <c r="A12" s="3256"/>
      <c r="B12" s="3258" t="e">
        <f t="shared" ca="1" si="0"/>
        <v>#REF!</v>
      </c>
      <c r="C12" s="3253" t="s">
        <v>2913</v>
      </c>
      <c r="D12" s="3250"/>
      <c r="E12" s="3251" t="e">
        <f t="shared" ca="1" si="1"/>
        <v>#REF!</v>
      </c>
      <c r="F12" s="3251" t="e">
        <f t="shared" ca="1" si="2"/>
        <v>#REF!</v>
      </c>
      <c r="G12" s="3248"/>
      <c r="H12" s="3248"/>
      <c r="I12" s="3248"/>
      <c r="J12" s="3248"/>
      <c r="K12" s="3248"/>
      <c r="L12" s="3248"/>
      <c r="M12" s="3248"/>
      <c r="N12" s="3248"/>
    </row>
    <row r="13" spans="1:14" ht="14.25">
      <c r="A13" s="3256"/>
      <c r="B13" s="3258" t="e">
        <f t="shared" ca="1" si="0"/>
        <v>#REF!</v>
      </c>
      <c r="C13" s="3253" t="s">
        <v>2913</v>
      </c>
      <c r="D13" s="3250"/>
      <c r="E13" s="3251" t="e">
        <f t="shared" ca="1" si="1"/>
        <v>#REF!</v>
      </c>
      <c r="F13" s="3251" t="e">
        <f t="shared" ca="1" si="2"/>
        <v>#REF!</v>
      </c>
      <c r="G13" s="3248"/>
      <c r="H13" s="3248"/>
      <c r="I13" s="3248"/>
      <c r="J13" s="3248"/>
      <c r="K13" s="3248"/>
      <c r="L13" s="3248"/>
      <c r="M13" s="3248"/>
      <c r="N13" s="3248"/>
    </row>
    <row r="14" spans="1:14" ht="14.25">
      <c r="A14" s="3257"/>
      <c r="B14" s="3258" t="e">
        <f t="shared" ca="1" si="0"/>
        <v>#REF!</v>
      </c>
      <c r="C14" s="3253" t="s">
        <v>2913</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56.25">
      <c r="A7" s="171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2910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9</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70" t="s">
        <v>2445</v>
      </c>
      <c r="C8" s="1741">
        <f ca="1">ROUND(F8*F10*F9*(1-F11)/10000,0)</f>
        <v>0</v>
      </c>
      <c r="D8" s="1738" t="s">
        <v>2516</v>
      </c>
      <c r="E8" s="61" t="s">
        <v>631</v>
      </c>
      <c r="F8" s="775">
        <f ca="1">INDIRECT("'数据-取费表'!u"&amp;$G$1)</f>
        <v>0</v>
      </c>
      <c r="G8" s="1527"/>
      <c r="H8" s="2358" t="s">
        <v>1815</v>
      </c>
      <c r="I8" s="3570" t="s">
        <v>2445</v>
      </c>
      <c r="J8" s="773">
        <f ca="1">ROUND(M8*M10*M9*(1-M11)/10000,0)</f>
        <v>0</v>
      </c>
      <c r="K8" s="339" t="s">
        <v>2516</v>
      </c>
      <c r="L8" s="774" t="s">
        <v>1729</v>
      </c>
      <c r="M8" s="775">
        <f ca="1">INDIRECT("'数据-取费表'!z"&amp;$G$1)</f>
        <v>0</v>
      </c>
    </row>
    <row r="9" spans="1:25" ht="18" customHeight="1">
      <c r="A9" s="2354"/>
      <c r="B9" s="3571"/>
      <c r="C9" s="1742"/>
      <c r="D9" s="1739"/>
      <c r="E9" s="61" t="s">
        <v>632</v>
      </c>
      <c r="F9" s="775">
        <f ca="1">IF(INDIRECT("'数据-取费表'!ah"&amp;$G$1)="",INDIRECT("'数据-取费表'!k"&amp;$G$1),INDIRECT("'数据-取费表'!ah"&amp;$G$1))</f>
        <v>0</v>
      </c>
      <c r="G9" s="1527"/>
      <c r="H9" s="2343"/>
      <c r="I9" s="3571"/>
      <c r="J9" s="778"/>
      <c r="K9" s="779"/>
      <c r="L9" s="774" t="s">
        <v>1730</v>
      </c>
      <c r="M9" s="775">
        <f ca="1">F9</f>
        <v>0</v>
      </c>
    </row>
    <row r="10" spans="1:25" ht="18" customHeight="1">
      <c r="A10" s="2347"/>
      <c r="B10" s="3572"/>
      <c r="C10" s="1742"/>
      <c r="D10" s="1739"/>
      <c r="E10" s="61" t="s">
        <v>633</v>
      </c>
      <c r="F10" s="775">
        <f ca="1">INDIRECT("'数据-取费表'!ai"&amp;$G$1)</f>
        <v>0</v>
      </c>
      <c r="G10" s="1527"/>
      <c r="H10" s="2343"/>
      <c r="I10" s="3572"/>
      <c r="J10" s="778"/>
      <c r="K10" s="779"/>
      <c r="L10" s="774" t="s">
        <v>1731</v>
      </c>
      <c r="M10" s="775">
        <f ca="1">INDIRECT("'数据-取费表'!ai"&amp;$G$1)</f>
        <v>0</v>
      </c>
    </row>
    <row r="11" spans="1:25" ht="18" customHeight="1">
      <c r="A11" s="776"/>
      <c r="B11" s="3573"/>
      <c r="C11" s="1742"/>
      <c r="D11" s="1739"/>
      <c r="E11" s="61" t="s">
        <v>634</v>
      </c>
      <c r="F11" s="784">
        <f ca="1">INDIRECT("'数据-取费表'!w"&amp;$G$1)</f>
        <v>0</v>
      </c>
      <c r="G11" s="1527"/>
      <c r="H11" s="2359"/>
      <c r="I11" s="3572"/>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2939</v>
      </c>
      <c r="E12" s="2352" t="s">
        <v>2446</v>
      </c>
      <c r="F12" s="2466"/>
      <c r="G12" s="1527"/>
      <c r="H12" s="2415" t="s">
        <v>1816</v>
      </c>
      <c r="I12" s="2420" t="s">
        <v>2441</v>
      </c>
      <c r="J12" s="773">
        <f ca="1">ROUND(IF(M12="押一",J8/12*M13,IF(M12="押二",J8/12*2*M13,IF(M12="押三",J8/12*3*M13,J13*M13))),0)</f>
        <v>0</v>
      </c>
      <c r="K12" s="2355" t="s">
        <v>2939</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1.4E-3</v>
      </c>
      <c r="D26" s="2424" t="str">
        <f>IF(F25&lt;=1,"销售费用×利率×(建设周期÷2)","销售费用×((1+利率)^(建设周期÷2)-1)")</f>
        <v>销售费用×((1+利率)^(建设周期÷2)-1)</v>
      </c>
      <c r="E26" s="774" t="s">
        <v>676</v>
      </c>
      <c r="F26" s="808">
        <f ca="1">'数据-取费表'!B40</f>
        <v>4.7500000000000001E-2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9" t="s">
        <v>2997</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9"/>
      <c r="J36" s="1963"/>
      <c r="K36" s="1964"/>
      <c r="L36" s="1963"/>
      <c r="M36" s="1963"/>
    </row>
    <row r="37" spans="1:18" ht="18" customHeight="1">
      <c r="A37" s="804"/>
      <c r="B37" s="783"/>
      <c r="C37" s="69"/>
      <c r="D37" s="805"/>
      <c r="E37" s="774" t="s">
        <v>668</v>
      </c>
      <c r="F37" s="775">
        <f ca="1">INDIRECT("'数据-取费表'!r"&amp;$G$1)</f>
        <v>0</v>
      </c>
      <c r="G37" s="1946"/>
      <c r="H37" s="1949"/>
      <c r="I37" s="3569"/>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2928</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2931</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2943</v>
      </c>
      <c r="J54" s="2859">
        <f ca="1">IF(M48="住宅",MAX(J52,L49-'数据-取费表'!B20),MIN(J52,L49-'数据-取费表'!B20))</f>
        <v>-3</v>
      </c>
      <c r="K54" s="3574"/>
      <c r="L54" s="3575"/>
      <c r="O54" s="2257" t="s">
        <v>2373</v>
      </c>
      <c r="P54" s="2255" t="s">
        <v>2374</v>
      </c>
      <c r="Q54" s="2256">
        <f ca="1">J54</f>
        <v>-3</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2911</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25" zoomScale="70" zoomScaleNormal="60" zoomScaleSheetLayoutView="70" workbookViewId="0">
      <selection activeCell="D52" sqref="D52"/>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1668</v>
      </c>
      <c r="D1" s="2799" t="s">
        <v>3022</v>
      </c>
      <c r="E1" s="2243" t="s">
        <v>2359</v>
      </c>
      <c r="F1" s="2244">
        <f ca="1">J53</f>
        <v>38.81</v>
      </c>
      <c r="G1" s="3260">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111486</v>
      </c>
      <c r="C2" s="3265"/>
      <c r="D2" s="3266"/>
      <c r="E2" s="3267"/>
      <c r="F2" s="3267"/>
      <c r="G2" s="3261"/>
      <c r="H2" s="1941"/>
      <c r="I2" s="1941"/>
      <c r="J2" s="1941"/>
      <c r="K2" s="1942"/>
      <c r="L2" s="1941"/>
      <c r="M2" s="1941"/>
    </row>
    <row r="3" spans="1:33" ht="18" customHeight="1" thickBot="1">
      <c r="A3" s="822" t="s">
        <v>1718</v>
      </c>
      <c r="B3" s="823">
        <f ca="1">IF(ISERROR(B2*10000/F43),0,ROUND(B2*10000/F43,0))</f>
        <v>22098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8296</v>
      </c>
      <c r="D5" s="2350" t="s">
        <v>2443</v>
      </c>
      <c r="E5" s="2344"/>
      <c r="F5" s="2345"/>
      <c r="G5" s="1946"/>
      <c r="H5" s="771">
        <v>1</v>
      </c>
      <c r="I5" s="772" t="s">
        <v>2440</v>
      </c>
      <c r="J5" s="55">
        <f ca="1">J6+J10+J12</f>
        <v>0</v>
      </c>
      <c r="K5" s="2350" t="s">
        <v>2443</v>
      </c>
      <c r="L5" s="2344"/>
      <c r="M5" s="2345"/>
    </row>
    <row r="6" spans="1:33" ht="18" customHeight="1">
      <c r="A6" s="1746" t="s">
        <v>1815</v>
      </c>
      <c r="B6" s="3570" t="s">
        <v>2445</v>
      </c>
      <c r="C6" s="773">
        <f ca="1">ROUND(F6*F8*F7*(1-F9)/10000,0)</f>
        <v>8286</v>
      </c>
      <c r="D6" s="2351" t="s">
        <v>2444</v>
      </c>
      <c r="E6" s="774" t="s">
        <v>1729</v>
      </c>
      <c r="F6" s="775">
        <f ca="1">INDIRECT("'数据-取费表'!u"&amp;$G$1)</f>
        <v>5</v>
      </c>
      <c r="G6" s="1946"/>
      <c r="H6" s="2358" t="s">
        <v>1815</v>
      </c>
      <c r="I6" s="3570" t="s">
        <v>2445</v>
      </c>
      <c r="J6" s="773">
        <f ca="1">ROUND(M6*M8*M7*(1-M9)/10000,0)</f>
        <v>0</v>
      </c>
      <c r="K6" s="339" t="s">
        <v>1728</v>
      </c>
      <c r="L6" s="774" t="s">
        <v>1729</v>
      </c>
      <c r="M6" s="775">
        <f ca="1">INDIRECT("'数据-取费表'!z"&amp;$G$1)</f>
        <v>0</v>
      </c>
    </row>
    <row r="7" spans="1:33" ht="18" customHeight="1">
      <c r="A7" s="2354"/>
      <c r="B7" s="3571"/>
      <c r="C7" s="778"/>
      <c r="D7" s="779"/>
      <c r="E7" s="774" t="s">
        <v>1730</v>
      </c>
      <c r="F7" s="775">
        <f ca="1">IF(INDIRECT("'数据-取费表'!ah"&amp;$G$1)="",INDIRECT("'数据-取费表'!k"&amp;$G$1),INDIRECT("'数据-取费表'!ah"&amp;$G$1))</f>
        <v>50449.86</v>
      </c>
      <c r="G7" s="1946"/>
      <c r="H7" s="2343"/>
      <c r="I7" s="3571"/>
      <c r="J7" s="778"/>
      <c r="K7" s="779"/>
      <c r="L7" s="774" t="s">
        <v>1730</v>
      </c>
      <c r="M7" s="775">
        <f ca="1">F7</f>
        <v>50449.86</v>
      </c>
    </row>
    <row r="8" spans="1:33" ht="18" customHeight="1">
      <c r="A8" s="2347"/>
      <c r="B8" s="3572"/>
      <c r="C8" s="778"/>
      <c r="D8" s="779"/>
      <c r="E8" s="774" t="s">
        <v>1731</v>
      </c>
      <c r="F8" s="775">
        <f ca="1">INDIRECT("'数据-取费表'!ai"&amp;$G$1)</f>
        <v>365</v>
      </c>
      <c r="G8" s="1946"/>
      <c r="H8" s="2343"/>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6"/>
      <c r="H9" s="2359"/>
      <c r="I9" s="3572"/>
      <c r="J9" s="778"/>
      <c r="K9" s="779"/>
      <c r="L9" s="785" t="s">
        <v>1732</v>
      </c>
      <c r="M9" s="786">
        <f ca="1">INDIRECT("'数据-取费表'!ab"&amp;$G$1)</f>
        <v>0</v>
      </c>
    </row>
    <row r="10" spans="1:33" ht="18" customHeight="1">
      <c r="A10" s="1746" t="s">
        <v>1816</v>
      </c>
      <c r="B10" s="2348" t="s">
        <v>2441</v>
      </c>
      <c r="C10" s="789">
        <f ca="1">ROUND(IF(F10="押一",C6/12*F11,IF(F10="押二",C6/12*2*F11,IF(F10="押三",C6/12*3*F11,C11*F11))),0)</f>
        <v>10</v>
      </c>
      <c r="D10" s="2355" t="s">
        <v>2939</v>
      </c>
      <c r="E10" s="2352" t="s">
        <v>2446</v>
      </c>
      <c r="F10" s="2466" t="s">
        <v>3025</v>
      </c>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34515</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23439</v>
      </c>
      <c r="D14" s="3280" t="s">
        <v>1736</v>
      </c>
      <c r="E14" s="3281"/>
      <c r="F14" s="795"/>
      <c r="G14" s="1946"/>
      <c r="H14" s="1578" t="s">
        <v>1815</v>
      </c>
      <c r="I14" s="2112" t="s">
        <v>2805</v>
      </c>
      <c r="J14" s="53">
        <f ca="1">C29</f>
        <v>34515</v>
      </c>
      <c r="K14" s="26"/>
      <c r="L14" s="791"/>
      <c r="M14" s="792"/>
    </row>
    <row r="15" spans="1:33" s="1948" customFormat="1" ht="18" customHeight="1" thickBot="1">
      <c r="A15" s="1577" t="s">
        <v>1823</v>
      </c>
      <c r="B15" s="774" t="s">
        <v>641</v>
      </c>
      <c r="C15" s="53">
        <f ca="1">ROUND(C14*F15,0)</f>
        <v>703</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3418</v>
      </c>
      <c r="K16" s="1737" t="s">
        <v>1741</v>
      </c>
      <c r="L16" s="3282"/>
      <c r="M16" s="2345"/>
    </row>
    <row r="17" spans="1:33" s="1948" customFormat="1" ht="18" customHeight="1">
      <c r="A17" s="1577" t="s">
        <v>1878</v>
      </c>
      <c r="B17" s="774" t="s">
        <v>647</v>
      </c>
      <c r="C17" s="53">
        <f ca="1">ROUND(F17*(F43+INDIRECT("'数据-取费表'!S"&amp;$G$1))/10000,0)</f>
        <v>1068</v>
      </c>
      <c r="D17" s="774" t="s">
        <v>1742</v>
      </c>
      <c r="E17" s="774" t="s">
        <v>1743</v>
      </c>
      <c r="F17" s="56">
        <f>'数据-取费表'!B35</f>
        <v>200</v>
      </c>
      <c r="G17" s="3262"/>
      <c r="H17" s="1578" t="s">
        <v>1815</v>
      </c>
      <c r="I17" s="774" t="s">
        <v>650</v>
      </c>
      <c r="J17" s="3020">
        <f ca="1">ROUND(IF(AND(项目基本情况!B11="自然人",项目基本情况!B10="北京市"),J6*M17/(1+'数据-取费表'!C42),J18+J19+J20),0)</f>
        <v>2900</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352</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25562</v>
      </c>
      <c r="D19" s="259" t="s">
        <v>1748</v>
      </c>
      <c r="E19" s="3284"/>
      <c r="F19" s="56"/>
      <c r="G19" s="1946"/>
      <c r="H19" s="1577" t="s">
        <v>1823</v>
      </c>
      <c r="I19" s="774" t="s">
        <v>1749</v>
      </c>
      <c r="J19" s="53">
        <f ca="1">IF(K19="按租金收入计税",ROUND(J6*M19/(1+'数据-取费表'!C42),1),ROUND(C29*F33*0.7,1))</f>
        <v>2899.3</v>
      </c>
      <c r="K19" s="800" t="s">
        <v>659</v>
      </c>
      <c r="L19" s="774" t="s">
        <v>1738</v>
      </c>
      <c r="M19" s="799">
        <f>IF(K19="按租金收入计税",'数据-取费表'!B51,'数据-取费表'!B50)</f>
        <v>1.2E-2</v>
      </c>
    </row>
    <row r="20" spans="1:33" s="1948" customFormat="1" ht="18" customHeight="1">
      <c r="A20" s="1578" t="s">
        <v>1880</v>
      </c>
      <c r="B20" s="774" t="s">
        <v>660</v>
      </c>
      <c r="C20" s="53">
        <f ca="1">ROUND(C19*F20,0)</f>
        <v>511</v>
      </c>
      <c r="D20" s="801" t="s">
        <v>1750</v>
      </c>
      <c r="E20" s="774" t="s">
        <v>1738</v>
      </c>
      <c r="F20" s="799">
        <f>'数据-取费表'!B37</f>
        <v>0.02</v>
      </c>
      <c r="G20" s="3262"/>
      <c r="H20" s="1580" t="s">
        <v>1824</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5682.31</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518</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1880</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-3418</v>
      </c>
      <c r="K25" s="2402" t="s">
        <v>1768</v>
      </c>
      <c r="L25" s="2403"/>
      <c r="M25" s="2404"/>
    </row>
    <row r="26" spans="1:33" ht="18" customHeight="1">
      <c r="A26" s="1577" t="s">
        <v>1822</v>
      </c>
      <c r="B26" s="774" t="s">
        <v>2422</v>
      </c>
      <c r="C26" s="53">
        <f ca="1">ROUND((C19+C20)*F26,0)</f>
        <v>3911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0.06</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34515</v>
      </c>
      <c r="D29" s="2399"/>
      <c r="E29" s="2400"/>
      <c r="F29" s="2401"/>
      <c r="G29" s="3262"/>
      <c r="H29" s="812" t="s">
        <v>1778</v>
      </c>
      <c r="I29" s="813" t="s">
        <v>1779</v>
      </c>
      <c r="J29" s="814">
        <f ca="1">ROUND(J26/(1+F40)^F41,0)</f>
        <v>0</v>
      </c>
      <c r="K29" s="815" t="s">
        <v>1780</v>
      </c>
      <c r="L29" s="816"/>
      <c r="M29" s="817">
        <f ca="1">INDIRECT("'数据-取费表'!k"&amp;$G$1)</f>
        <v>50449.86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2135</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1382</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434</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947</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0.9</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5682.31</v>
      </c>
      <c r="G35" s="1946"/>
      <c r="H35" s="1949"/>
      <c r="I35" s="826" t="s">
        <v>1805</v>
      </c>
      <c r="J35" s="827">
        <f ca="1">ROUND(C13*J36,0)</f>
        <v>2934</v>
      </c>
      <c r="K35" s="1962"/>
      <c r="L35" s="1961"/>
      <c r="M35" s="1961"/>
    </row>
    <row r="36" spans="1:18" ht="18" customHeight="1">
      <c r="A36" s="1578" t="s">
        <v>1880</v>
      </c>
      <c r="B36" s="774" t="s">
        <v>1793</v>
      </c>
      <c r="C36" s="53">
        <f ca="1">ROUND(C29*F36,1)</f>
        <v>517.70000000000005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69</v>
      </c>
      <c r="D37" s="3279" t="s">
        <v>1795</v>
      </c>
      <c r="E37" s="774" t="s">
        <v>1738</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165.9</v>
      </c>
      <c r="D38" s="2399" t="s">
        <v>1765</v>
      </c>
      <c r="E38" s="2400" t="s">
        <v>1738</v>
      </c>
      <c r="F38" s="2396">
        <f ca="1">INDIRECT("'数据-取费表'!Am"&amp;$G$1)</f>
        <v>0.02</v>
      </c>
      <c r="G38" s="1946"/>
      <c r="H38" s="1961"/>
      <c r="I38" s="832" t="s">
        <v>1808</v>
      </c>
      <c r="J38" s="833"/>
      <c r="K38" s="1966"/>
      <c r="L38" s="1961"/>
      <c r="M38" s="1961"/>
    </row>
    <row r="39" spans="1:18" ht="24.6" customHeight="1" thickTop="1">
      <c r="A39" s="1745" t="s">
        <v>1767</v>
      </c>
      <c r="B39" s="2724" t="s">
        <v>2802</v>
      </c>
      <c r="C39" s="782">
        <f ca="1">C5-C30</f>
        <v>6161</v>
      </c>
      <c r="D39" s="2402" t="s">
        <v>1768</v>
      </c>
      <c r="E39" s="2403"/>
      <c r="F39" s="2404"/>
      <c r="G39" s="1946"/>
      <c r="H39" s="1961"/>
      <c r="I39" s="826" t="s">
        <v>1809</v>
      </c>
      <c r="J39" s="834">
        <f ca="1">ROUND(J35/C39,3)</f>
        <v>0.47599999999999998</v>
      </c>
      <c r="K39" s="1966"/>
      <c r="L39" s="1961"/>
      <c r="M39" s="1961"/>
    </row>
    <row r="40" spans="1:18" ht="18" customHeight="1">
      <c r="A40" s="771" t="s">
        <v>1886</v>
      </c>
      <c r="B40" s="2113" t="s">
        <v>2289</v>
      </c>
      <c r="C40" s="773">
        <f ca="1">ROUND(C39*(1-((1+F42)/(1+F40))^F41)/(F40-F42),0)</f>
        <v>111486</v>
      </c>
      <c r="D40" s="803" t="s">
        <v>1772</v>
      </c>
      <c r="E40" s="774" t="s">
        <v>2404</v>
      </c>
      <c r="F40" s="784">
        <f ca="1">INDIRECT("'数据-取费表'!I"&amp;$G$1)</f>
        <v>0.06</v>
      </c>
      <c r="G40" s="1946"/>
      <c r="H40" s="1946"/>
      <c r="I40" s="826" t="s">
        <v>1810</v>
      </c>
      <c r="J40" s="834">
        <f ca="1">1-J39</f>
        <v>0.52400000000000002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0.31</v>
      </c>
      <c r="K42" s="1965"/>
      <c r="L42" s="1901"/>
      <c r="M42" s="1901"/>
    </row>
    <row r="43" spans="1:18" ht="18" customHeight="1" thickBot="1">
      <c r="A43" s="812" t="s">
        <v>1778</v>
      </c>
      <c r="B43" s="813" t="s">
        <v>1801</v>
      </c>
      <c r="C43" s="814">
        <f ca="1">ROUND(C40*10000/F43,0)</f>
        <v>22098</v>
      </c>
      <c r="D43" s="815" t="s">
        <v>1802</v>
      </c>
      <c r="E43" s="816" t="s">
        <v>1803</v>
      </c>
      <c r="F43" s="817">
        <f ca="1">INDIRECT("'数据-取费表'!k"&amp;$G$1)</f>
        <v>50449.86</v>
      </c>
      <c r="G43" s="1946"/>
      <c r="H43" s="1901"/>
      <c r="I43" s="836" t="s">
        <v>1813</v>
      </c>
      <c r="J43" s="837">
        <f ca="1">1-J42</f>
        <v>0.69</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-120265</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111486</v>
      </c>
      <c r="R48" s="2255" t="s">
        <v>2365</v>
      </c>
    </row>
    <row r="49" spans="1:18" s="1943" customFormat="1" ht="18" customHeight="1" thickBot="1">
      <c r="A49" s="776"/>
      <c r="B49" s="777"/>
      <c r="C49" s="778"/>
      <c r="D49" s="779"/>
      <c r="E49" s="774" t="s">
        <v>1730</v>
      </c>
      <c r="F49" s="775">
        <f ca="1">F7</f>
        <v>50449.86</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34515</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61410</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6" t="s">
        <v>2932</v>
      </c>
      <c r="L53" s="3577"/>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111486</v>
      </c>
      <c r="R54" s="2259" t="s">
        <v>2377</v>
      </c>
    </row>
    <row r="55" spans="1:18" s="1943" customFormat="1" ht="18" customHeight="1" thickTop="1" thickBot="1">
      <c r="A55" s="787">
        <v>2</v>
      </c>
      <c r="B55" s="788" t="s">
        <v>638</v>
      </c>
      <c r="C55" s="789">
        <f ca="1">C13</f>
        <v>34515</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34515</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588</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111486</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0.9</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5682.31</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517.70000000000005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111486</v>
      </c>
      <c r="R63" s="2259" t="s">
        <v>2377</v>
      </c>
    </row>
    <row r="64" spans="1:18" s="1943" customFormat="1" ht="16.5" thickBot="1">
      <c r="A64" s="1578" t="s">
        <v>1881</v>
      </c>
      <c r="B64" s="774" t="s">
        <v>673</v>
      </c>
      <c r="C64" s="53">
        <f ca="1">ROUND(C55*F64,1)</f>
        <v>69</v>
      </c>
      <c r="D64" s="3279"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-588</v>
      </c>
      <c r="D66" s="3280" t="s">
        <v>694</v>
      </c>
      <c r="E66" s="3283"/>
      <c r="F66" s="809"/>
      <c r="K66" s="1969"/>
      <c r="O66" s="2254" t="s">
        <v>2364</v>
      </c>
      <c r="P66" s="2255" t="s">
        <v>2390</v>
      </c>
      <c r="Q66" s="2256">
        <f ca="1">C40+J29</f>
        <v>111486</v>
      </c>
      <c r="R66" s="2255" t="s">
        <v>2365</v>
      </c>
    </row>
    <row r="67" spans="1:18" s="1943" customFormat="1" ht="20.25" thickBot="1">
      <c r="A67" s="771" t="s">
        <v>1771</v>
      </c>
      <c r="B67" s="2113" t="s">
        <v>2289</v>
      </c>
      <c r="C67" s="773">
        <f ca="1">ROUND(C66*(1-((1+F69)/(1+F67))^F68)/(F67-F69),0)</f>
        <v>-8779</v>
      </c>
      <c r="D67" s="803" t="s">
        <v>698</v>
      </c>
      <c r="E67" s="774" t="s">
        <v>699</v>
      </c>
      <c r="F67" s="784">
        <f ca="1">F40</f>
        <v>0.06</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61410</v>
      </c>
      <c r="R68" s="2262" t="s">
        <v>2401</v>
      </c>
    </row>
    <row r="69" spans="1:18" ht="20.25" thickBot="1">
      <c r="A69" s="780"/>
      <c r="B69" s="781"/>
      <c r="C69" s="782"/>
      <c r="D69" s="805"/>
      <c r="E69" s="774" t="s">
        <v>704</v>
      </c>
      <c r="F69" s="2227"/>
      <c r="O69" s="2257" t="s">
        <v>2369</v>
      </c>
      <c r="P69" s="2263" t="s">
        <v>2383</v>
      </c>
      <c r="Q69" s="2256">
        <f ca="1">ROUND(Q70-Q71*Q72,0)</f>
        <v>3227</v>
      </c>
      <c r="R69" s="2259"/>
    </row>
    <row r="70" spans="1:18" ht="15.75" thickBot="1">
      <c r="A70" s="812" t="s">
        <v>1778</v>
      </c>
      <c r="B70" s="813" t="s">
        <v>1801</v>
      </c>
      <c r="C70" s="814">
        <f ca="1">ROUND(C67*10000/F70,0)</f>
        <v>-1740</v>
      </c>
      <c r="D70" s="815" t="s">
        <v>1802</v>
      </c>
      <c r="E70" s="816" t="s">
        <v>1803</v>
      </c>
      <c r="F70" s="817">
        <f ca="1">F43</f>
        <v>50449.86</v>
      </c>
      <c r="O70" s="2257" t="s">
        <v>2384</v>
      </c>
      <c r="P70" s="2263" t="s">
        <v>2385</v>
      </c>
      <c r="Q70" s="2256">
        <f ca="1">C39</f>
        <v>6161</v>
      </c>
      <c r="R70" s="2255" t="s">
        <v>2365</v>
      </c>
    </row>
    <row r="71" spans="1:18" ht="15.75" thickBot="1">
      <c r="O71" s="2257" t="s">
        <v>2386</v>
      </c>
      <c r="P71" s="2263" t="s">
        <v>2387</v>
      </c>
      <c r="Q71" s="2256">
        <f ca="1">C13</f>
        <v>34515</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111486</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35" priority="6">
      <formula>$L$48&gt;$J$51</formula>
    </cfRule>
  </conditionalFormatting>
  <conditionalFormatting sqref="I55">
    <cfRule type="expression" dxfId="134" priority="7">
      <formula>$J$51&gt;$L$48</formula>
    </cfRule>
  </conditionalFormatting>
  <conditionalFormatting sqref="I60">
    <cfRule type="expression" dxfId="133" priority="5">
      <formula>$J$51&gt;$L$48</formula>
    </cfRule>
  </conditionalFormatting>
  <conditionalFormatting sqref="K60">
    <cfRule type="expression" dxfId="132" priority="4">
      <formula>$L$48&gt;$J$51</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B19" zoomScale="70" zoomScaleNormal="60" zoomScaleSheetLayoutView="70" workbookViewId="0">
      <selection activeCell="K42" sqref="K42"/>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3009</v>
      </c>
      <c r="D1" s="2799" t="s">
        <v>3022</v>
      </c>
      <c r="E1" s="2243" t="s">
        <v>2359</v>
      </c>
      <c r="F1" s="2244">
        <f ca="1">J53</f>
        <v>28.81</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146040</v>
      </c>
      <c r="C2" s="3265"/>
      <c r="D2" s="3266"/>
      <c r="E2" s="3267"/>
      <c r="F2" s="3267"/>
      <c r="G2" s="3261"/>
      <c r="H2" s="1941"/>
      <c r="I2" s="1941"/>
      <c r="J2" s="1941"/>
      <c r="K2" s="1942"/>
      <c r="L2" s="1941"/>
      <c r="M2" s="1941"/>
    </row>
    <row r="3" spans="1:33" ht="18" customHeight="1" thickBot="1">
      <c r="A3" s="822" t="s">
        <v>1718</v>
      </c>
      <c r="B3" s="823">
        <f ca="1">IF(ISERROR(B2*10000/F43),0,ROUND(B2*10000/F43,0))</f>
        <v>22508</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12805</v>
      </c>
      <c r="D5" s="2350" t="s">
        <v>2443</v>
      </c>
      <c r="E5" s="2344"/>
      <c r="F5" s="2345"/>
      <c r="G5" s="1946"/>
      <c r="H5" s="771">
        <v>1</v>
      </c>
      <c r="I5" s="772" t="s">
        <v>2440</v>
      </c>
      <c r="J5" s="55">
        <f ca="1">J6+J10+J12</f>
        <v>0</v>
      </c>
      <c r="K5" s="2350" t="s">
        <v>2443</v>
      </c>
      <c r="L5" s="2344"/>
      <c r="M5" s="2345"/>
    </row>
    <row r="6" spans="1:33" ht="18" customHeight="1">
      <c r="A6" s="1746" t="s">
        <v>1815</v>
      </c>
      <c r="B6" s="3570" t="s">
        <v>2445</v>
      </c>
      <c r="C6" s="773">
        <f ca="1">ROUND(F6*F8*F7*(1-F9)/10000,0)</f>
        <v>12789</v>
      </c>
      <c r="D6" s="2351" t="s">
        <v>2444</v>
      </c>
      <c r="E6" s="774" t="s">
        <v>1729</v>
      </c>
      <c r="F6" s="775">
        <f ca="1">INDIRECT("'数据-取费表'!u"&amp;$G$1)</f>
        <v>6</v>
      </c>
      <c r="G6" s="1946"/>
      <c r="H6" s="2358" t="s">
        <v>2450</v>
      </c>
      <c r="I6" s="3570" t="s">
        <v>2445</v>
      </c>
      <c r="J6" s="773">
        <f ca="1">ROUND(M6*M8*M7*(1-M9)/10000,0)</f>
        <v>0</v>
      </c>
      <c r="K6" s="339" t="s">
        <v>1728</v>
      </c>
      <c r="L6" s="774" t="s">
        <v>1729</v>
      </c>
      <c r="M6" s="775">
        <f ca="1">INDIRECT("'数据-取费表'!z"&amp;$G$1)</f>
        <v>0</v>
      </c>
    </row>
    <row r="7" spans="1:33" ht="18" customHeight="1">
      <c r="A7" s="2354"/>
      <c r="B7" s="3571"/>
      <c r="C7" s="778"/>
      <c r="D7" s="779"/>
      <c r="E7" s="774" t="s">
        <v>1730</v>
      </c>
      <c r="F7" s="775">
        <f ca="1">IF(INDIRECT("'数据-取费表'!ah"&amp;$G$1)="",INDIRECT("'数据-取费表'!k"&amp;$G$1),INDIRECT("'数据-取费表'!ah"&amp;$G$1))</f>
        <v>64883.439999999995</v>
      </c>
      <c r="G7" s="1946"/>
      <c r="H7" s="2343"/>
      <c r="I7" s="3571"/>
      <c r="J7" s="778"/>
      <c r="K7" s="779"/>
      <c r="L7" s="774" t="s">
        <v>1730</v>
      </c>
      <c r="M7" s="775">
        <f ca="1">F7</f>
        <v>64883.439999999995</v>
      </c>
    </row>
    <row r="8" spans="1:33" ht="18" customHeight="1">
      <c r="A8" s="2347"/>
      <c r="B8" s="3572"/>
      <c r="C8" s="778"/>
      <c r="D8" s="779"/>
      <c r="E8" s="774" t="s">
        <v>1731</v>
      </c>
      <c r="F8" s="775">
        <f ca="1">INDIRECT("'数据-取费表'!ai"&amp;$G$1)</f>
        <v>365</v>
      </c>
      <c r="G8" s="1946"/>
      <c r="H8" s="2343"/>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6"/>
      <c r="H9" s="2359"/>
      <c r="I9" s="3572"/>
      <c r="J9" s="778"/>
      <c r="K9" s="779"/>
      <c r="L9" s="785" t="s">
        <v>1732</v>
      </c>
      <c r="M9" s="786">
        <f ca="1">INDIRECT("'数据-取费表'!ab"&amp;$G$1)</f>
        <v>0</v>
      </c>
    </row>
    <row r="10" spans="1:33" ht="18" customHeight="1">
      <c r="A10" s="1746" t="s">
        <v>2448</v>
      </c>
      <c r="B10" s="2348" t="s">
        <v>2441</v>
      </c>
      <c r="C10" s="789">
        <f ca="1">ROUND(IF(F10="押一",C6/12*F11,IF(F10="押二",C6/12*2*F11,IF(F10="押三",C6/12*3*F11,C11*F11))),0)</f>
        <v>16</v>
      </c>
      <c r="D10" s="2355" t="s">
        <v>2939</v>
      </c>
      <c r="E10" s="2352" t="s">
        <v>2446</v>
      </c>
      <c r="F10" s="2466" t="s">
        <v>3025</v>
      </c>
      <c r="G10" s="1946"/>
      <c r="H10" s="2415" t="s">
        <v>2451</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39813</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26901</v>
      </c>
      <c r="D14" s="1894" t="s">
        <v>1736</v>
      </c>
      <c r="E14" s="1895"/>
      <c r="F14" s="795"/>
      <c r="G14" s="1946"/>
      <c r="H14" s="1578" t="s">
        <v>1821</v>
      </c>
      <c r="I14" s="2112" t="s">
        <v>2806</v>
      </c>
      <c r="J14" s="53">
        <f ca="1">C29</f>
        <v>39813</v>
      </c>
      <c r="K14" s="26"/>
      <c r="L14" s="791"/>
      <c r="M14" s="792"/>
    </row>
    <row r="15" spans="1:33" s="1948" customFormat="1" ht="18" customHeight="1" thickBot="1">
      <c r="A15" s="1577" t="s">
        <v>1876</v>
      </c>
      <c r="B15" s="774" t="s">
        <v>641</v>
      </c>
      <c r="C15" s="53">
        <f ca="1">ROUND(C14*F15,0)</f>
        <v>807</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3942</v>
      </c>
      <c r="K16" s="1737" t="s">
        <v>1741</v>
      </c>
      <c r="L16" s="2340"/>
      <c r="M16" s="2345"/>
    </row>
    <row r="17" spans="1:33" s="1948" customFormat="1" ht="18" customHeight="1">
      <c r="A17" s="1577" t="s">
        <v>1878</v>
      </c>
      <c r="B17" s="774" t="s">
        <v>647</v>
      </c>
      <c r="C17" s="53">
        <f ca="1">ROUND(F17*(F43+INDIRECT("'数据-取费表'!S"&amp;$G$1))/10000,0)</f>
        <v>1374</v>
      </c>
      <c r="D17" s="774" t="s">
        <v>1742</v>
      </c>
      <c r="E17" s="774" t="s">
        <v>1743</v>
      </c>
      <c r="F17" s="56">
        <f>'数据-取费表'!B35</f>
        <v>200</v>
      </c>
      <c r="G17" s="3262"/>
      <c r="H17" s="1578" t="s">
        <v>1821</v>
      </c>
      <c r="I17" s="774" t="s">
        <v>650</v>
      </c>
      <c r="J17" s="3020">
        <f ca="1">ROUND(IF(AND(项目基本情况!B11="自然人",项目基本情况!B10="北京市"),J6*M17/(1+'数据-取费表'!C42),J18+J19+J20),0)</f>
        <v>3345</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404</v>
      </c>
      <c r="D18" s="774" t="s">
        <v>1737</v>
      </c>
      <c r="E18" s="774" t="s">
        <v>1738</v>
      </c>
      <c r="F18" s="799">
        <f>'数据-取费表'!B36</f>
        <v>1.4999999999999999E-2</v>
      </c>
      <c r="G18" s="3262"/>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29486</v>
      </c>
      <c r="D19" s="259" t="s">
        <v>1748</v>
      </c>
      <c r="E19" s="1897"/>
      <c r="F19" s="56"/>
      <c r="G19" s="1946"/>
      <c r="H19" s="1577" t="s">
        <v>1876</v>
      </c>
      <c r="I19" s="774" t="s">
        <v>1749</v>
      </c>
      <c r="J19" s="53">
        <f ca="1">IF(K19="按租金收入计税",ROUND(J6*M19/(1+'数据-取费表'!C42),1),ROUND(C29*F33*0.7,1))</f>
        <v>3344.3</v>
      </c>
      <c r="K19" s="800" t="s">
        <v>659</v>
      </c>
      <c r="L19" s="774" t="s">
        <v>1738</v>
      </c>
      <c r="M19" s="799">
        <f>IF(K19="按租金收入计税",'数据-取费表'!B51,'数据-取费表'!B50)</f>
        <v>1.2E-2</v>
      </c>
    </row>
    <row r="20" spans="1:33" s="1948" customFormat="1" ht="18" customHeight="1">
      <c r="A20" s="1578" t="s">
        <v>1880</v>
      </c>
      <c r="B20" s="774" t="s">
        <v>660</v>
      </c>
      <c r="C20" s="53">
        <f ca="1">ROUND(C19*F20,0)</f>
        <v>590</v>
      </c>
      <c r="D20" s="801" t="s">
        <v>1750</v>
      </c>
      <c r="E20" s="774" t="s">
        <v>1738</v>
      </c>
      <c r="F20" s="799">
        <f>'数据-取费表'!B37</f>
        <v>0.02</v>
      </c>
      <c r="G20" s="3262"/>
      <c r="H20" s="1580" t="s">
        <v>1871</v>
      </c>
      <c r="I20" s="339" t="s">
        <v>1751</v>
      </c>
      <c r="J20" s="54">
        <f ca="1">ROUND(M20*M21/10000,0)</f>
        <v>1</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7308.0099999999993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597</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2168</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2338" t="s">
        <v>1762</v>
      </c>
      <c r="L23" s="774" t="s">
        <v>1738</v>
      </c>
      <c r="M23" s="807">
        <f ca="1">INDIRECT("'数据-取费表'!Al"&amp;$G$1)</f>
        <v>2E-3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0.02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-3942</v>
      </c>
      <c r="K25" s="2402" t="s">
        <v>1768</v>
      </c>
      <c r="L25" s="2403"/>
      <c r="M25" s="2404"/>
    </row>
    <row r="26" spans="1:33" ht="18" customHeight="1">
      <c r="A26" s="1577" t="s">
        <v>1822</v>
      </c>
      <c r="B26" s="774" t="s">
        <v>2422</v>
      </c>
      <c r="C26" s="53">
        <f ca="1">ROUND((C19+C20)*F26,0)</f>
        <v>4511</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6.5000000000000002E-2</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39813</v>
      </c>
      <c r="D29" s="2399"/>
      <c r="E29" s="2400"/>
      <c r="F29" s="2401"/>
      <c r="G29" s="3262"/>
      <c r="H29" s="812" t="s">
        <v>1778</v>
      </c>
      <c r="I29" s="813" t="s">
        <v>1779</v>
      </c>
      <c r="J29" s="814">
        <f ca="1">ROUND(J26/(1+F40)^F41,0)</f>
        <v>0</v>
      </c>
      <c r="K29" s="815" t="s">
        <v>1780</v>
      </c>
      <c r="L29" s="816"/>
      <c r="M29" s="817">
        <f ca="1">INDIRECT("'数据-取费表'!k"&amp;$G$1)</f>
        <v>64883.439999999995</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3066</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2133</v>
      </c>
      <c r="D31" s="1894" t="s">
        <v>1783</v>
      </c>
      <c r="E31" s="1892" t="s">
        <v>1784</v>
      </c>
      <c r="F31" s="3019" t="str">
        <f>IF(项目基本情况!B11="企业","——",IF('数据-取费表'!B10="住宅",IF(F6*F7*F8/12/(1+'数据-取费表'!F30)&gt;100000,4%,2.5%),IF(F6*F7*F8/12/(1+'数据-取费表'!F30)&gt;100000,12%,7%)))</f>
        <v>——</v>
      </c>
      <c r="G31" s="1946"/>
      <c r="H31" s="3259" t="s">
        <v>2998</v>
      </c>
      <c r="I31" s="1950"/>
      <c r="J31" s="1951"/>
      <c r="K31" s="1952"/>
      <c r="L31" s="1953"/>
      <c r="M31" s="1954"/>
    </row>
    <row r="32" spans="1:33" ht="18" customHeight="1">
      <c r="A32" s="1577" t="s">
        <v>1822</v>
      </c>
      <c r="B32" s="774" t="s">
        <v>1785</v>
      </c>
      <c r="C32" s="53">
        <f ca="1">ROUND(C6*F32/(1+'数据-取费表'!C42),1)</f>
        <v>669.9</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1461.6</v>
      </c>
      <c r="D33" s="800" t="s">
        <v>3023</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1.1000000000000001</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7308.0099999999993</v>
      </c>
      <c r="G35" s="1946"/>
      <c r="H35" s="1949"/>
      <c r="I35" s="826" t="s">
        <v>1805</v>
      </c>
      <c r="J35" s="827">
        <f ca="1">ROUND(C13*J36,0)</f>
        <v>3384</v>
      </c>
      <c r="K35" s="1962"/>
      <c r="L35" s="1961"/>
      <c r="M35" s="1961"/>
    </row>
    <row r="36" spans="1:18" ht="18" customHeight="1">
      <c r="A36" s="1578" t="s">
        <v>1880</v>
      </c>
      <c r="B36" s="774" t="s">
        <v>1793</v>
      </c>
      <c r="C36" s="53">
        <f ca="1">ROUND(C29*F36,1)</f>
        <v>597.20000000000005</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79.599999999999994</v>
      </c>
      <c r="D37" s="1892" t="s">
        <v>1795</v>
      </c>
      <c r="E37" s="774" t="s">
        <v>1787</v>
      </c>
      <c r="F37" s="807">
        <f ca="1">INDIRECT("'数据-取费表'!Al"&amp;$G$1)</f>
        <v>2E-3</v>
      </c>
      <c r="G37" s="1946"/>
      <c r="H37" s="1961"/>
      <c r="I37" s="830" t="s">
        <v>1807</v>
      </c>
      <c r="J37" s="831"/>
      <c r="K37" s="1965"/>
      <c r="L37" s="1961"/>
      <c r="M37" s="1961"/>
    </row>
    <row r="38" spans="1:18" ht="18" customHeight="1" thickBot="1">
      <c r="A38" s="2405" t="s">
        <v>1882</v>
      </c>
      <c r="B38" s="2400" t="s">
        <v>660</v>
      </c>
      <c r="C38" s="2398">
        <f ca="1">ROUND(C5*F38,1)</f>
        <v>256.10000000000002</v>
      </c>
      <c r="D38" s="2399" t="s">
        <v>1796</v>
      </c>
      <c r="E38" s="2400" t="s">
        <v>1787</v>
      </c>
      <c r="F38" s="2396">
        <f ca="1">INDIRECT("'数据-取费表'!Am"&amp;$G$1)</f>
        <v>0.02</v>
      </c>
      <c r="G38" s="1946"/>
      <c r="H38" s="1961"/>
      <c r="I38" s="832" t="s">
        <v>1808</v>
      </c>
      <c r="J38" s="833"/>
      <c r="K38" s="1966"/>
      <c r="L38" s="1961"/>
      <c r="M38" s="1961"/>
    </row>
    <row r="39" spans="1:18" ht="24.6" customHeight="1" thickTop="1">
      <c r="A39" s="1745" t="s">
        <v>1885</v>
      </c>
      <c r="B39" s="2724" t="s">
        <v>2802</v>
      </c>
      <c r="C39" s="782">
        <f ca="1">C5-C30</f>
        <v>9739</v>
      </c>
      <c r="D39" s="2402" t="s">
        <v>1797</v>
      </c>
      <c r="E39" s="2403"/>
      <c r="F39" s="2404"/>
      <c r="G39" s="1946"/>
      <c r="H39" s="1961"/>
      <c r="I39" s="826" t="s">
        <v>1809</v>
      </c>
      <c r="J39" s="834">
        <f ca="1">ROUND(J35/C39,3)</f>
        <v>0.34699999999999998</v>
      </c>
      <c r="K39" s="1966"/>
      <c r="L39" s="1961"/>
      <c r="M39" s="1961"/>
    </row>
    <row r="40" spans="1:18" ht="18" customHeight="1">
      <c r="A40" s="771" t="s">
        <v>1886</v>
      </c>
      <c r="B40" s="2113" t="s">
        <v>2289</v>
      </c>
      <c r="C40" s="773">
        <f ca="1">ROUND(C39*(1-((1+F42)/(1+F40))^F41)/(F40-F42),0)</f>
        <v>146040</v>
      </c>
      <c r="D40" s="803" t="s">
        <v>1798</v>
      </c>
      <c r="E40" s="774" t="s">
        <v>2404</v>
      </c>
      <c r="F40" s="784">
        <f ca="1">INDIRECT("'数据-取费表'!I"&amp;$G$1)</f>
        <v>6.5000000000000002E-2</v>
      </c>
      <c r="G40" s="1946"/>
      <c r="H40" s="1946"/>
      <c r="I40" s="826" t="s">
        <v>1810</v>
      </c>
      <c r="J40" s="834">
        <f ca="1">1-J39</f>
        <v>0.65300000000000002</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28.81</v>
      </c>
      <c r="G41" s="1946"/>
      <c r="H41" s="1901"/>
      <c r="I41" s="832" t="s">
        <v>1811</v>
      </c>
      <c r="J41" s="835"/>
      <c r="K41" s="1965"/>
      <c r="L41" s="1901"/>
      <c r="M41" s="1901"/>
    </row>
    <row r="42" spans="1:18" ht="18" customHeight="1">
      <c r="A42" s="780"/>
      <c r="B42" s="781"/>
      <c r="C42" s="782"/>
      <c r="D42" s="805"/>
      <c r="E42" s="774" t="s">
        <v>1800</v>
      </c>
      <c r="F42" s="784">
        <f ca="1">INDIRECT("'数据-取费表'!v"&amp;$G$1)</f>
        <v>1.4999999999999999E-2</v>
      </c>
      <c r="G42" s="1946"/>
      <c r="H42" s="1901"/>
      <c r="I42" s="836" t="s">
        <v>1812</v>
      </c>
      <c r="J42" s="834">
        <f ca="1">ROUND(C13/C40,3)</f>
        <v>0.27300000000000002</v>
      </c>
      <c r="K42" s="1965"/>
      <c r="L42" s="1901"/>
      <c r="M42" s="1901"/>
    </row>
    <row r="43" spans="1:18" ht="18" customHeight="1" thickBot="1">
      <c r="A43" s="812" t="s">
        <v>1778</v>
      </c>
      <c r="B43" s="813" t="s">
        <v>1801</v>
      </c>
      <c r="C43" s="814">
        <f ca="1">ROUND(C40*10000/F43,0)</f>
        <v>22508</v>
      </c>
      <c r="D43" s="815" t="s">
        <v>1802</v>
      </c>
      <c r="E43" s="816" t="s">
        <v>1803</v>
      </c>
      <c r="F43" s="817">
        <f ca="1">INDIRECT("'数据-取费表'!k"&amp;$G$1)</f>
        <v>64883.439999999995</v>
      </c>
      <c r="G43" s="1946"/>
      <c r="H43" s="1901"/>
      <c r="I43" s="836" t="s">
        <v>1813</v>
      </c>
      <c r="J43" s="837">
        <f ca="1">1-J42</f>
        <v>0.72699999999999998</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-154771</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31.81</v>
      </c>
      <c r="M48" s="3264"/>
      <c r="O48" s="2254" t="s">
        <v>2364</v>
      </c>
      <c r="P48" s="2255" t="s">
        <v>2390</v>
      </c>
      <c r="Q48" s="2256">
        <f ca="1">C40+J29</f>
        <v>146040</v>
      </c>
      <c r="R48" s="2255" t="s">
        <v>2365</v>
      </c>
    </row>
    <row r="49" spans="1:18" s="1943" customFormat="1" ht="18" customHeight="1" thickBot="1">
      <c r="A49" s="776"/>
      <c r="B49" s="777"/>
      <c r="C49" s="778"/>
      <c r="D49" s="779"/>
      <c r="E49" s="774" t="s">
        <v>1730</v>
      </c>
      <c r="F49" s="775">
        <f ca="1">F7</f>
        <v>64883.439999999995</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4"/>
      <c r="O50" s="2257" t="s">
        <v>2368</v>
      </c>
      <c r="P50" s="2255" t="s">
        <v>2392</v>
      </c>
      <c r="Q50" s="2256">
        <f ca="1">C29</f>
        <v>39813</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111364</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2940</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28.81</v>
      </c>
      <c r="K53" s="3576" t="s">
        <v>2932</v>
      </c>
      <c r="L53" s="3577"/>
      <c r="M53" s="3264"/>
      <c r="O53" s="2257" t="s">
        <v>2373</v>
      </c>
      <c r="P53" s="2255" t="s">
        <v>2374</v>
      </c>
      <c r="Q53" s="2256">
        <f ca="1">J53</f>
        <v>28.81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146040</v>
      </c>
      <c r="R54" s="2259" t="s">
        <v>2377</v>
      </c>
    </row>
    <row r="55" spans="1:18" s="1943" customFormat="1" ht="18" customHeight="1" thickTop="1" thickBot="1">
      <c r="A55" s="787">
        <v>2</v>
      </c>
      <c r="B55" s="788" t="s">
        <v>638</v>
      </c>
      <c r="C55" s="789">
        <f ca="1">C13</f>
        <v>39813</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2290</v>
      </c>
      <c r="C56" s="53">
        <f ca="1">C29</f>
        <v>39813</v>
      </c>
      <c r="D56" s="2482"/>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678</v>
      </c>
      <c r="D57" s="26" t="s">
        <v>1741</v>
      </c>
      <c r="E57" s="2483"/>
      <c r="F57" s="56"/>
      <c r="I57" s="2820" t="s">
        <v>2343</v>
      </c>
      <c r="J57" s="2821" t="str">
        <f ca="1">IF(OR(M47="住宅",J51&lt;L48,J56="是"),"——",J51-L48)</f>
        <v>——</v>
      </c>
      <c r="K57" s="2800" t="s">
        <v>2348</v>
      </c>
      <c r="L57" s="1823" t="str">
        <f ca="1">IF(L48&lt;J51,"——",IF(L55="比较法",L49,IF(L55="基准地价",L50,L51)))</f>
        <v>——</v>
      </c>
      <c r="M57" s="3264"/>
      <c r="O57" s="2254" t="s">
        <v>2364</v>
      </c>
      <c r="P57" s="2255" t="s">
        <v>2394</v>
      </c>
      <c r="Q57" s="2256">
        <f ca="1">C40+J29</f>
        <v>146040</v>
      </c>
      <c r="R57" s="2255" t="s">
        <v>2365</v>
      </c>
    </row>
    <row r="58" spans="1:18" s="1943" customFormat="1" ht="28.5" customHeight="1" thickBot="1">
      <c r="A58" s="1578" t="s">
        <v>1815</v>
      </c>
      <c r="B58" s="774" t="s">
        <v>650</v>
      </c>
      <c r="C58" s="3020">
        <f ca="1">ROUND(IF(AND(项目基本情况!B11="自然人",项目基本情况!B10="北京市"),C48*F58/(1+'数据-取费表'!C42),C59+C60+C61),0)</f>
        <v>1</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1.1000000000000001</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7308.0099999999993</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597.20000000000005</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146040</v>
      </c>
      <c r="R63" s="2259" t="s">
        <v>2377</v>
      </c>
    </row>
    <row r="64" spans="1:18" s="1943" customFormat="1" ht="16.5" thickBot="1">
      <c r="A64" s="1578" t="s">
        <v>1881</v>
      </c>
      <c r="B64" s="774" t="s">
        <v>673</v>
      </c>
      <c r="C64" s="53">
        <f ca="1">ROUND(C55*F64,1)</f>
        <v>79.599999999999994</v>
      </c>
      <c r="D64" s="2482" t="s">
        <v>674</v>
      </c>
      <c r="E64" s="774" t="s">
        <v>1738</v>
      </c>
      <c r="F64" s="807">
        <f t="shared" ca="1" si="0"/>
        <v>2E-3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-678</v>
      </c>
      <c r="D66" s="2481" t="s">
        <v>694</v>
      </c>
      <c r="E66" s="2480"/>
      <c r="F66" s="809"/>
      <c r="K66" s="1969"/>
      <c r="O66" s="2254" t="s">
        <v>2364</v>
      </c>
      <c r="P66" s="2255" t="s">
        <v>2394</v>
      </c>
      <c r="Q66" s="2256">
        <f ca="1">C40+J29</f>
        <v>146040</v>
      </c>
      <c r="R66" s="2255" t="s">
        <v>2365</v>
      </c>
    </row>
    <row r="67" spans="1:18" s="1943" customFormat="1" ht="20.25" thickBot="1">
      <c r="A67" s="771" t="s">
        <v>1771</v>
      </c>
      <c r="B67" s="2113" t="s">
        <v>2289</v>
      </c>
      <c r="C67" s="773">
        <f ca="1">ROUND(C66*(1-((1+F69)/(1+F67))^F68)/(F67-F69),0)</f>
        <v>-8731</v>
      </c>
      <c r="D67" s="803" t="s">
        <v>698</v>
      </c>
      <c r="E67" s="774" t="s">
        <v>699</v>
      </c>
      <c r="F67" s="784">
        <f ca="1">F40</f>
        <v>6.5000000000000002E-2</v>
      </c>
      <c r="K67" s="1969"/>
      <c r="O67" s="2254" t="s">
        <v>2366</v>
      </c>
      <c r="P67" s="2255" t="s">
        <v>2397</v>
      </c>
      <c r="Q67" s="2256">
        <f ca="1">L60</f>
        <v>0</v>
      </c>
      <c r="R67" s="2259" t="s">
        <v>2399</v>
      </c>
    </row>
    <row r="68" spans="1:18" ht="21.75" thickBot="1">
      <c r="A68" s="776"/>
      <c r="B68" s="777"/>
      <c r="C68" s="778"/>
      <c r="D68" s="810" t="s">
        <v>1799</v>
      </c>
      <c r="E68" s="774" t="s">
        <v>1775</v>
      </c>
      <c r="F68" s="811">
        <f ca="1">F41</f>
        <v>28.81</v>
      </c>
      <c r="O68" s="2257" t="s">
        <v>2368</v>
      </c>
      <c r="P68" s="2255" t="s">
        <v>2398</v>
      </c>
      <c r="Q68" s="2261">
        <f ca="1">L51</f>
        <v>111364</v>
      </c>
      <c r="R68" s="2262" t="s">
        <v>2401</v>
      </c>
    </row>
    <row r="69" spans="1:18" ht="20.25" thickBot="1">
      <c r="A69" s="780"/>
      <c r="B69" s="781"/>
      <c r="C69" s="782"/>
      <c r="D69" s="805"/>
      <c r="E69" s="774" t="s">
        <v>704</v>
      </c>
      <c r="F69" s="2227"/>
      <c r="O69" s="2257" t="s">
        <v>2369</v>
      </c>
      <c r="P69" s="2263" t="s">
        <v>2383</v>
      </c>
      <c r="Q69" s="2256">
        <f ca="1">ROUND(Q70-Q71*Q72,0)</f>
        <v>6355</v>
      </c>
      <c r="R69" s="2259"/>
    </row>
    <row r="70" spans="1:18" ht="15.75" thickBot="1">
      <c r="A70" s="812" t="s">
        <v>1778</v>
      </c>
      <c r="B70" s="813" t="s">
        <v>1801</v>
      </c>
      <c r="C70" s="814">
        <f ca="1">ROUND(C67*10000/F70,0)</f>
        <v>-1346</v>
      </c>
      <c r="D70" s="815" t="s">
        <v>1802</v>
      </c>
      <c r="E70" s="816" t="s">
        <v>1803</v>
      </c>
      <c r="F70" s="817">
        <f ca="1">F43</f>
        <v>64883.439999999995</v>
      </c>
      <c r="O70" s="2257" t="s">
        <v>2384</v>
      </c>
      <c r="P70" s="2263" t="s">
        <v>2385</v>
      </c>
      <c r="Q70" s="2256">
        <f ca="1">C39</f>
        <v>9739</v>
      </c>
      <c r="R70" s="2255" t="s">
        <v>2365</v>
      </c>
    </row>
    <row r="71" spans="1:18" ht="15.75" thickBot="1">
      <c r="O71" s="2257" t="s">
        <v>2386</v>
      </c>
      <c r="P71" s="2263" t="s">
        <v>2387</v>
      </c>
      <c r="Q71" s="2256">
        <f ca="1">C13</f>
        <v>39813</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146040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B1" zoomScale="70" zoomScaleNormal="60" zoomScaleSheetLayoutView="70" workbookViewId="0">
      <selection activeCell="K33" sqref="K33"/>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35</v>
      </c>
      <c r="D1" s="2799" t="s">
        <v>3022</v>
      </c>
      <c r="E1" s="2243" t="s">
        <v>2359</v>
      </c>
      <c r="F1" s="2244">
        <f ca="1">J53</f>
        <v>38.81</v>
      </c>
      <c r="G1" s="3260">
        <f>MATCH(C1,'数据-取费表'!A6:A16,0)+5</f>
        <v>8</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2599</v>
      </c>
      <c r="C2" s="3265"/>
      <c r="D2" s="3266"/>
      <c r="E2" s="3267"/>
      <c r="F2" s="3267"/>
      <c r="G2" s="3261"/>
      <c r="H2" s="1941"/>
      <c r="I2" s="1941"/>
      <c r="J2" s="1941"/>
      <c r="K2" s="1942"/>
      <c r="L2" s="1941"/>
      <c r="M2" s="1941"/>
    </row>
    <row r="3" spans="1:33" ht="18" customHeight="1" thickBot="1">
      <c r="A3" s="822" t="s">
        <v>1718</v>
      </c>
      <c r="B3" s="823">
        <f ca="1">IF(ISERROR(B2*10000/F43),0,ROUND(B2*10000/F43,0))</f>
        <v>1072</v>
      </c>
      <c r="C3" s="3265"/>
      <c r="D3" s="3266"/>
      <c r="E3" s="3267"/>
      <c r="F3" s="3267"/>
      <c r="G3" s="3261"/>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1720</v>
      </c>
      <c r="J4" s="768" t="s">
        <v>1725</v>
      </c>
      <c r="K4" s="768" t="s">
        <v>1726</v>
      </c>
      <c r="L4" s="769" t="s">
        <v>1727</v>
      </c>
      <c r="M4" s="770"/>
    </row>
    <row r="5" spans="1:33" ht="18" customHeight="1">
      <c r="A5" s="771">
        <v>1</v>
      </c>
      <c r="B5" s="772" t="s">
        <v>2440</v>
      </c>
      <c r="C5" s="55">
        <f ca="1">C6+C10+C12</f>
        <v>399</v>
      </c>
      <c r="D5" s="2350" t="s">
        <v>2443</v>
      </c>
      <c r="E5" s="2344"/>
      <c r="F5" s="2345"/>
      <c r="G5" s="1946"/>
      <c r="H5" s="771">
        <v>1</v>
      </c>
      <c r="I5" s="772" t="s">
        <v>2440</v>
      </c>
      <c r="J5" s="55">
        <f ca="1">J6+J10+J12</f>
        <v>0</v>
      </c>
      <c r="K5" s="2350" t="s">
        <v>2443</v>
      </c>
      <c r="L5" s="2344"/>
      <c r="M5" s="2345"/>
    </row>
    <row r="6" spans="1:33" ht="18" customHeight="1">
      <c r="A6" s="1746" t="s">
        <v>1815</v>
      </c>
      <c r="B6" s="3570" t="s">
        <v>2445</v>
      </c>
      <c r="C6" s="773">
        <f ca="1">ROUND(F6*F8*F7*(1-F9)/10000,0)</f>
        <v>399</v>
      </c>
      <c r="D6" s="2351" t="s">
        <v>2444</v>
      </c>
      <c r="E6" s="774" t="s">
        <v>1729</v>
      </c>
      <c r="F6" s="775">
        <f ca="1">INDIRECT("'数据-取费表'!u"&amp;$G$1)</f>
        <v>600</v>
      </c>
      <c r="G6" s="1946"/>
      <c r="H6" s="2358" t="s">
        <v>1815</v>
      </c>
      <c r="I6" s="3570" t="s">
        <v>2445</v>
      </c>
      <c r="J6" s="773">
        <f ca="1">ROUND(M6*M8*M7*(1-M9)/10000,0)</f>
        <v>0</v>
      </c>
      <c r="K6" s="339" t="s">
        <v>1728</v>
      </c>
      <c r="L6" s="774" t="s">
        <v>1729</v>
      </c>
      <c r="M6" s="775">
        <f ca="1">INDIRECT("'数据-取费表'!z"&amp;$G$1)</f>
        <v>0</v>
      </c>
    </row>
    <row r="7" spans="1:33" ht="18" customHeight="1">
      <c r="A7" s="2354"/>
      <c r="B7" s="3571"/>
      <c r="C7" s="778"/>
      <c r="D7" s="779"/>
      <c r="E7" s="774" t="s">
        <v>1730</v>
      </c>
      <c r="F7" s="775">
        <f ca="1">IF(INDIRECT("'数据-取费表'!ah"&amp;$G$1)="",INDIRECT("'数据-取费表'!k"&amp;$G$1),INDIRECT("'数据-取费表'!ah"&amp;$G$1))</f>
        <v>693</v>
      </c>
      <c r="G7" s="1946"/>
      <c r="H7" s="2343"/>
      <c r="I7" s="3571"/>
      <c r="J7" s="778"/>
      <c r="K7" s="779"/>
      <c r="L7" s="774" t="s">
        <v>1730</v>
      </c>
      <c r="M7" s="775">
        <f ca="1">F7</f>
        <v>693</v>
      </c>
    </row>
    <row r="8" spans="1:33" ht="18" customHeight="1">
      <c r="A8" s="2347"/>
      <c r="B8" s="3572"/>
      <c r="C8" s="778"/>
      <c r="D8" s="779"/>
      <c r="E8" s="774" t="s">
        <v>1731</v>
      </c>
      <c r="F8" s="775">
        <f ca="1">INDIRECT("'数据-取费表'!ai"&amp;$G$1)</f>
        <v>12</v>
      </c>
      <c r="G8" s="1946"/>
      <c r="H8" s="2343"/>
      <c r="I8" s="3572"/>
      <c r="J8" s="778"/>
      <c r="K8" s="779"/>
      <c r="L8" s="774" t="s">
        <v>1731</v>
      </c>
      <c r="M8" s="775">
        <f ca="1">INDIRECT("'数据-取费表'!ai"&amp;$G$1)</f>
        <v>12</v>
      </c>
    </row>
    <row r="9" spans="1:33" ht="18" customHeight="1">
      <c r="A9" s="776"/>
      <c r="B9" s="3573"/>
      <c r="C9" s="778"/>
      <c r="D9" s="779"/>
      <c r="E9" s="774" t="s">
        <v>1732</v>
      </c>
      <c r="F9" s="784">
        <f ca="1">INDIRECT("'数据-取费表'!w"&amp;$G$1)</f>
        <v>0.2</v>
      </c>
      <c r="G9" s="1946"/>
      <c r="H9" s="2359"/>
      <c r="I9" s="3572"/>
      <c r="J9" s="778"/>
      <c r="K9" s="779"/>
      <c r="L9" s="785" t="s">
        <v>1732</v>
      </c>
      <c r="M9" s="786">
        <f ca="1">INDIRECT("'数据-取费表'!ab"&amp;$G$1)</f>
        <v>0</v>
      </c>
    </row>
    <row r="10" spans="1:33" ht="18" customHeight="1">
      <c r="A10" s="1746" t="s">
        <v>1816</v>
      </c>
      <c r="B10" s="2348" t="s">
        <v>2441</v>
      </c>
      <c r="C10" s="789">
        <f ca="1">ROUND(IF(F10="押一",C6/12*F11,IF(F10="押二",C6/12*2*F11,IF(F10="押三",C6/12*3*F11,C11*F11))),0)</f>
        <v>0</v>
      </c>
      <c r="D10" s="2355" t="s">
        <v>2939</v>
      </c>
      <c r="E10" s="2352" t="s">
        <v>2446</v>
      </c>
      <c r="F10" s="2466"/>
      <c r="G10" s="1946"/>
      <c r="H10" s="2415" t="s">
        <v>1816</v>
      </c>
      <c r="I10" s="2420" t="s">
        <v>2441</v>
      </c>
      <c r="J10" s="773">
        <f ca="1">ROUND(IF(M10="押一",J6/12*M11,IF(M10="押二",J6/12*2*M11,IF(M10="押三",J6/12*3*M11,J11*M11))),0)</f>
        <v>0</v>
      </c>
      <c r="K10" s="2355" t="s">
        <v>2939</v>
      </c>
      <c r="L10" s="2352" t="s">
        <v>2446</v>
      </c>
      <c r="M10" s="2466"/>
    </row>
    <row r="11" spans="1:33" ht="18" customHeight="1">
      <c r="A11" s="780"/>
      <c r="B11" s="2349" t="s">
        <v>2555</v>
      </c>
      <c r="C11" s="2353"/>
      <c r="D11" s="779"/>
      <c r="E11" s="2352" t="s">
        <v>2438</v>
      </c>
      <c r="F11" s="786">
        <f ca="1">'数据-取费表'!B39</f>
        <v>1.4999999999999999E-2</v>
      </c>
      <c r="G11" s="1946"/>
      <c r="H11" s="2416"/>
      <c r="I11" s="2349" t="s">
        <v>2555</v>
      </c>
      <c r="J11" s="2353"/>
      <c r="K11" s="2417"/>
      <c r="L11" s="2352" t="s">
        <v>2438</v>
      </c>
      <c r="M11" s="2346">
        <f ca="1">'数据-取费表'!B39</f>
        <v>1.4999999999999999E-2</v>
      </c>
    </row>
    <row r="12" spans="1:33" ht="18" customHeight="1" thickBot="1">
      <c r="A12" s="2391" t="s">
        <v>2449</v>
      </c>
      <c r="B12" s="2392" t="s">
        <v>2442</v>
      </c>
      <c r="C12" s="2393"/>
      <c r="D12" s="2394"/>
      <c r="E12" s="2395"/>
      <c r="F12" s="2396"/>
      <c r="G12" s="1946"/>
      <c r="H12" s="2405" t="s">
        <v>2449</v>
      </c>
      <c r="I12" s="2418" t="s">
        <v>2442</v>
      </c>
      <c r="J12" s="2419"/>
      <c r="K12" s="2394"/>
      <c r="L12" s="2395"/>
      <c r="M12" s="2408"/>
    </row>
    <row r="13" spans="1:33" ht="18" customHeight="1" thickTop="1">
      <c r="A13" s="1745">
        <v>2</v>
      </c>
      <c r="B13" s="1743" t="s">
        <v>1733</v>
      </c>
      <c r="C13" s="782">
        <f ca="1">ROUND(C29*F13,0)</f>
        <v>10498</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1822</v>
      </c>
      <c r="B14" s="774" t="s">
        <v>639</v>
      </c>
      <c r="C14" s="794">
        <f ca="1">INDIRECT("'数据-取费表'!m"&amp;$G$1)+INDIRECT("'数据-取费表'!t"&amp;$G$1)</f>
        <v>7630</v>
      </c>
      <c r="D14" s="3280" t="s">
        <v>1736</v>
      </c>
      <c r="E14" s="3281"/>
      <c r="F14" s="795"/>
      <c r="G14" s="1946"/>
      <c r="H14" s="1578" t="s">
        <v>1815</v>
      </c>
      <c r="I14" s="2112" t="s">
        <v>2805</v>
      </c>
      <c r="J14" s="53">
        <f ca="1">C29</f>
        <v>10498</v>
      </c>
      <c r="K14" s="26"/>
      <c r="L14" s="791"/>
      <c r="M14" s="792"/>
    </row>
    <row r="15" spans="1:33" s="1948" customFormat="1" ht="18" customHeight="1" thickBot="1">
      <c r="A15" s="1577" t="s">
        <v>1823</v>
      </c>
      <c r="B15" s="774" t="s">
        <v>641</v>
      </c>
      <c r="C15" s="53">
        <f ca="1">ROUND(C14*F15,0)</f>
        <v>229</v>
      </c>
      <c r="D15" s="796" t="s">
        <v>1737</v>
      </c>
      <c r="E15" s="796" t="s">
        <v>1738</v>
      </c>
      <c r="F15" s="797">
        <f>'数据-取费表'!B33</f>
        <v>0.03</v>
      </c>
      <c r="G15" s="3262"/>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1824</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1039</v>
      </c>
      <c r="K16" s="1737" t="s">
        <v>1741</v>
      </c>
      <c r="L16" s="3282"/>
      <c r="M16" s="2345"/>
    </row>
    <row r="17" spans="1:33" s="1948" customFormat="1" ht="18" customHeight="1">
      <c r="A17" s="1577" t="s">
        <v>1878</v>
      </c>
      <c r="B17" s="774" t="s">
        <v>647</v>
      </c>
      <c r="C17" s="53">
        <f ca="1">ROUND(F17*(F43+INDIRECT("'数据-取费表'!S"&amp;$G$1))/10000,0)</f>
        <v>513</v>
      </c>
      <c r="D17" s="774" t="s">
        <v>1742</v>
      </c>
      <c r="E17" s="774" t="s">
        <v>1743</v>
      </c>
      <c r="F17" s="56">
        <f>'数据-取费表'!B35</f>
        <v>200</v>
      </c>
      <c r="G17" s="3262"/>
      <c r="H17" s="1578" t="s">
        <v>1815</v>
      </c>
      <c r="I17" s="774" t="s">
        <v>650</v>
      </c>
      <c r="J17" s="3020">
        <f ca="1">ROUND(IF(AND(项目基本情况!B11="自然人",项目基本情况!B10="北京市"),J6*M17/(1+'数据-取费表'!C42),J18+J19+J20),0)</f>
        <v>882</v>
      </c>
      <c r="K17" s="3280" t="s">
        <v>1744</v>
      </c>
      <c r="L17" s="3279"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114</v>
      </c>
      <c r="D18" s="774" t="s">
        <v>1737</v>
      </c>
      <c r="E18" s="774" t="s">
        <v>1738</v>
      </c>
      <c r="F18" s="799">
        <f>'数据-取费表'!B36</f>
        <v>1.4999999999999999E-2</v>
      </c>
      <c r="G18" s="3262"/>
      <c r="H18" s="1577" t="s">
        <v>1822</v>
      </c>
      <c r="I18" s="774" t="s">
        <v>1746</v>
      </c>
      <c r="J18" s="53">
        <f ca="1">ROUND(J6*M18/(1+'数据-取费表'!C42),1)</f>
        <v>0</v>
      </c>
      <c r="K18" s="3279"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1815</v>
      </c>
      <c r="B19" s="774" t="s">
        <v>656</v>
      </c>
      <c r="C19" s="53">
        <f ca="1">SUM(C14:C18)</f>
        <v>8486</v>
      </c>
      <c r="D19" s="259" t="s">
        <v>1748</v>
      </c>
      <c r="E19" s="3284"/>
      <c r="F19" s="56"/>
      <c r="G19" s="1946"/>
      <c r="H19" s="1577" t="s">
        <v>1823</v>
      </c>
      <c r="I19" s="774" t="s">
        <v>1749</v>
      </c>
      <c r="J19" s="53">
        <f ca="1">IF(K19="按租金收入计税",ROUND(J6*M19/(1+'数据-取费表'!C42),1),ROUND(C29*F33*0.7,1))</f>
        <v>881.8</v>
      </c>
      <c r="K19" s="800" t="s">
        <v>659</v>
      </c>
      <c r="L19" s="774" t="s">
        <v>1738</v>
      </c>
      <c r="M19" s="799">
        <f>IF(K19="按租金收入计税",'数据-取费表'!B51,'数据-取费表'!B50)</f>
        <v>1.2E-2</v>
      </c>
    </row>
    <row r="20" spans="1:33" s="1948" customFormat="1" ht="18" customHeight="1">
      <c r="A20" s="1578" t="s">
        <v>1880</v>
      </c>
      <c r="B20" s="774" t="s">
        <v>660</v>
      </c>
      <c r="C20" s="53">
        <f ca="1">ROUND(C19*F20,0)</f>
        <v>170</v>
      </c>
      <c r="D20" s="801" t="s">
        <v>1750</v>
      </c>
      <c r="E20" s="774" t="s">
        <v>1738</v>
      </c>
      <c r="F20" s="799">
        <f>'数据-取费表'!B37</f>
        <v>0.02</v>
      </c>
      <c r="G20" s="3262"/>
      <c r="H20" s="1580" t="s">
        <v>1824</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2"/>
      <c r="H21" s="2360"/>
      <c r="I21" s="783"/>
      <c r="J21" s="69"/>
      <c r="K21" s="805"/>
      <c r="L21" s="774" t="s">
        <v>1757</v>
      </c>
      <c r="M21" s="775">
        <f ca="1">INDIRECT("'数据-取费表'!r"&amp;$G$1)</f>
        <v>2731.64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3284"/>
      <c r="F22" s="56"/>
      <c r="G22" s="1946"/>
      <c r="H22" s="1578" t="s">
        <v>1880</v>
      </c>
      <c r="I22" s="774" t="s">
        <v>1759</v>
      </c>
      <c r="J22" s="53">
        <f ca="1">ROUND(J14*M22,0)</f>
        <v>157</v>
      </c>
      <c r="K22" s="3279" t="s">
        <v>1760</v>
      </c>
      <c r="L22" s="774" t="s">
        <v>1738</v>
      </c>
      <c r="M22" s="806">
        <f ca="1">INDIRECT("'数据-取费表'!Ak"&amp;$G$1)</f>
        <v>1.4999999999999999E-2</v>
      </c>
    </row>
    <row r="23" spans="1:33" s="1948" customFormat="1" ht="18" customHeight="1">
      <c r="A23" s="1577" t="s">
        <v>1822</v>
      </c>
      <c r="B23" s="774" t="s">
        <v>2421</v>
      </c>
      <c r="C23" s="53">
        <f ca="1">ROUND(IF('数据-取费表'!B22&lt;=1,(C19+C20)*F24*F23/2,(C19+C20)*(POWER((1+F24),F23/2)-1)),0)</f>
        <v>624</v>
      </c>
      <c r="D23" s="2424" t="str">
        <f>IF(F23&lt;=1,"(建造成本+管理费用)×利率×(建设周期÷2)","(建造成本+管理费用)×((1+利率)^(建设周期÷2)-1)")</f>
        <v>(建造成本+管理费用)×((1+利率)^(建设周期÷2)-1)</v>
      </c>
      <c r="E23" s="774" t="s">
        <v>1761</v>
      </c>
      <c r="F23" s="632">
        <f>'数据-取费表'!B20</f>
        <v>3</v>
      </c>
      <c r="G23" s="3262"/>
      <c r="H23" s="1578" t="s">
        <v>1881</v>
      </c>
      <c r="I23" s="774" t="s">
        <v>673</v>
      </c>
      <c r="J23" s="53">
        <f ca="1">ROUND(J13*M23,0)</f>
        <v>0</v>
      </c>
      <c r="K23" s="3279"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1.4E-3</v>
      </c>
      <c r="D24" s="2424" t="str">
        <f>IF(F23&lt;=1,"销售费用×利率×(建设周期÷2)","销售费用×((1+利率)^(建设周期÷2)-1)")</f>
        <v>销售费用×((1+利率)^(建设周期÷2)-1)</v>
      </c>
      <c r="E24" s="774" t="s">
        <v>1764</v>
      </c>
      <c r="F24" s="808">
        <f ca="1">'数据-取费表'!B40</f>
        <v>4.7500000000000001E-2</v>
      </c>
      <c r="G24" s="3262"/>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3284"/>
      <c r="F25" s="56"/>
      <c r="G25" s="1946"/>
      <c r="H25" s="1745" t="s">
        <v>1767</v>
      </c>
      <c r="I25" s="2724" t="s">
        <v>2802</v>
      </c>
      <c r="J25" s="782">
        <f ca="1">J5-J16</f>
        <v>-1039</v>
      </c>
      <c r="K25" s="2402" t="s">
        <v>1768</v>
      </c>
      <c r="L25" s="2403"/>
      <c r="M25" s="2404"/>
    </row>
    <row r="26" spans="1:33" ht="18" customHeight="1">
      <c r="A26" s="1577" t="s">
        <v>1822</v>
      </c>
      <c r="B26" s="774" t="s">
        <v>2422</v>
      </c>
      <c r="C26" s="53">
        <f ca="1">ROUND((C19+C20)*F26,0)</f>
        <v>433</v>
      </c>
      <c r="D26" s="801" t="s">
        <v>1769</v>
      </c>
      <c r="E26" s="785" t="s">
        <v>1770</v>
      </c>
      <c r="F26" s="784">
        <f ca="1">INDIRECT("'数据-取费表'!q"&amp;$G$1)</f>
        <v>0.05</v>
      </c>
      <c r="G26" s="1946"/>
      <c r="H26" s="2356" t="s">
        <v>1771</v>
      </c>
      <c r="I26" s="2113" t="s">
        <v>2807</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1738</v>
      </c>
      <c r="F28" s="799">
        <f>'数据-取费表'!B41</f>
        <v>5.5000000000000007E-2</v>
      </c>
      <c r="G28" s="3262"/>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10498</v>
      </c>
      <c r="D29" s="2399"/>
      <c r="E29" s="2400"/>
      <c r="F29" s="2401"/>
      <c r="G29" s="3262"/>
      <c r="H29" s="812" t="s">
        <v>1778</v>
      </c>
      <c r="I29" s="813" t="s">
        <v>1779</v>
      </c>
      <c r="J29" s="814">
        <f ca="1">ROUND(J26/(1+F40)^F41,0)</f>
        <v>0</v>
      </c>
      <c r="K29" s="815" t="s">
        <v>1780</v>
      </c>
      <c r="L29" s="816"/>
      <c r="M29" s="817">
        <f ca="1">INDIRECT("'数据-取费表'!k"&amp;$G$1)</f>
        <v>24252.63</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1739</v>
      </c>
      <c r="B30" s="1743" t="s">
        <v>1740</v>
      </c>
      <c r="C30" s="782">
        <f ca="1">ROUND(C31+C36+C37+C38,0)</f>
        <v>246</v>
      </c>
      <c r="D30" s="1737" t="s">
        <v>1782</v>
      </c>
      <c r="E30" s="3282"/>
      <c r="F30" s="2345"/>
      <c r="G30" s="1946"/>
      <c r="H30" s="1949"/>
      <c r="I30" s="1950"/>
      <c r="J30" s="1951"/>
      <c r="K30" s="1952"/>
      <c r="L30" s="1953"/>
      <c r="M30" s="1954"/>
    </row>
    <row r="31" spans="1:33" ht="18" customHeight="1">
      <c r="A31" s="1578" t="s">
        <v>1815</v>
      </c>
      <c r="B31" s="774" t="s">
        <v>650</v>
      </c>
      <c r="C31" s="3020">
        <f ca="1">ROUND(IF(AND(项目基本情况!B11="自然人",项目基本情况!B10="北京市"),C6*F31/(1+'数据-取费表'!C42),C32+C33+C34),0)</f>
        <v>67</v>
      </c>
      <c r="D31" s="3280" t="s">
        <v>1744</v>
      </c>
      <c r="E31" s="3279" t="s">
        <v>1784</v>
      </c>
      <c r="F31" s="3019" t="str">
        <f>IF(项目基本情况!B11="企业","——",IF('数据-取费表'!B10="住宅",IF(F6*F7*F8/12/(1+'数据-取费表'!F30)&gt;100000,4%,2.5%),IF(F6*F7*F8/12/(1+'数据-取费表'!F30)&gt;100000,12%,7%)))</f>
        <v>——</v>
      </c>
      <c r="G31" s="1946"/>
      <c r="H31" s="3259" t="s">
        <v>2997</v>
      </c>
      <c r="I31" s="1950"/>
      <c r="J31" s="1951"/>
      <c r="K31" s="1952"/>
      <c r="L31" s="1953"/>
      <c r="M31" s="1954"/>
    </row>
    <row r="32" spans="1:33" ht="18" customHeight="1">
      <c r="A32" s="1577" t="s">
        <v>1822</v>
      </c>
      <c r="B32" s="774" t="s">
        <v>1746</v>
      </c>
      <c r="C32" s="53">
        <f ca="1">ROUND(C6*F32/(1+'数据-取费表'!C42),1)</f>
        <v>20.9</v>
      </c>
      <c r="D32" s="3279" t="s">
        <v>1786</v>
      </c>
      <c r="E32" s="774" t="s">
        <v>1738</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45.6</v>
      </c>
      <c r="D33" s="800" t="s">
        <v>3023</v>
      </c>
      <c r="E33" s="774" t="s">
        <v>1738</v>
      </c>
      <c r="F33" s="799">
        <f>IF(D33="按租金收入计税",'数据-取费表'!B51,'数据-取费表'!B50)</f>
        <v>0.12</v>
      </c>
      <c r="G33" s="1946"/>
      <c r="H33" s="1961"/>
      <c r="I33" s="1961"/>
      <c r="J33" s="1961"/>
      <c r="K33" s="1962"/>
      <c r="L33" s="1961"/>
      <c r="M33" s="1961"/>
    </row>
    <row r="34" spans="1:18" ht="18" customHeight="1">
      <c r="A34" s="1580" t="s">
        <v>1824</v>
      </c>
      <c r="B34" s="339" t="s">
        <v>1751</v>
      </c>
      <c r="C34" s="54">
        <f ca="1">ROUND(F34*F35/10000,1)</f>
        <v>0.4</v>
      </c>
      <c r="D34" s="803" t="s">
        <v>1752</v>
      </c>
      <c r="E34" s="774" t="s">
        <v>1753</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2731.64</v>
      </c>
      <c r="G35" s="1946"/>
      <c r="H35" s="1949"/>
      <c r="I35" s="826" t="s">
        <v>1805</v>
      </c>
      <c r="J35" s="827">
        <f ca="1">ROUND(C13*J36,0)</f>
        <v>892</v>
      </c>
      <c r="K35" s="1962"/>
      <c r="L35" s="1961"/>
      <c r="M35" s="1961"/>
    </row>
    <row r="36" spans="1:18" ht="18" customHeight="1">
      <c r="A36" s="1578" t="s">
        <v>1880</v>
      </c>
      <c r="B36" s="774" t="s">
        <v>1793</v>
      </c>
      <c r="C36" s="53">
        <f ca="1">ROUND(C29*F36,1)</f>
        <v>157.5</v>
      </c>
      <c r="D36" s="3279" t="s">
        <v>1794</v>
      </c>
      <c r="E36" s="774" t="s">
        <v>1738</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15.7</v>
      </c>
      <c r="D37" s="3279" t="s">
        <v>1795</v>
      </c>
      <c r="E37" s="774" t="s">
        <v>1738</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6</v>
      </c>
      <c r="D38" s="2399" t="s">
        <v>1765</v>
      </c>
      <c r="E38" s="2400" t="s">
        <v>1738</v>
      </c>
      <c r="F38" s="2396">
        <f ca="1">INDIRECT("'数据-取费表'!Am"&amp;$G$1)</f>
        <v>1.4999999999999999E-2</v>
      </c>
      <c r="G38" s="1946"/>
      <c r="H38" s="1961"/>
      <c r="I38" s="832" t="s">
        <v>1808</v>
      </c>
      <c r="J38" s="833"/>
      <c r="K38" s="1966"/>
      <c r="L38" s="1961"/>
      <c r="M38" s="1961"/>
    </row>
    <row r="39" spans="1:18" ht="24.6" customHeight="1" thickTop="1">
      <c r="A39" s="1745" t="s">
        <v>1767</v>
      </c>
      <c r="B39" s="2724" t="s">
        <v>2802</v>
      </c>
      <c r="C39" s="782">
        <f ca="1">C5-C30</f>
        <v>153</v>
      </c>
      <c r="D39" s="2402" t="s">
        <v>1768</v>
      </c>
      <c r="E39" s="2403"/>
      <c r="F39" s="2404"/>
      <c r="G39" s="1946"/>
      <c r="H39" s="1961"/>
      <c r="I39" s="826" t="s">
        <v>1809</v>
      </c>
      <c r="J39" s="834">
        <f ca="1">ROUND(J35/C39,3)</f>
        <v>5.83</v>
      </c>
      <c r="K39" s="1966"/>
      <c r="L39" s="1961"/>
      <c r="M39" s="1961"/>
    </row>
    <row r="40" spans="1:18" ht="18" customHeight="1">
      <c r="A40" s="771" t="s">
        <v>1886</v>
      </c>
      <c r="B40" s="2113" t="s">
        <v>2289</v>
      </c>
      <c r="C40" s="773">
        <f ca="1">ROUND(C39*(1-((1+F42)/(1+F40))^F41)/(F40-F42),0)</f>
        <v>2599</v>
      </c>
      <c r="D40" s="803" t="s">
        <v>1772</v>
      </c>
      <c r="E40" s="774" t="s">
        <v>2404</v>
      </c>
      <c r="F40" s="784">
        <f ca="1">INDIRECT("'数据-取费表'!I"&amp;$G$1)</f>
        <v>0.05</v>
      </c>
      <c r="G40" s="1946"/>
      <c r="H40" s="1946"/>
      <c r="I40" s="826" t="s">
        <v>1810</v>
      </c>
      <c r="J40" s="834">
        <f ca="1">1-J39</f>
        <v>-4.83</v>
      </c>
      <c r="K40" s="1966"/>
      <c r="L40" s="1946"/>
      <c r="M40" s="1946"/>
    </row>
    <row r="41" spans="1:18" ht="18" customHeight="1">
      <c r="A41" s="776"/>
      <c r="B41" s="777"/>
      <c r="C41" s="778"/>
      <c r="D41" s="810" t="s">
        <v>1799</v>
      </c>
      <c r="E41" s="774" t="s">
        <v>2930</v>
      </c>
      <c r="F41" s="811">
        <f ca="1">IF(INDIRECT("'数据-取费表'!af"&amp;$G$1)=0,INDIRECT("'数据-取费表'!ae"&amp;$G$1),INDIRECT("'数据-取费表'!af"&amp;$G$1))</f>
        <v>38.81</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f ca="1">ROUND(C13/C40,3)</f>
        <v>4.0389999999999997</v>
      </c>
      <c r="K42" s="1965"/>
      <c r="L42" s="1901"/>
      <c r="M42" s="1901"/>
    </row>
    <row r="43" spans="1:18" ht="18" customHeight="1" thickBot="1">
      <c r="A43" s="812" t="s">
        <v>1778</v>
      </c>
      <c r="B43" s="813" t="s">
        <v>1801</v>
      </c>
      <c r="C43" s="814">
        <f ca="1">ROUND(C40*10000/F43,0)</f>
        <v>1072</v>
      </c>
      <c r="D43" s="815" t="s">
        <v>1802</v>
      </c>
      <c r="E43" s="816" t="s">
        <v>1803</v>
      </c>
      <c r="F43" s="817">
        <f ca="1">INDIRECT("'数据-取费表'!k"&amp;$G$1)</f>
        <v>24252.63</v>
      </c>
      <c r="G43" s="1946"/>
      <c r="H43" s="1901"/>
      <c r="I43" s="836" t="s">
        <v>1813</v>
      </c>
      <c r="J43" s="837">
        <f ca="1">1-J42</f>
        <v>-3.0389999999999997</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-5538</v>
      </c>
      <c r="D46" s="3263"/>
      <c r="E46" s="3263"/>
      <c r="F46" s="3263"/>
      <c r="I46" s="2234" t="s">
        <v>2328</v>
      </c>
      <c r="J46" s="2235"/>
      <c r="K46" s="2236"/>
      <c r="L46" s="2812">
        <f>IF(OR(M47="住宅",D1="土地（套用方法）"),0,IF(L48&gt;J51,L60,J60))</f>
        <v>0</v>
      </c>
      <c r="M46" s="3264"/>
      <c r="O46" s="2250" t="s">
        <v>2395</v>
      </c>
      <c r="P46" s="1527"/>
      <c r="Q46" s="1535"/>
      <c r="R46" s="1527"/>
    </row>
    <row r="47" spans="1:18" s="1943" customFormat="1" ht="18" customHeight="1" thickBot="1">
      <c r="A47" s="2228">
        <v>1</v>
      </c>
      <c r="B47" s="2229" t="s">
        <v>629</v>
      </c>
      <c r="C47" s="2427">
        <f ca="1">C48+C52+C54</f>
        <v>0</v>
      </c>
      <c r="D47" s="3263"/>
      <c r="E47" s="3263"/>
      <c r="F47" s="3263"/>
      <c r="I47" s="2803" t="s">
        <v>2329</v>
      </c>
      <c r="J47" s="2237" t="s">
        <v>3024</v>
      </c>
      <c r="K47" s="2809" t="s">
        <v>2334</v>
      </c>
      <c r="L47" s="2813">
        <f ca="1">INDIRECT("'数据-取费表'!d"&amp;$G$1)</f>
        <v>50</v>
      </c>
      <c r="M47" s="1535" t="str">
        <f>IF(ISNUMBER(FIND("住宅",C1)),"住宅","非住宅")</f>
        <v>非住宅</v>
      </c>
      <c r="O47" s="2251" t="s">
        <v>2360</v>
      </c>
      <c r="P47" s="2252" t="s">
        <v>2361</v>
      </c>
      <c r="Q47" s="2253" t="s">
        <v>2362</v>
      </c>
      <c r="R47" s="2252" t="s">
        <v>2363</v>
      </c>
    </row>
    <row r="48" spans="1:18" s="1943" customFormat="1" ht="18" customHeight="1" thickBot="1">
      <c r="A48" s="2485" t="s">
        <v>1861</v>
      </c>
      <c r="B48" s="2486" t="s">
        <v>2520</v>
      </c>
      <c r="C48" s="2230">
        <f ca="1">ROUND(F48*F50*F49*(1-F51)/10000,0)</f>
        <v>0</v>
      </c>
      <c r="D48" s="2231" t="s">
        <v>630</v>
      </c>
      <c r="E48" s="2232" t="s">
        <v>2284</v>
      </c>
      <c r="F48" s="2233"/>
      <c r="G48" s="1973"/>
      <c r="I48" s="2800" t="s">
        <v>2330</v>
      </c>
      <c r="J48" s="2238" t="s">
        <v>2335</v>
      </c>
      <c r="K48" s="2810" t="s">
        <v>2336</v>
      </c>
      <c r="L48" s="1823">
        <f ca="1">INDIRECT("'数据-取费表'!f"&amp;$G$1)</f>
        <v>41.81</v>
      </c>
      <c r="M48" s="3264"/>
      <c r="O48" s="2254" t="s">
        <v>2364</v>
      </c>
      <c r="P48" s="2255" t="s">
        <v>2390</v>
      </c>
      <c r="Q48" s="2256">
        <f ca="1">C40+J29</f>
        <v>2599</v>
      </c>
      <c r="R48" s="2255" t="s">
        <v>2365</v>
      </c>
    </row>
    <row r="49" spans="1:18" s="1943" customFormat="1" ht="18" customHeight="1" thickBot="1">
      <c r="A49" s="776"/>
      <c r="B49" s="777"/>
      <c r="C49" s="778"/>
      <c r="D49" s="779"/>
      <c r="E49" s="774" t="s">
        <v>1730</v>
      </c>
      <c r="F49" s="775">
        <f ca="1">F7</f>
        <v>693</v>
      </c>
      <c r="G49" s="1973"/>
      <c r="H49" s="1976"/>
      <c r="I49" s="2800" t="s">
        <v>2331</v>
      </c>
      <c r="J49" s="2239">
        <v>2023</v>
      </c>
      <c r="K49" s="2811" t="s">
        <v>2337</v>
      </c>
      <c r="L49" s="2240"/>
      <c r="M49" s="3264"/>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800" t="s">
        <v>2332</v>
      </c>
      <c r="J50" s="2807">
        <f>SUMPRODUCT((I63:I65=J47)*(J62:L62=J48)*(J63:L65))</f>
        <v>60</v>
      </c>
      <c r="K50" s="2811" t="s">
        <v>2338</v>
      </c>
      <c r="L50" s="2240"/>
      <c r="M50" s="3264"/>
      <c r="O50" s="2257" t="s">
        <v>2368</v>
      </c>
      <c r="P50" s="2255" t="s">
        <v>2392</v>
      </c>
      <c r="Q50" s="2256">
        <f ca="1">C29</f>
        <v>10498</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-15357</v>
      </c>
      <c r="M51" s="3264"/>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2939</v>
      </c>
      <c r="E52" s="2352" t="s">
        <v>2446</v>
      </c>
      <c r="F52" s="2466"/>
      <c r="I52" s="2805" t="s">
        <v>2406</v>
      </c>
      <c r="J52" s="2241">
        <v>0.09</v>
      </c>
      <c r="K52" s="2805" t="s">
        <v>2405</v>
      </c>
      <c r="L52" s="2241"/>
      <c r="M52" s="3264"/>
      <c r="O52" s="2257" t="s">
        <v>2371</v>
      </c>
      <c r="P52" s="2255" t="s">
        <v>2372</v>
      </c>
      <c r="Q52" s="2258">
        <f>J52</f>
        <v>0.09</v>
      </c>
      <c r="R52" s="2259"/>
    </row>
    <row r="53" spans="1:18" s="1943" customFormat="1" ht="39.75" customHeight="1" thickBot="1">
      <c r="A53" s="776"/>
      <c r="B53" s="2349" t="s">
        <v>2555</v>
      </c>
      <c r="C53" s="2353"/>
      <c r="D53" s="2355"/>
      <c r="E53" s="2352"/>
      <c r="F53" s="790"/>
      <c r="I53" s="2806" t="s">
        <v>2943</v>
      </c>
      <c r="J53" s="2859">
        <f ca="1">IF(M47="住宅",IF(D1="——",MAX(J51,L48),MAX(J51,L48-'数据-取费表'!B20)),IF(D1="——",MIN(J51,L48),MIN(J51,L48-'数据-取费表'!B20)))</f>
        <v>38.81</v>
      </c>
      <c r="K53" s="3576" t="s">
        <v>2932</v>
      </c>
      <c r="L53" s="3577"/>
      <c r="M53" s="3264"/>
      <c r="O53" s="2257" t="s">
        <v>2373</v>
      </c>
      <c r="P53" s="2255" t="s">
        <v>2374</v>
      </c>
      <c r="Q53" s="2256">
        <f ca="1">J53</f>
        <v>38.81</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2376</v>
      </c>
      <c r="P54" s="2255" t="s">
        <v>2393</v>
      </c>
      <c r="Q54" s="2256">
        <f ca="1">Q48+Q49</f>
        <v>2599</v>
      </c>
      <c r="R54" s="2259" t="s">
        <v>2377</v>
      </c>
    </row>
    <row r="55" spans="1:18" s="1943" customFormat="1" ht="18" customHeight="1" thickTop="1" thickBot="1">
      <c r="A55" s="787">
        <v>2</v>
      </c>
      <c r="B55" s="788" t="s">
        <v>638</v>
      </c>
      <c r="C55" s="789">
        <f ca="1">C13</f>
        <v>10498</v>
      </c>
      <c r="D55" s="785"/>
      <c r="E55" s="785"/>
      <c r="F55" s="790"/>
      <c r="I55" s="2817" t="s">
        <v>2340</v>
      </c>
      <c r="J55" s="2789" t="e">
        <f ca="1">ROUND(IF(J47="钢混",J57/J50,1-(1-2%)*(J50-J57)/J50),3)</f>
        <v>#VALUE!</v>
      </c>
      <c r="K55" s="2818" t="s">
        <v>2341</v>
      </c>
      <c r="L55" s="2242"/>
      <c r="M55" s="3264"/>
      <c r="O55" s="2260" t="s">
        <v>2396</v>
      </c>
      <c r="P55" s="1527"/>
      <c r="Q55" s="1535"/>
      <c r="R55" s="1527"/>
    </row>
    <row r="56" spans="1:18" s="1943" customFormat="1" ht="42.75" customHeight="1" thickBot="1">
      <c r="A56" s="1579"/>
      <c r="B56" s="2112" t="s">
        <v>2288</v>
      </c>
      <c r="C56" s="53">
        <f ca="1">C29</f>
        <v>10498</v>
      </c>
      <c r="D56" s="3279"/>
      <c r="E56" s="774"/>
      <c r="F56" s="799"/>
      <c r="I56" s="2819" t="s">
        <v>2342</v>
      </c>
      <c r="J56" s="2829" t="s">
        <v>1669</v>
      </c>
      <c r="K56" s="2800" t="s">
        <v>2347</v>
      </c>
      <c r="L56" s="1823" t="str">
        <f ca="1">IF(L48&lt;J51,"——",L48-J51)</f>
        <v>——</v>
      </c>
      <c r="M56" s="3264"/>
      <c r="O56" s="2251" t="s">
        <v>2360</v>
      </c>
      <c r="P56" s="2252" t="s">
        <v>2361</v>
      </c>
      <c r="Q56" s="2253" t="s">
        <v>2362</v>
      </c>
      <c r="R56" s="2252" t="s">
        <v>2363</v>
      </c>
    </row>
    <row r="57" spans="1:18" s="1943" customFormat="1" ht="28.5" customHeight="1" thickBot="1">
      <c r="A57" s="787" t="s">
        <v>1739</v>
      </c>
      <c r="B57" s="788" t="s">
        <v>645</v>
      </c>
      <c r="C57" s="789">
        <f ca="1">ROUND(C58+C63+C64+C65,0)</f>
        <v>173</v>
      </c>
      <c r="D57" s="26" t="s">
        <v>1741</v>
      </c>
      <c r="E57" s="3284"/>
      <c r="F57" s="56"/>
      <c r="I57" s="2820" t="s">
        <v>2343</v>
      </c>
      <c r="J57" s="2821" t="str">
        <f ca="1">IF(OR(M47="住宅",J51&lt;L48,J56="是"),"——",J51-L48)</f>
        <v>——</v>
      </c>
      <c r="K57" s="2800" t="s">
        <v>2348</v>
      </c>
      <c r="L57" s="1823" t="str">
        <f ca="1">IF(L48&lt;J51,"——",IF(L55="比较法",L49,IF(L55="基准地价",L50,L51)))</f>
        <v>——</v>
      </c>
      <c r="M57" s="3264"/>
      <c r="O57" s="2254" t="s">
        <v>2364</v>
      </c>
      <c r="P57" s="2255" t="s">
        <v>2390</v>
      </c>
      <c r="Q57" s="2256">
        <f ca="1">C40+J29</f>
        <v>2599</v>
      </c>
      <c r="R57" s="2255" t="s">
        <v>2365</v>
      </c>
    </row>
    <row r="58" spans="1:18" s="1943" customFormat="1" ht="28.5" customHeight="1" thickBot="1">
      <c r="A58" s="1578" t="s">
        <v>1815</v>
      </c>
      <c r="B58" s="774" t="s">
        <v>650</v>
      </c>
      <c r="C58" s="3020">
        <f ca="1">ROUND(IF(AND(项目基本情况!B11="自然人",项目基本情况!B10="北京市"),C48*F58/(1+'数据-取费表'!C42),C59+C60+C61),0)</f>
        <v>0</v>
      </c>
      <c r="D58" s="3280" t="s">
        <v>651</v>
      </c>
      <c r="E58" s="3279"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4"/>
      <c r="O58" s="2254" t="s">
        <v>2366</v>
      </c>
      <c r="P58" s="2255" t="s">
        <v>2397</v>
      </c>
      <c r="Q58" s="2256">
        <f ca="1">L60</f>
        <v>0</v>
      </c>
      <c r="R58" s="2259" t="s">
        <v>2399</v>
      </c>
    </row>
    <row r="59" spans="1:18" s="1943" customFormat="1" ht="28.5" customHeight="1" thickBot="1">
      <c r="A59" s="1577" t="s">
        <v>1822</v>
      </c>
      <c r="B59" s="774" t="s">
        <v>654</v>
      </c>
      <c r="C59" s="53">
        <f ca="1">ROUND(C47*F59/1.05,1)</f>
        <v>0</v>
      </c>
      <c r="D59" s="3279"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3279"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4"/>
      <c r="O60" s="2257" t="s">
        <v>2369</v>
      </c>
      <c r="P60" s="2255" t="s">
        <v>2378</v>
      </c>
      <c r="Q60" s="2258">
        <f>L52</f>
        <v>0</v>
      </c>
      <c r="R60" s="2259"/>
    </row>
    <row r="61" spans="1:18" s="1943" customFormat="1" ht="18" customHeight="1" thickBot="1">
      <c r="A61" s="1580" t="s">
        <v>1824</v>
      </c>
      <c r="B61" s="339" t="s">
        <v>662</v>
      </c>
      <c r="C61" s="54">
        <f ca="1">ROUND(F61*F62/10000,1)</f>
        <v>0.4</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2731.64</v>
      </c>
      <c r="I62" s="2825" t="s">
        <v>2352</v>
      </c>
      <c r="J62" s="2826" t="s">
        <v>2353</v>
      </c>
      <c r="K62" s="2826" t="s">
        <v>2354</v>
      </c>
      <c r="L62" s="2826" t="s">
        <v>2335</v>
      </c>
      <c r="M62" s="2827" t="s">
        <v>2911</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157.5</v>
      </c>
      <c r="D63" s="3279" t="s">
        <v>1794</v>
      </c>
      <c r="E63" s="774" t="s">
        <v>1738</v>
      </c>
      <c r="F63" s="806">
        <f t="shared" ca="1" si="0"/>
        <v>1.4999999999999999E-2</v>
      </c>
      <c r="I63" s="2825" t="s">
        <v>2355</v>
      </c>
      <c r="J63" s="2826">
        <v>70</v>
      </c>
      <c r="K63" s="2826">
        <v>50</v>
      </c>
      <c r="L63" s="2826">
        <v>80</v>
      </c>
      <c r="M63" s="2828">
        <v>0.02</v>
      </c>
      <c r="O63" s="2254" t="s">
        <v>2376</v>
      </c>
      <c r="P63" s="2255" t="s">
        <v>2393</v>
      </c>
      <c r="Q63" s="2256">
        <f ca="1">Q57+Q58</f>
        <v>2599</v>
      </c>
      <c r="R63" s="2259" t="s">
        <v>2377</v>
      </c>
    </row>
    <row r="64" spans="1:18" s="1943" customFormat="1" ht="16.5" thickBot="1">
      <c r="A64" s="1578" t="s">
        <v>1881</v>
      </c>
      <c r="B64" s="774" t="s">
        <v>673</v>
      </c>
      <c r="C64" s="53">
        <f ca="1">ROUND(C55*F64,1)</f>
        <v>15.7</v>
      </c>
      <c r="D64" s="3279"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3279" t="s">
        <v>677</v>
      </c>
      <c r="E65" s="774" t="s">
        <v>1738</v>
      </c>
      <c r="F65" s="784">
        <f t="shared" ca="1" si="0"/>
        <v>1.4999999999999999E-2</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-173</v>
      </c>
      <c r="D66" s="3280" t="s">
        <v>694</v>
      </c>
      <c r="E66" s="3283"/>
      <c r="F66" s="809"/>
      <c r="K66" s="1969"/>
      <c r="O66" s="2254" t="s">
        <v>2364</v>
      </c>
      <c r="P66" s="2255" t="s">
        <v>2390</v>
      </c>
      <c r="Q66" s="2256">
        <f ca="1">C40+J29</f>
        <v>2599</v>
      </c>
      <c r="R66" s="2255" t="s">
        <v>2365</v>
      </c>
    </row>
    <row r="67" spans="1:18" s="1943" customFormat="1" ht="20.25" thickBot="1">
      <c r="A67" s="771" t="s">
        <v>1771</v>
      </c>
      <c r="B67" s="2113" t="s">
        <v>2289</v>
      </c>
      <c r="C67" s="773">
        <f ca="1">ROUND(C66*(1-((1+F69)/(1+F67))^F68)/(F67-F69),0)</f>
        <v>-2939</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38.81</v>
      </c>
      <c r="O68" s="2257" t="s">
        <v>2368</v>
      </c>
      <c r="P68" s="2255" t="s">
        <v>2398</v>
      </c>
      <c r="Q68" s="2261">
        <f ca="1">L51</f>
        <v>-15357</v>
      </c>
      <c r="R68" s="2262" t="s">
        <v>2401</v>
      </c>
    </row>
    <row r="69" spans="1:18" ht="20.25" thickBot="1">
      <c r="A69" s="780"/>
      <c r="B69" s="781"/>
      <c r="C69" s="782"/>
      <c r="D69" s="805"/>
      <c r="E69" s="774" t="s">
        <v>704</v>
      </c>
      <c r="F69" s="2227"/>
      <c r="O69" s="2257" t="s">
        <v>2369</v>
      </c>
      <c r="P69" s="2263" t="s">
        <v>2383</v>
      </c>
      <c r="Q69" s="2256">
        <f ca="1">ROUND(Q70-Q71*Q72,0)</f>
        <v>-739</v>
      </c>
      <c r="R69" s="2259"/>
    </row>
    <row r="70" spans="1:18" ht="15.75" thickBot="1">
      <c r="A70" s="812" t="s">
        <v>1778</v>
      </c>
      <c r="B70" s="813" t="s">
        <v>1801</v>
      </c>
      <c r="C70" s="814">
        <f ca="1">ROUND(C67*10000/F70,0)</f>
        <v>-1212</v>
      </c>
      <c r="D70" s="815" t="s">
        <v>1802</v>
      </c>
      <c r="E70" s="816" t="s">
        <v>1803</v>
      </c>
      <c r="F70" s="817">
        <f ca="1">F43</f>
        <v>24252.63</v>
      </c>
      <c r="O70" s="2257" t="s">
        <v>2384</v>
      </c>
      <c r="P70" s="2263" t="s">
        <v>2385</v>
      </c>
      <c r="Q70" s="2256">
        <f ca="1">C39</f>
        <v>153</v>
      </c>
      <c r="R70" s="2255" t="s">
        <v>2365</v>
      </c>
    </row>
    <row r="71" spans="1:18" ht="15.75" thickBot="1">
      <c r="O71" s="2257" t="s">
        <v>2386</v>
      </c>
      <c r="P71" s="2263" t="s">
        <v>2387</v>
      </c>
      <c r="Q71" s="2256">
        <f ca="1">C13</f>
        <v>10498</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2599</v>
      </c>
      <c r="R76" s="2259"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8" t="s">
        <v>2453</v>
      </c>
      <c r="B1" s="3579"/>
      <c r="C1" s="3580"/>
      <c r="D1" s="3581">
        <f>SUM(I10,I15,I20,I21,I23)</f>
        <v>0</v>
      </c>
      <c r="E1" s="3581"/>
      <c r="F1" s="3581"/>
      <c r="G1" s="3581"/>
      <c r="H1" s="3581"/>
      <c r="I1" s="3582"/>
    </row>
    <row r="2" spans="1:9">
      <c r="A2" s="3583" t="s">
        <v>2454</v>
      </c>
      <c r="B2" s="3584" t="s">
        <v>2455</v>
      </c>
      <c r="C2" s="3584"/>
      <c r="D2" s="2361" t="s">
        <v>2456</v>
      </c>
      <c r="E2" s="2361" t="s">
        <v>2457</v>
      </c>
      <c r="F2" s="2361" t="s">
        <v>2458</v>
      </c>
      <c r="G2" s="2361" t="s">
        <v>2459</v>
      </c>
      <c r="H2" s="2361" t="s">
        <v>2460</v>
      </c>
      <c r="I2" s="2362" t="s">
        <v>2461</v>
      </c>
    </row>
    <row r="3" spans="1:9">
      <c r="A3" s="3583"/>
      <c r="B3" s="3584" t="s">
        <v>2462</v>
      </c>
      <c r="C3" s="3584"/>
      <c r="D3" s="2363"/>
      <c r="E3" s="2361"/>
      <c r="F3" s="2364"/>
      <c r="G3" s="2364"/>
      <c r="H3" s="2365"/>
      <c r="I3" s="2366">
        <f>ROUND(D3*E3*F3*G3*H3/10000,0)</f>
        <v>0</v>
      </c>
    </row>
    <row r="4" spans="1:9">
      <c r="A4" s="3583"/>
      <c r="B4" s="3584" t="s">
        <v>2463</v>
      </c>
      <c r="C4" s="3584"/>
      <c r="D4" s="2363"/>
      <c r="E4" s="2361"/>
      <c r="F4" s="2364"/>
      <c r="G4" s="2364"/>
      <c r="H4" s="2365"/>
      <c r="I4" s="2366">
        <f t="shared" ref="I4:I9" si="0">ROUND(D4*E4*F4*G4*H4/10000,0)</f>
        <v>0</v>
      </c>
    </row>
    <row r="5" spans="1:9">
      <c r="A5" s="3583"/>
      <c r="B5" s="3584" t="s">
        <v>2464</v>
      </c>
      <c r="C5" s="3584"/>
      <c r="D5" s="2363"/>
      <c r="E5" s="2361"/>
      <c r="F5" s="2364"/>
      <c r="G5" s="2364"/>
      <c r="H5" s="2365"/>
      <c r="I5" s="2366">
        <f t="shared" si="0"/>
        <v>0</v>
      </c>
    </row>
    <row r="6" spans="1:9">
      <c r="A6" s="3583"/>
      <c r="B6" s="3584" t="s">
        <v>2465</v>
      </c>
      <c r="C6" s="3584"/>
      <c r="D6" s="2363"/>
      <c r="E6" s="2361"/>
      <c r="F6" s="2364"/>
      <c r="G6" s="2364"/>
      <c r="H6" s="2365"/>
      <c r="I6" s="2366">
        <f t="shared" si="0"/>
        <v>0</v>
      </c>
    </row>
    <row r="7" spans="1:9">
      <c r="A7" s="3583"/>
      <c r="B7" s="3584" t="s">
        <v>2466</v>
      </c>
      <c r="C7" s="3584"/>
      <c r="D7" s="2363"/>
      <c r="E7" s="2361"/>
      <c r="F7" s="2364"/>
      <c r="G7" s="2364"/>
      <c r="H7" s="2365"/>
      <c r="I7" s="2366">
        <f t="shared" si="0"/>
        <v>0</v>
      </c>
    </row>
    <row r="8" spans="1:9">
      <c r="A8" s="3583"/>
      <c r="B8" s="3584" t="s">
        <v>2467</v>
      </c>
      <c r="C8" s="3584"/>
      <c r="D8" s="2363"/>
      <c r="E8" s="2361"/>
      <c r="F8" s="2364"/>
      <c r="G8" s="2364"/>
      <c r="H8" s="2365"/>
      <c r="I8" s="2366">
        <f t="shared" si="0"/>
        <v>0</v>
      </c>
    </row>
    <row r="9" spans="1:9">
      <c r="A9" s="3583"/>
      <c r="B9" s="3584" t="s">
        <v>2468</v>
      </c>
      <c r="C9" s="3584"/>
      <c r="D9" s="2363"/>
      <c r="E9" s="2361"/>
      <c r="F9" s="2364"/>
      <c r="G9" s="2364"/>
      <c r="H9" s="2365"/>
      <c r="I9" s="2366">
        <f t="shared" si="0"/>
        <v>0</v>
      </c>
    </row>
    <row r="10" spans="1:9">
      <c r="A10" s="3583"/>
      <c r="B10" s="3585" t="s">
        <v>2469</v>
      </c>
      <c r="C10" s="3585"/>
      <c r="D10" s="2367">
        <v>527</v>
      </c>
      <c r="E10" s="2367" t="e">
        <f>ROUND(D1*10000/D10/H9,0)</f>
        <v>#DIV/0!</v>
      </c>
      <c r="F10" s="2368"/>
      <c r="G10" s="2368"/>
      <c r="H10" s="2369"/>
      <c r="I10" s="2370">
        <f>SUM(I3:I9)</f>
        <v>0</v>
      </c>
    </row>
    <row r="11" spans="1:9" ht="14.25">
      <c r="A11" s="3583" t="s">
        <v>2470</v>
      </c>
      <c r="B11" s="3584" t="s">
        <v>2471</v>
      </c>
      <c r="C11" s="3584"/>
      <c r="D11" s="2363" t="s">
        <v>2472</v>
      </c>
      <c r="E11" s="2363" t="s">
        <v>2473</v>
      </c>
      <c r="F11" s="2364" t="s">
        <v>2474</v>
      </c>
      <c r="G11" s="2364" t="s">
        <v>2475</v>
      </c>
      <c r="H11" s="2371" t="s">
        <v>2476</v>
      </c>
      <c r="I11" s="2362" t="s">
        <v>2477</v>
      </c>
    </row>
    <row r="12" spans="1:9">
      <c r="A12" s="3583"/>
      <c r="B12" s="3584" t="s">
        <v>2478</v>
      </c>
      <c r="C12" s="3584"/>
      <c r="D12" s="2363"/>
      <c r="E12" s="2363"/>
      <c r="F12" s="2364"/>
      <c r="G12" s="2365"/>
      <c r="H12" s="2372"/>
      <c r="I12" s="2362">
        <f>ROUND(D12*E12*F12*G12/10000,0)</f>
        <v>0</v>
      </c>
    </row>
    <row r="13" spans="1:9">
      <c r="A13" s="3583"/>
      <c r="B13" s="3584" t="s">
        <v>2479</v>
      </c>
      <c r="C13" s="3584"/>
      <c r="D13" s="2363"/>
      <c r="E13" s="2363"/>
      <c r="F13" s="2364"/>
      <c r="G13" s="2365"/>
      <c r="H13" s="2372"/>
      <c r="I13" s="2362">
        <f>ROUND(D13*E13*F13*G13/10000,0)</f>
        <v>0</v>
      </c>
    </row>
    <row r="14" spans="1:9">
      <c r="A14" s="3583"/>
      <c r="B14" s="3584" t="s">
        <v>2480</v>
      </c>
      <c r="C14" s="3584"/>
      <c r="D14" s="2363"/>
      <c r="E14" s="2363"/>
      <c r="F14" s="2364"/>
      <c r="G14" s="2365"/>
      <c r="H14" s="2372"/>
      <c r="I14" s="2362">
        <f>ROUND(D14*E14*F14*G14/10000,0)</f>
        <v>0</v>
      </c>
    </row>
    <row r="15" spans="1:9">
      <c r="A15" s="3583"/>
      <c r="B15" s="3585" t="s">
        <v>2469</v>
      </c>
      <c r="C15" s="3585"/>
      <c r="D15" s="2367"/>
      <c r="E15" s="2367">
        <f>SUM(E12:E14)</f>
        <v>0</v>
      </c>
      <c r="F15" s="2368"/>
      <c r="G15" s="2365"/>
      <c r="H15" s="2372"/>
      <c r="I15" s="2373">
        <f>SUM(I12:I14)</f>
        <v>0</v>
      </c>
    </row>
    <row r="16" spans="1:9" ht="24">
      <c r="A16" s="3583" t="s">
        <v>2481</v>
      </c>
      <c r="B16" s="3584" t="s">
        <v>2482</v>
      </c>
      <c r="C16" s="3584"/>
      <c r="D16" s="2363" t="s">
        <v>2483</v>
      </c>
      <c r="E16" s="2374" t="s">
        <v>2484</v>
      </c>
      <c r="F16" s="2364" t="s">
        <v>2485</v>
      </c>
      <c r="G16" s="2365" t="s">
        <v>2475</v>
      </c>
      <c r="H16" s="2371" t="s">
        <v>2476</v>
      </c>
      <c r="I16" s="2362" t="s">
        <v>2477</v>
      </c>
    </row>
    <row r="17" spans="1:9" ht="14.25">
      <c r="A17" s="3583"/>
      <c r="B17" s="3584" t="s">
        <v>2486</v>
      </c>
      <c r="C17" s="3584"/>
      <c r="D17" s="2363"/>
      <c r="E17" s="2363"/>
      <c r="F17" s="2364"/>
      <c r="G17" s="2365"/>
      <c r="H17" s="2375"/>
      <c r="I17" s="2376">
        <f>ROUND(D17*E17*F17*G17/10000,0)</f>
        <v>0</v>
      </c>
    </row>
    <row r="18" spans="1:9" ht="14.25">
      <c r="A18" s="3583"/>
      <c r="B18" s="3584" t="s">
        <v>2487</v>
      </c>
      <c r="C18" s="3584"/>
      <c r="D18" s="2363"/>
      <c r="E18" s="2363"/>
      <c r="F18" s="2364"/>
      <c r="G18" s="2365"/>
      <c r="H18" s="2375"/>
      <c r="I18" s="2376">
        <f>ROUND(D18*E18*F18*G18/10000,0)</f>
        <v>0</v>
      </c>
    </row>
    <row r="19" spans="1:9" ht="14.25">
      <c r="A19" s="3583"/>
      <c r="B19" s="3584" t="s">
        <v>2488</v>
      </c>
      <c r="C19" s="3584"/>
      <c r="D19" s="2363"/>
      <c r="E19" s="2363"/>
      <c r="F19" s="2364"/>
      <c r="G19" s="2365"/>
      <c r="H19" s="2375"/>
      <c r="I19" s="2376">
        <f>ROUND(D19*E19*F19*G19/10000,0)</f>
        <v>0</v>
      </c>
    </row>
    <row r="20" spans="1:9">
      <c r="A20" s="3583"/>
      <c r="B20" s="3585" t="s">
        <v>2469</v>
      </c>
      <c r="C20" s="3585"/>
      <c r="D20" s="2367">
        <f>SUM(D17:D19)</f>
        <v>0</v>
      </c>
      <c r="E20" s="2367"/>
      <c r="F20" s="2368"/>
      <c r="G20" s="2365"/>
      <c r="H20" s="2372"/>
      <c r="I20" s="2373">
        <f>SUM(I17:I19)</f>
        <v>0</v>
      </c>
    </row>
    <row r="21" spans="1:9">
      <c r="A21" s="3583" t="s">
        <v>2489</v>
      </c>
      <c r="B21" s="3587"/>
      <c r="C21" s="3587"/>
      <c r="D21" s="3587"/>
      <c r="E21" s="3587"/>
      <c r="F21" s="3587"/>
      <c r="G21" s="3587"/>
      <c r="H21" s="2377">
        <v>0.1</v>
      </c>
      <c r="I21" s="2370">
        <f>ROUND(I10*H21,0)</f>
        <v>0</v>
      </c>
    </row>
    <row r="22" spans="1:9" ht="14.25">
      <c r="A22" s="3588" t="s">
        <v>2490</v>
      </c>
      <c r="B22" s="3589"/>
      <c r="C22" s="3590"/>
      <c r="D22" s="2378" t="s">
        <v>2491</v>
      </c>
      <c r="E22" s="2378" t="s">
        <v>2492</v>
      </c>
      <c r="F22" s="2379" t="s">
        <v>2493</v>
      </c>
      <c r="G22" s="2379" t="s">
        <v>2494</v>
      </c>
      <c r="H22" s="2371" t="s">
        <v>2495</v>
      </c>
      <c r="I22" s="2362" t="s">
        <v>2496</v>
      </c>
    </row>
    <row r="23" spans="1:9" ht="14.25" thickBot="1">
      <c r="A23" s="3591"/>
      <c r="B23" s="3592"/>
      <c r="C23" s="3593"/>
      <c r="D23" s="2380"/>
      <c r="E23" s="2380"/>
      <c r="F23" s="2380"/>
      <c r="G23" s="2381"/>
      <c r="H23" s="2382"/>
      <c r="I23" s="2383">
        <f>ROUND(E23*D23*F23*(1-G23)/10000,0)</f>
        <v>0</v>
      </c>
    </row>
    <row r="26" spans="1:9">
      <c r="A26" s="2384" t="s">
        <v>2497</v>
      </c>
      <c r="B26" s="2384"/>
      <c r="C26" s="2384"/>
      <c r="D26" s="2384"/>
      <c r="E26" s="3594">
        <f>C27-C30-C31-C32</f>
        <v>0</v>
      </c>
      <c r="F26" s="3594"/>
      <c r="G26" s="3594"/>
      <c r="H26" s="2757" t="s">
        <v>2823</v>
      </c>
    </row>
    <row r="27" spans="1:9">
      <c r="A27" s="2385">
        <v>1</v>
      </c>
      <c r="B27" s="2386" t="s">
        <v>2498</v>
      </c>
      <c r="C27" s="2386"/>
      <c r="D27" s="2386"/>
      <c r="E27" s="3595"/>
      <c r="F27" s="3595"/>
      <c r="G27" s="3595"/>
    </row>
    <row r="28" spans="1:9">
      <c r="A28" s="2387" t="s">
        <v>2499</v>
      </c>
      <c r="B28" s="2386" t="s">
        <v>2500</v>
      </c>
      <c r="C28" s="2386"/>
      <c r="D28" s="2386"/>
      <c r="E28" s="3595"/>
      <c r="F28" s="3595"/>
      <c r="G28" s="3595"/>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586"/>
      <c r="F32" s="3586"/>
      <c r="G32" s="3586"/>
    </row>
    <row r="33" spans="1:7" hidden="1">
      <c r="A33" s="3596" t="s">
        <v>2508</v>
      </c>
      <c r="B33" s="3597"/>
      <c r="C33" s="3597"/>
      <c r="D33" s="3598"/>
      <c r="E33" s="3594"/>
      <c r="F33" s="3594"/>
      <c r="G33" s="3594"/>
    </row>
    <row r="34" spans="1:7" hidden="1">
      <c r="A34" s="2389">
        <v>1</v>
      </c>
      <c r="B34" s="2386" t="s">
        <v>2509</v>
      </c>
      <c r="C34" s="2386"/>
      <c r="D34" s="2386"/>
      <c r="E34" s="3595"/>
      <c r="F34" s="3595"/>
      <c r="G34" s="3595"/>
    </row>
    <row r="35" spans="1:7" hidden="1">
      <c r="A35" s="2389">
        <v>2</v>
      </c>
      <c r="B35" s="2386" t="s">
        <v>2510</v>
      </c>
      <c r="C35" s="2386"/>
      <c r="D35" s="2386"/>
      <c r="E35" s="3595"/>
      <c r="F35" s="3595"/>
      <c r="G35" s="3595"/>
    </row>
    <row r="36" spans="1:7" hidden="1">
      <c r="A36" s="2389">
        <v>3</v>
      </c>
      <c r="B36" s="2386" t="s">
        <v>2511</v>
      </c>
      <c r="C36" s="2386"/>
      <c r="D36" s="2386"/>
      <c r="E36" s="3595"/>
      <c r="F36" s="3595"/>
      <c r="G36" s="3595"/>
    </row>
    <row r="37" spans="1:7" hidden="1">
      <c r="A37" s="2389">
        <v>4</v>
      </c>
      <c r="B37" s="2386" t="s">
        <v>2512</v>
      </c>
      <c r="C37" s="2386"/>
      <c r="D37" s="2386"/>
      <c r="E37" s="3595"/>
      <c r="F37" s="3595"/>
      <c r="G37" s="3595"/>
    </row>
    <row r="38" spans="1:7" hidden="1">
      <c r="A38" s="3596" t="s">
        <v>2513</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2870</v>
      </c>
      <c r="C2" s="3269"/>
      <c r="D2" s="3269"/>
      <c r="E2" s="3269"/>
      <c r="F2" s="3269"/>
      <c r="G2" s="3269"/>
    </row>
    <row r="3" spans="1:25" s="1943" customFormat="1" ht="18" customHeight="1">
      <c r="A3" s="1331" t="s">
        <v>1676</v>
      </c>
      <c r="B3" s="419">
        <f ca="1">ROUND(B2*10000/'数据-汇总表'!E3,0)</f>
        <v>194</v>
      </c>
      <c r="C3" s="3269"/>
      <c r="D3" s="3269"/>
      <c r="E3" s="3269"/>
      <c r="F3" s="3269"/>
      <c r="G3" s="3269"/>
    </row>
    <row r="4" spans="1:25" s="1943" customFormat="1" ht="18" customHeight="1">
      <c r="A4" s="420" t="s">
        <v>462</v>
      </c>
      <c r="B4" s="421">
        <f ca="1">ROUND(B2*10000/'数据-汇总表'!D3,0)</f>
        <v>1825</v>
      </c>
      <c r="C4" s="3222"/>
      <c r="D4" s="3269"/>
      <c r="E4" s="3269"/>
      <c r="F4" s="3269"/>
      <c r="G4" s="3269"/>
    </row>
    <row r="5" spans="1:25" s="1943" customFormat="1" ht="18" customHeight="1" thickBot="1">
      <c r="A5" s="423"/>
      <c r="B5" s="424">
        <f ca="1">ROUND(B2/('数据-汇总表'!D3/666.67),0)</f>
        <v>122</v>
      </c>
      <c r="C5" s="425" t="s">
        <v>463</v>
      </c>
      <c r="D5" s="3269"/>
      <c r="E5" s="3269"/>
      <c r="F5" s="3269"/>
      <c r="G5" s="3269"/>
    </row>
    <row r="6" spans="1:25" s="2065" customFormat="1" ht="13.5" customHeight="1">
      <c r="A6" s="735"/>
      <c r="B6" s="736" t="s">
        <v>598</v>
      </c>
      <c r="C6" s="737" t="s">
        <v>599</v>
      </c>
      <c r="D6" s="737" t="s">
        <v>600</v>
      </c>
      <c r="E6" s="738" t="s">
        <v>601</v>
      </c>
      <c r="F6" s="738" t="s">
        <v>602</v>
      </c>
      <c r="G6" s="3268" t="s">
        <v>2999</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2">
        <f t="shared" ref="C8:C9" si="0">ROUND(D8*E8/10000,0)</f>
        <v>0</v>
      </c>
      <c r="D8" s="3272">
        <v>0</v>
      </c>
      <c r="E8" s="3273">
        <v>0</v>
      </c>
      <c r="F8" s="741"/>
      <c r="G8" s="742"/>
    </row>
    <row r="9" spans="1:25" s="2065" customFormat="1" ht="13.5" customHeight="1">
      <c r="A9" s="2324" t="s">
        <v>2424</v>
      </c>
      <c r="B9" s="2327" t="s">
        <v>2426</v>
      </c>
      <c r="C9" s="3272">
        <f t="shared" si="0"/>
        <v>0</v>
      </c>
      <c r="D9" s="3272">
        <v>0</v>
      </c>
      <c r="E9" s="3273">
        <v>0</v>
      </c>
      <c r="F9" s="741"/>
      <c r="G9" s="742"/>
    </row>
    <row r="10" spans="1:25" s="2065" customFormat="1" ht="36">
      <c r="A10" s="2324">
        <v>2</v>
      </c>
      <c r="B10" s="739" t="s">
        <v>607</v>
      </c>
      <c r="C10" s="740">
        <f ca="1">C11+C14+C15</f>
        <v>2955</v>
      </c>
      <c r="D10" s="750"/>
      <c r="E10" s="740"/>
      <c r="F10" s="751"/>
      <c r="G10" s="749" t="s">
        <v>608</v>
      </c>
    </row>
    <row r="11" spans="1:25" s="2065" customFormat="1" ht="13.5" customHeight="1">
      <c r="A11" s="2324" t="s">
        <v>2423</v>
      </c>
      <c r="B11" s="743" t="s">
        <v>604</v>
      </c>
      <c r="C11" s="744">
        <f ca="1">'数据-取费表'!B29</f>
        <v>2955</v>
      </c>
      <c r="D11" s="745"/>
      <c r="E11" s="744"/>
      <c r="F11" s="746"/>
      <c r="G11" s="2332" t="s">
        <v>2434</v>
      </c>
    </row>
    <row r="12" spans="1:25" s="2065" customFormat="1" ht="13.5" customHeight="1">
      <c r="A12" s="2330" t="s">
        <v>2431</v>
      </c>
      <c r="B12" s="747" t="s">
        <v>605</v>
      </c>
      <c r="C12" s="748">
        <f>ROUND(D12*E12/10000,0)</f>
        <v>0</v>
      </c>
      <c r="D12" s="3272">
        <f>'数据-汇总表'!E5</f>
        <v>0</v>
      </c>
      <c r="E12" s="3272">
        <f>'数据-取费表'!B27</f>
        <v>0</v>
      </c>
      <c r="F12" s="746"/>
      <c r="G12" s="749"/>
    </row>
    <row r="13" spans="1:25" s="2065" customFormat="1" ht="13.5" customHeight="1">
      <c r="A13" s="2330" t="s">
        <v>2430</v>
      </c>
      <c r="B13" s="747" t="s">
        <v>606</v>
      </c>
      <c r="C13" s="748">
        <f>ROUND(D13*E13/10000,0)</f>
        <v>2955</v>
      </c>
      <c r="D13" s="3272">
        <f>'数据-汇总表'!E6</f>
        <v>147743.9</v>
      </c>
      <c r="E13" s="3272">
        <f>'数据-取费表'!B28</f>
        <v>200</v>
      </c>
      <c r="F13" s="746"/>
      <c r="G13" s="749"/>
    </row>
    <row r="14" spans="1:25" s="2065" customFormat="1" ht="13.5" customHeight="1">
      <c r="A14" s="2324" t="s">
        <v>2424</v>
      </c>
      <c r="B14" s="2329" t="s">
        <v>2427</v>
      </c>
      <c r="C14" s="3274">
        <f t="shared" ref="C14:C15" si="1">ROUND(D14*E14/10000,0)</f>
        <v>0</v>
      </c>
      <c r="D14" s="3272">
        <v>0</v>
      </c>
      <c r="E14" s="3273">
        <v>0</v>
      </c>
      <c r="F14" s="2328"/>
      <c r="G14" s="2331" t="s">
        <v>2432</v>
      </c>
    </row>
    <row r="15" spans="1:25" s="2065" customFormat="1" ht="13.5" customHeight="1">
      <c r="A15" s="2324" t="s">
        <v>2429</v>
      </c>
      <c r="B15" s="2329" t="s">
        <v>2428</v>
      </c>
      <c r="C15" s="3274">
        <f t="shared" si="1"/>
        <v>0</v>
      </c>
      <c r="D15" s="3272">
        <v>0</v>
      </c>
      <c r="E15" s="3273">
        <v>0</v>
      </c>
      <c r="F15" s="2328"/>
      <c r="G15" s="2331" t="s">
        <v>2433</v>
      </c>
    </row>
    <row r="16" spans="1:25" s="2066" customFormat="1" ht="48">
      <c r="A16" s="2324">
        <v>3</v>
      </c>
      <c r="B16" s="739" t="s">
        <v>609</v>
      </c>
      <c r="C16" s="3274">
        <f t="shared" ref="C16" si="2">ROUND(D16*E16/10000,0)</f>
        <v>0</v>
      </c>
      <c r="D16" s="3272">
        <v>0</v>
      </c>
      <c r="E16" s="3273">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 ca="1">ROUND((C7+C10+C16)*F18,0)</f>
        <v>148</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3103</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310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3413</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2870</v>
      </c>
      <c r="D22" s="750"/>
      <c r="E22" s="740"/>
      <c r="F22" s="756">
        <f>'数据-取费表'!AP16</f>
        <v>0.84099999999999997</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2870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87" t="s">
        <v>516</v>
      </c>
      <c r="D4" s="3488"/>
      <c r="E4" s="3522" t="s">
        <v>517</v>
      </c>
      <c r="F4" s="3523"/>
      <c r="G4" s="3487" t="s">
        <v>518</v>
      </c>
      <c r="H4" s="3488"/>
      <c r="I4" s="3487" t="s">
        <v>519</v>
      </c>
      <c r="J4" s="3488"/>
      <c r="K4" s="842"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4" t="s">
        <v>518</v>
      </c>
      <c r="AC4" s="3484" t="s">
        <v>519</v>
      </c>
    </row>
    <row r="5" spans="1:29" ht="15">
      <c r="A5" s="509"/>
      <c r="B5" s="510"/>
      <c r="C5" s="3503" t="s">
        <v>2898</v>
      </c>
      <c r="D5" s="3504"/>
      <c r="E5" s="3524" t="s">
        <v>2899</v>
      </c>
      <c r="F5" s="3525"/>
      <c r="G5" s="3503" t="s">
        <v>2900</v>
      </c>
      <c r="H5" s="3504"/>
      <c r="I5" s="3503" t="s">
        <v>2901</v>
      </c>
      <c r="J5" s="3504"/>
      <c r="K5" s="843"/>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2902</v>
      </c>
      <c r="D6" s="3502"/>
      <c r="E6" s="3520" t="s">
        <v>2902</v>
      </c>
      <c r="F6" s="3521"/>
      <c r="G6" s="3501" t="s">
        <v>2902</v>
      </c>
      <c r="H6" s="3502"/>
      <c r="I6" s="3501" t="s">
        <v>2902</v>
      </c>
      <c r="J6" s="3502"/>
      <c r="K6" s="843"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44216</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13" t="s">
        <v>524</v>
      </c>
      <c r="Q7" s="3515"/>
      <c r="R7" s="1503" t="s">
        <v>13</v>
      </c>
      <c r="S7" s="1504">
        <f t="shared" ref="S7:S15" si="0">F7</f>
        <v>0</v>
      </c>
      <c r="T7" s="1503" t="s">
        <v>13</v>
      </c>
      <c r="U7" s="1504">
        <f t="shared" ref="U7:U15" si="1">H7</f>
        <v>0</v>
      </c>
      <c r="V7" s="1503" t="s">
        <v>13</v>
      </c>
      <c r="W7" s="1504">
        <f t="shared" ref="W7:W15"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13" t="s">
        <v>527</v>
      </c>
      <c r="Q8" s="3514"/>
      <c r="R8" s="1503" t="s">
        <v>13</v>
      </c>
      <c r="S8" s="1504">
        <f t="shared" si="0"/>
        <v>0</v>
      </c>
      <c r="T8" s="1503" t="s">
        <v>13</v>
      </c>
      <c r="U8" s="1504">
        <f t="shared" si="1"/>
        <v>0</v>
      </c>
      <c r="V8" s="1503" t="s">
        <v>13</v>
      </c>
      <c r="W8" s="1504">
        <f t="shared" si="2"/>
        <v>0</v>
      </c>
      <c r="X8" s="1505"/>
      <c r="Y8" s="3513" t="s">
        <v>527</v>
      </c>
      <c r="Z8" s="351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81"/>
      <c r="Q11" s="1134" t="str">
        <f t="shared" si="6"/>
        <v>容积率</v>
      </c>
      <c r="R11" s="1503" t="s">
        <v>11</v>
      </c>
      <c r="S11" s="1504" t="e">
        <f t="shared" si="0"/>
        <v>#N/A</v>
      </c>
      <c r="T11" s="1503" t="s">
        <v>11</v>
      </c>
      <c r="U11" s="1504" t="e">
        <f t="shared" si="1"/>
        <v>#N/A</v>
      </c>
      <c r="V11" s="1503" t="s">
        <v>11</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81"/>
      <c r="Q12" s="1134">
        <f t="shared" si="6"/>
        <v>111</v>
      </c>
      <c r="R12" s="1503" t="s">
        <v>11</v>
      </c>
      <c r="S12" s="1504">
        <f t="shared" si="0"/>
        <v>100</v>
      </c>
      <c r="T12" s="1503" t="s">
        <v>11</v>
      </c>
      <c r="U12" s="1504">
        <f t="shared" si="1"/>
        <v>100</v>
      </c>
      <c r="V12" s="1503" t="s">
        <v>11</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81"/>
      <c r="Q13" s="1134">
        <f t="shared" si="6"/>
        <v>111</v>
      </c>
      <c r="R13" s="1503" t="s">
        <v>11</v>
      </c>
      <c r="S13" s="1504">
        <f t="shared" si="0"/>
        <v>100</v>
      </c>
      <c r="T13" s="1503" t="s">
        <v>11</v>
      </c>
      <c r="U13" s="1504">
        <f t="shared" si="1"/>
        <v>100</v>
      </c>
      <c r="V13" s="1503" t="s">
        <v>11</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81"/>
      <c r="Q14" s="1134">
        <f t="shared" si="6"/>
        <v>111</v>
      </c>
      <c r="R14" s="1503" t="s">
        <v>11</v>
      </c>
      <c r="S14" s="1504">
        <f t="shared" si="0"/>
        <v>100</v>
      </c>
      <c r="T14" s="1503" t="s">
        <v>11</v>
      </c>
      <c r="U14" s="1504">
        <f t="shared" si="1"/>
        <v>100</v>
      </c>
      <c r="V14" s="1503" t="s">
        <v>11</v>
      </c>
      <c r="W14" s="1504">
        <f t="shared" si="2"/>
        <v>100</v>
      </c>
      <c r="X14" s="1505"/>
      <c r="Y14" s="3427"/>
      <c r="Z14" s="1133">
        <f t="shared" si="7"/>
        <v>111</v>
      </c>
      <c r="AA14" s="1506">
        <f t="shared" si="3"/>
        <v>1</v>
      </c>
      <c r="AB14" s="1506">
        <f t="shared" si="4"/>
        <v>1</v>
      </c>
      <c r="AC14" s="1506">
        <f t="shared" si="5"/>
        <v>1</v>
      </c>
    </row>
    <row r="15" spans="1:29" ht="99.75">
      <c r="A15" s="2628"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6" t="s">
        <v>534</v>
      </c>
      <c r="Q15" s="1507" t="str">
        <f t="shared" si="6"/>
        <v>居住社区成熟度</v>
      </c>
      <c r="R15" s="1508" t="s">
        <v>11</v>
      </c>
      <c r="S15" s="1509">
        <f t="shared" si="0"/>
        <v>100</v>
      </c>
      <c r="T15" s="1508" t="s">
        <v>11</v>
      </c>
      <c r="U15" s="1509">
        <f t="shared" si="1"/>
        <v>100</v>
      </c>
      <c r="V15" s="1508" t="s">
        <v>11</v>
      </c>
      <c r="W15" s="1509">
        <f t="shared" si="2"/>
        <v>100</v>
      </c>
      <c r="X15" s="1502"/>
      <c r="Y15" s="351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7"/>
      <c r="Q16" s="1507"/>
      <c r="R16" s="1508"/>
      <c r="S16" s="1509"/>
      <c r="T16" s="1508"/>
      <c r="U16" s="1509"/>
      <c r="V16" s="1508"/>
      <c r="W16" s="1509"/>
      <c r="X16" s="1502"/>
      <c r="Y16" s="351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7"/>
      <c r="Q17" s="1507" t="str">
        <f>B17</f>
        <v>交通便捷度</v>
      </c>
      <c r="R17" s="1508" t="s">
        <v>11</v>
      </c>
      <c r="S17" s="1509">
        <f>F17</f>
        <v>100</v>
      </c>
      <c r="T17" s="1508" t="s">
        <v>11</v>
      </c>
      <c r="U17" s="1509">
        <f>H17</f>
        <v>100</v>
      </c>
      <c r="V17" s="1508" t="s">
        <v>11</v>
      </c>
      <c r="W17" s="1509">
        <f>J17</f>
        <v>100</v>
      </c>
      <c r="X17" s="1502"/>
      <c r="Y17" s="351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7"/>
      <c r="Q18" s="1507"/>
      <c r="R18" s="1508"/>
      <c r="S18" s="1509"/>
      <c r="T18" s="1508"/>
      <c r="U18" s="1509"/>
      <c r="V18" s="1508"/>
      <c r="W18" s="1509"/>
      <c r="X18" s="1502"/>
      <c r="Y18" s="3517"/>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7"/>
      <c r="Q19" s="1507" t="str">
        <f>B19</f>
        <v>公共配套设施</v>
      </c>
      <c r="R19" s="1508" t="s">
        <v>11</v>
      </c>
      <c r="S19" s="1509">
        <f>F19</f>
        <v>100</v>
      </c>
      <c r="T19" s="1508" t="s">
        <v>11</v>
      </c>
      <c r="U19" s="1509">
        <f>H19</f>
        <v>100</v>
      </c>
      <c r="V19" s="1508" t="s">
        <v>11</v>
      </c>
      <c r="W19" s="1509">
        <f>J19</f>
        <v>100</v>
      </c>
      <c r="X19" s="1502"/>
      <c r="Y19" s="351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7"/>
      <c r="Q20" s="1507"/>
      <c r="R20" s="1508"/>
      <c r="S20" s="1509"/>
      <c r="T20" s="1508"/>
      <c r="U20" s="1509"/>
      <c r="V20" s="1508"/>
      <c r="W20" s="1509"/>
      <c r="X20" s="1502"/>
      <c r="Y20" s="3517"/>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7"/>
      <c r="Q21" s="2430" t="str">
        <f>B21</f>
        <v>基础设施水平</v>
      </c>
      <c r="R21" s="1508" t="s">
        <v>11</v>
      </c>
      <c r="S21" s="1509">
        <f>F21</f>
        <v>100</v>
      </c>
      <c r="T21" s="1508" t="s">
        <v>11</v>
      </c>
      <c r="U21" s="1509">
        <f>H21</f>
        <v>100</v>
      </c>
      <c r="V21" s="1508" t="s">
        <v>11</v>
      </c>
      <c r="W21" s="1509">
        <f>J21</f>
        <v>100</v>
      </c>
      <c r="X21" s="2432"/>
      <c r="Y21" s="351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7"/>
      <c r="Q22" s="2430"/>
      <c r="R22" s="1508"/>
      <c r="S22" s="1509"/>
      <c r="T22" s="1508"/>
      <c r="U22" s="1509"/>
      <c r="V22" s="1508"/>
      <c r="W22" s="1509"/>
      <c r="X22" s="2432"/>
      <c r="Y22" s="3517"/>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7"/>
      <c r="Q23" s="1507" t="str">
        <f>B23</f>
        <v>自然及人文环境</v>
      </c>
      <c r="R23" s="1508" t="s">
        <v>11</v>
      </c>
      <c r="S23" s="1509">
        <f>F23</f>
        <v>100</v>
      </c>
      <c r="T23" s="1508" t="s">
        <v>11</v>
      </c>
      <c r="U23" s="1509">
        <f>H23</f>
        <v>100</v>
      </c>
      <c r="V23" s="1508" t="s">
        <v>11</v>
      </c>
      <c r="W23" s="1509">
        <f>J23</f>
        <v>100</v>
      </c>
      <c r="X23" s="1502"/>
      <c r="Y23" s="351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7"/>
      <c r="Q24" s="1507"/>
      <c r="R24" s="1508"/>
      <c r="S24" s="1509"/>
      <c r="T24" s="1508"/>
      <c r="U24" s="1509"/>
      <c r="V24" s="1508"/>
      <c r="W24" s="1509"/>
      <c r="X24" s="1502"/>
      <c r="Y24" s="3517"/>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7"/>
      <c r="Q25" s="1507" t="str">
        <f t="shared" ref="Q25:Q46" si="11">B25</f>
        <v>楼层-1</v>
      </c>
      <c r="R25" s="1508" t="s">
        <v>11</v>
      </c>
      <c r="S25" s="1509">
        <f>F25</f>
        <v>100</v>
      </c>
      <c r="T25" s="1508" t="s">
        <v>11</v>
      </c>
      <c r="U25" s="1509">
        <f>H25</f>
        <v>100</v>
      </c>
      <c r="V25" s="1508" t="s">
        <v>11</v>
      </c>
      <c r="W25" s="1509">
        <f>J25</f>
        <v>100</v>
      </c>
      <c r="X25" s="1502"/>
      <c r="Y25" s="351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7"/>
      <c r="Q26" s="1507" t="str">
        <f t="shared" si="11"/>
        <v>朝向</v>
      </c>
      <c r="R26" s="1508" t="s">
        <v>11</v>
      </c>
      <c r="S26" s="1509">
        <f>F26</f>
        <v>100</v>
      </c>
      <c r="T26" s="1508" t="s">
        <v>11</v>
      </c>
      <c r="U26" s="1509">
        <f>H26</f>
        <v>100</v>
      </c>
      <c r="V26" s="1508" t="s">
        <v>11</v>
      </c>
      <c r="W26" s="1509">
        <f>J26</f>
        <v>100</v>
      </c>
      <c r="X26" s="1502"/>
      <c r="Y26" s="351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7"/>
      <c r="Q27" s="1134" t="str">
        <f t="shared" si="11"/>
        <v>道路级别</v>
      </c>
      <c r="R27" s="1503" t="s">
        <v>11</v>
      </c>
      <c r="S27" s="1504">
        <f>F27</f>
        <v>100</v>
      </c>
      <c r="T27" s="1503" t="s">
        <v>11</v>
      </c>
      <c r="U27" s="1504">
        <f>H27</f>
        <v>100</v>
      </c>
      <c r="V27" s="1503" t="s">
        <v>11</v>
      </c>
      <c r="W27" s="1504">
        <f>J27</f>
        <v>100</v>
      </c>
      <c r="X27" s="1505"/>
      <c r="Y27" s="351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7"/>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7"/>
      <c r="Q29" s="1507">
        <f t="shared" si="11"/>
        <v>111</v>
      </c>
      <c r="R29" s="1508" t="s">
        <v>11</v>
      </c>
      <c r="S29" s="1509">
        <f t="shared" si="12"/>
        <v>100</v>
      </c>
      <c r="T29" s="1508" t="s">
        <v>11</v>
      </c>
      <c r="U29" s="1509">
        <f t="shared" si="13"/>
        <v>100</v>
      </c>
      <c r="V29" s="1508" t="s">
        <v>11</v>
      </c>
      <c r="W29" s="1509">
        <f t="shared" si="14"/>
        <v>100</v>
      </c>
      <c r="X29" s="1502"/>
      <c r="Y29" s="351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7"/>
      <c r="Q30" s="1507">
        <f t="shared" si="11"/>
        <v>111</v>
      </c>
      <c r="R30" s="1508" t="s">
        <v>11</v>
      </c>
      <c r="S30" s="1509">
        <f t="shared" si="12"/>
        <v>100</v>
      </c>
      <c r="T30" s="1508" t="s">
        <v>11</v>
      </c>
      <c r="U30" s="1509">
        <f t="shared" si="13"/>
        <v>100</v>
      </c>
      <c r="V30" s="1508" t="s">
        <v>11</v>
      </c>
      <c r="W30" s="1509">
        <f t="shared" si="14"/>
        <v>100</v>
      </c>
      <c r="X30" s="1502"/>
      <c r="Y30" s="351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7"/>
      <c r="Q31" s="1507">
        <f t="shared" si="11"/>
        <v>111</v>
      </c>
      <c r="R31" s="1508" t="s">
        <v>11</v>
      </c>
      <c r="S31" s="1509">
        <f t="shared" si="12"/>
        <v>100</v>
      </c>
      <c r="T31" s="1508" t="s">
        <v>11</v>
      </c>
      <c r="U31" s="1509">
        <f t="shared" si="13"/>
        <v>100</v>
      </c>
      <c r="V31" s="1508" t="s">
        <v>11</v>
      </c>
      <c r="W31" s="1509">
        <f t="shared" si="14"/>
        <v>100</v>
      </c>
      <c r="X31" s="1502"/>
      <c r="Y31" s="3517"/>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8" t="s">
        <v>544</v>
      </c>
      <c r="Q32" s="1507" t="str">
        <f t="shared" si="11"/>
        <v>建筑类型</v>
      </c>
      <c r="R32" s="1508" t="s">
        <v>11</v>
      </c>
      <c r="S32" s="1509">
        <f t="shared" si="12"/>
        <v>100</v>
      </c>
      <c r="T32" s="1508" t="s">
        <v>11</v>
      </c>
      <c r="U32" s="1509">
        <f t="shared" si="13"/>
        <v>100</v>
      </c>
      <c r="V32" s="1508" t="s">
        <v>11</v>
      </c>
      <c r="W32" s="1509">
        <f t="shared" si="14"/>
        <v>100</v>
      </c>
      <c r="X32" s="1502"/>
      <c r="Y32" s="351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9"/>
      <c r="Q33" s="1536" t="str">
        <f t="shared" si="11"/>
        <v>项目建筑规模</v>
      </c>
      <c r="R33" s="1512" t="s">
        <v>11</v>
      </c>
      <c r="S33" s="1513" t="e">
        <f t="shared" si="12"/>
        <v>#N/A</v>
      </c>
      <c r="T33" s="1512" t="s">
        <v>11</v>
      </c>
      <c r="U33" s="1513" t="e">
        <f t="shared" si="13"/>
        <v>#N/A</v>
      </c>
      <c r="V33" s="1512" t="s">
        <v>11</v>
      </c>
      <c r="W33" s="1513" t="e">
        <f t="shared" si="14"/>
        <v>#N/A</v>
      </c>
      <c r="X33" s="1514"/>
      <c r="Y33" s="351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9"/>
      <c r="Q34" s="1507" t="str">
        <f t="shared" si="11"/>
        <v>建筑结构</v>
      </c>
      <c r="R34" s="1508" t="s">
        <v>11</v>
      </c>
      <c r="S34" s="1509">
        <f t="shared" si="12"/>
        <v>100</v>
      </c>
      <c r="T34" s="1508" t="s">
        <v>11</v>
      </c>
      <c r="U34" s="1509">
        <f t="shared" si="13"/>
        <v>100</v>
      </c>
      <c r="V34" s="1508" t="s">
        <v>11</v>
      </c>
      <c r="W34" s="1509">
        <f t="shared" si="14"/>
        <v>100</v>
      </c>
      <c r="X34" s="1502"/>
      <c r="Y34" s="351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9"/>
      <c r="Q35" s="1507" t="str">
        <f t="shared" si="11"/>
        <v>建筑品质</v>
      </c>
      <c r="R35" s="1508" t="s">
        <v>11</v>
      </c>
      <c r="S35" s="1509">
        <f t="shared" si="12"/>
        <v>100</v>
      </c>
      <c r="T35" s="1508" t="s">
        <v>11</v>
      </c>
      <c r="U35" s="1509">
        <f t="shared" si="13"/>
        <v>100</v>
      </c>
      <c r="V35" s="1508" t="s">
        <v>11</v>
      </c>
      <c r="W35" s="1509">
        <f t="shared" si="14"/>
        <v>100</v>
      </c>
      <c r="X35" s="1502"/>
      <c r="Y35" s="351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9"/>
      <c r="Q36" s="1507" t="str">
        <f t="shared" si="11"/>
        <v>公共部分装修</v>
      </c>
      <c r="R36" s="1508" t="s">
        <v>11</v>
      </c>
      <c r="S36" s="1509">
        <f t="shared" si="12"/>
        <v>100</v>
      </c>
      <c r="T36" s="1508" t="s">
        <v>11</v>
      </c>
      <c r="U36" s="1509">
        <f t="shared" si="13"/>
        <v>100</v>
      </c>
      <c r="V36" s="1508" t="s">
        <v>11</v>
      </c>
      <c r="W36" s="1509">
        <f t="shared" si="14"/>
        <v>100</v>
      </c>
      <c r="X36" s="1502"/>
      <c r="Y36" s="351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9"/>
      <c r="Q37" s="1134" t="str">
        <f t="shared" si="11"/>
        <v>成新度</v>
      </c>
      <c r="R37" s="1503" t="s">
        <v>11</v>
      </c>
      <c r="S37" s="1504" t="e">
        <f t="shared" si="12"/>
        <v>#N/A</v>
      </c>
      <c r="T37" s="1503" t="s">
        <v>11</v>
      </c>
      <c r="U37" s="1504" t="e">
        <f t="shared" si="13"/>
        <v>#N/A</v>
      </c>
      <c r="V37" s="1503" t="s">
        <v>11</v>
      </c>
      <c r="W37" s="1504" t="e">
        <f t="shared" si="14"/>
        <v>#N/A</v>
      </c>
      <c r="X37" s="1505"/>
      <c r="Y37" s="351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9" t="s">
        <v>544</v>
      </c>
      <c r="Q38" s="1507" t="str">
        <f t="shared" si="11"/>
        <v>物业管理</v>
      </c>
      <c r="R38" s="1508" t="s">
        <v>11</v>
      </c>
      <c r="S38" s="1509">
        <f t="shared" si="12"/>
        <v>100</v>
      </c>
      <c r="T38" s="1508" t="s">
        <v>11</v>
      </c>
      <c r="U38" s="1509">
        <f t="shared" si="13"/>
        <v>100</v>
      </c>
      <c r="V38" s="1508" t="s">
        <v>11</v>
      </c>
      <c r="W38" s="1509">
        <f t="shared" si="14"/>
        <v>100</v>
      </c>
      <c r="X38" s="1502"/>
      <c r="Y38" s="3519"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9"/>
      <c r="Q39" s="1507" t="str">
        <f t="shared" si="11"/>
        <v>市政基础设施</v>
      </c>
      <c r="R39" s="1508" t="s">
        <v>11</v>
      </c>
      <c r="S39" s="1509">
        <f t="shared" si="12"/>
        <v>100</v>
      </c>
      <c r="T39" s="1508" t="s">
        <v>11</v>
      </c>
      <c r="U39" s="1509">
        <f t="shared" si="13"/>
        <v>100</v>
      </c>
      <c r="V39" s="1508" t="s">
        <v>11</v>
      </c>
      <c r="W39" s="1509">
        <f t="shared" si="14"/>
        <v>100</v>
      </c>
      <c r="X39" s="1502"/>
      <c r="Y39" s="351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9"/>
      <c r="Q40" s="1507" t="str">
        <f t="shared" si="11"/>
        <v>房型</v>
      </c>
      <c r="R40" s="1508" t="s">
        <v>11</v>
      </c>
      <c r="S40" s="1509">
        <f t="shared" si="12"/>
        <v>100</v>
      </c>
      <c r="T40" s="1508" t="s">
        <v>11</v>
      </c>
      <c r="U40" s="1509">
        <f t="shared" si="13"/>
        <v>100</v>
      </c>
      <c r="V40" s="1508" t="s">
        <v>11</v>
      </c>
      <c r="W40" s="1509">
        <f t="shared" si="14"/>
        <v>100</v>
      </c>
      <c r="X40" s="1502"/>
      <c r="Y40" s="351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9"/>
      <c r="Q41" s="1536" t="str">
        <f t="shared" si="11"/>
        <v>单套/主力户型建筑面积</v>
      </c>
      <c r="R41" s="1512" t="s">
        <v>11</v>
      </c>
      <c r="S41" s="1513">
        <f t="shared" si="12"/>
        <v>100</v>
      </c>
      <c r="T41" s="1512" t="s">
        <v>11</v>
      </c>
      <c r="U41" s="1513">
        <f t="shared" si="13"/>
        <v>100</v>
      </c>
      <c r="V41" s="1512" t="s">
        <v>11</v>
      </c>
      <c r="W41" s="1513">
        <f t="shared" si="14"/>
        <v>100</v>
      </c>
      <c r="X41" s="1514"/>
      <c r="Y41" s="351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9"/>
      <c r="Q42" s="1507" t="str">
        <f t="shared" si="11"/>
        <v>内部装修</v>
      </c>
      <c r="R42" s="1508" t="s">
        <v>11</v>
      </c>
      <c r="S42" s="1509">
        <f t="shared" si="12"/>
        <v>100</v>
      </c>
      <c r="T42" s="1508" t="s">
        <v>11</v>
      </c>
      <c r="U42" s="1509">
        <f t="shared" si="13"/>
        <v>100</v>
      </c>
      <c r="V42" s="1508" t="s">
        <v>11</v>
      </c>
      <c r="W42" s="1509">
        <f t="shared" si="14"/>
        <v>100</v>
      </c>
      <c r="X42" s="1502"/>
      <c r="Y42" s="351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9"/>
      <c r="Q43" s="1507" t="str">
        <f t="shared" si="11"/>
        <v>内部装修维护情况</v>
      </c>
      <c r="R43" s="1508" t="s">
        <v>11</v>
      </c>
      <c r="S43" s="1509">
        <f t="shared" si="12"/>
        <v>100</v>
      </c>
      <c r="T43" s="1508" t="s">
        <v>11</v>
      </c>
      <c r="U43" s="1509">
        <f t="shared" si="13"/>
        <v>100</v>
      </c>
      <c r="V43" s="1508" t="s">
        <v>11</v>
      </c>
      <c r="W43" s="1509">
        <f t="shared" si="14"/>
        <v>100</v>
      </c>
      <c r="X43" s="1502"/>
      <c r="Y43" s="351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9"/>
      <c r="Q44" s="1134">
        <f t="shared" si="11"/>
        <v>111</v>
      </c>
      <c r="R44" s="1503" t="s">
        <v>11</v>
      </c>
      <c r="S44" s="1504">
        <f t="shared" si="12"/>
        <v>100</v>
      </c>
      <c r="T44" s="1503" t="s">
        <v>11</v>
      </c>
      <c r="U44" s="1504">
        <f t="shared" si="13"/>
        <v>100</v>
      </c>
      <c r="V44" s="1503" t="s">
        <v>11</v>
      </c>
      <c r="W44" s="1504">
        <f t="shared" si="14"/>
        <v>100</v>
      </c>
      <c r="X44" s="1505"/>
      <c r="Y44" s="351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9"/>
      <c r="Q45" s="1507">
        <f t="shared" si="11"/>
        <v>111</v>
      </c>
      <c r="R45" s="1508" t="s">
        <v>11</v>
      </c>
      <c r="S45" s="1509">
        <f t="shared" si="12"/>
        <v>100</v>
      </c>
      <c r="T45" s="1508" t="s">
        <v>11</v>
      </c>
      <c r="U45" s="1509">
        <f t="shared" si="13"/>
        <v>100</v>
      </c>
      <c r="V45" s="1508" t="s">
        <v>11</v>
      </c>
      <c r="W45" s="1509">
        <f t="shared" si="14"/>
        <v>100</v>
      </c>
      <c r="X45" s="1502"/>
      <c r="Y45" s="351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01"/>
      <c r="Q46" s="1507">
        <f t="shared" si="11"/>
        <v>111</v>
      </c>
      <c r="R46" s="1508" t="s">
        <v>10</v>
      </c>
      <c r="S46" s="1509">
        <f t="shared" si="12"/>
        <v>100</v>
      </c>
      <c r="T46" s="1508" t="s">
        <v>10</v>
      </c>
      <c r="U46" s="1509">
        <f t="shared" si="13"/>
        <v>100</v>
      </c>
      <c r="V46" s="1508" t="s">
        <v>10</v>
      </c>
      <c r="W46" s="1509">
        <f t="shared" si="14"/>
        <v>100</v>
      </c>
      <c r="X46" s="1502"/>
      <c r="Y46" s="3601"/>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81" t="str">
        <f>A47</f>
        <v>成交单价（元/平方米）</v>
      </c>
      <c r="Q47" s="3481"/>
      <c r="R47" s="3600">
        <f>E47</f>
        <v>0</v>
      </c>
      <c r="S47" s="3600"/>
      <c r="T47" s="3600">
        <f>G47</f>
        <v>0</v>
      </c>
      <c r="U47" s="3600"/>
      <c r="V47" s="3600">
        <f>I47</f>
        <v>0</v>
      </c>
      <c r="W47" s="3600"/>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28"/>
      <c r="O48" s="2028"/>
      <c r="P48" s="3481" t="str">
        <f>A48</f>
        <v>比较价格（元/平方米）</v>
      </c>
      <c r="Q48" s="3481"/>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38"/>
      <c r="L49" s="2027"/>
      <c r="M49" s="2028"/>
      <c r="N49" s="2028"/>
      <c r="O49" s="2028"/>
      <c r="P49" s="3478" t="str">
        <f>A49</f>
        <v>估价对象XX用房的比较价格（楼面单价，元/平方米）</v>
      </c>
      <c r="Q49" s="3479"/>
      <c r="R49" s="3599" t="e">
        <f>IF(F1="售价",ROUND(IF(D48="简单平均",AVERAGE(R48:V48),R48*F48+T48*H48+V48*J48),0),ROUND(IF(D48="简单平均",AVERAGE(R48:V48),R48*F48+T48*H48+V48*J48),1))</f>
        <v>#DIV/0!</v>
      </c>
      <c r="S49" s="3599"/>
      <c r="T49" s="3599"/>
      <c r="U49" s="3599"/>
      <c r="V49" s="3599"/>
      <c r="W49" s="3599"/>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87" t="s">
        <v>516</v>
      </c>
      <c r="D4" s="3488"/>
      <c r="E4" s="3522" t="s">
        <v>517</v>
      </c>
      <c r="F4" s="3523"/>
      <c r="G4" s="3487" t="s">
        <v>518</v>
      </c>
      <c r="H4" s="3488"/>
      <c r="I4" s="3487" t="s">
        <v>519</v>
      </c>
      <c r="J4" s="3488"/>
      <c r="K4" s="508"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2" t="s">
        <v>518</v>
      </c>
      <c r="AC4" s="3484" t="s">
        <v>519</v>
      </c>
    </row>
    <row r="5" spans="1:29" ht="15">
      <c r="A5" s="509"/>
      <c r="B5" s="510"/>
      <c r="C5" s="3503" t="s">
        <v>2898</v>
      </c>
      <c r="D5" s="3504"/>
      <c r="E5" s="3524" t="s">
        <v>2899</v>
      </c>
      <c r="F5" s="3525"/>
      <c r="G5" s="3503" t="s">
        <v>2900</v>
      </c>
      <c r="H5" s="3504"/>
      <c r="I5" s="3503" t="s">
        <v>2901</v>
      </c>
      <c r="J5" s="3504"/>
      <c r="K5" s="508"/>
      <c r="L5" s="2016"/>
      <c r="M5" s="2017"/>
      <c r="N5" s="2017"/>
      <c r="O5" s="2017"/>
      <c r="P5" s="3491"/>
      <c r="Q5" s="3492"/>
      <c r="R5" s="3497"/>
      <c r="S5" s="3498"/>
      <c r="T5" s="3497"/>
      <c r="U5" s="3498"/>
      <c r="V5" s="3482"/>
      <c r="W5" s="3482"/>
      <c r="X5" s="1502"/>
      <c r="Y5" s="3497"/>
      <c r="Z5" s="3498"/>
      <c r="AA5" s="3485"/>
      <c r="AB5" s="3482"/>
      <c r="AC5" s="3485"/>
    </row>
    <row r="6" spans="1:29" ht="15.75" thickBot="1">
      <c r="A6" s="511"/>
      <c r="B6" s="512"/>
      <c r="C6" s="3501" t="s">
        <v>2902</v>
      </c>
      <c r="D6" s="3502"/>
      <c r="E6" s="3520" t="s">
        <v>2902</v>
      </c>
      <c r="F6" s="3521"/>
      <c r="G6" s="3501" t="s">
        <v>2902</v>
      </c>
      <c r="H6" s="3502"/>
      <c r="I6" s="3501" t="s">
        <v>2902</v>
      </c>
      <c r="J6" s="3502"/>
      <c r="K6" s="508" t="s">
        <v>522</v>
      </c>
      <c r="L6" s="2016"/>
      <c r="M6" s="2017"/>
      <c r="N6" s="2017"/>
      <c r="O6" s="2017"/>
      <c r="P6" s="3493"/>
      <c r="Q6" s="3494"/>
      <c r="R6" s="3497"/>
      <c r="S6" s="3498"/>
      <c r="T6" s="3499"/>
      <c r="U6" s="3500"/>
      <c r="V6" s="3482"/>
      <c r="W6" s="3482"/>
      <c r="X6" s="1502"/>
      <c r="Y6" s="3499"/>
      <c r="Z6" s="3500"/>
      <c r="AA6" s="3486"/>
      <c r="AB6" s="3482"/>
      <c r="AC6" s="3486"/>
    </row>
    <row r="7" spans="1:29" s="1203" customFormat="1" ht="15.75" thickBot="1">
      <c r="A7" s="2630"/>
      <c r="B7" s="2637" t="s">
        <v>523</v>
      </c>
      <c r="C7" s="513">
        <f>'数据-取费表'!B2</f>
        <v>44216</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13" t="s">
        <v>524</v>
      </c>
      <c r="Q7" s="3515"/>
      <c r="R7" s="1503" t="s">
        <v>8</v>
      </c>
      <c r="S7" s="1504">
        <f t="shared" ref="S7:S15" si="0">F7</f>
        <v>0</v>
      </c>
      <c r="T7" s="1503" t="s">
        <v>8</v>
      </c>
      <c r="U7" s="1504">
        <f t="shared" ref="U7:U15" si="1">H7</f>
        <v>0</v>
      </c>
      <c r="V7" s="1503" t="s">
        <v>8</v>
      </c>
      <c r="W7" s="1504">
        <f t="shared" ref="W7:W15"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13" t="s">
        <v>527</v>
      </c>
      <c r="Q8" s="3514"/>
      <c r="R8" s="1503" t="s">
        <v>8</v>
      </c>
      <c r="S8" s="1504">
        <f t="shared" si="0"/>
        <v>0</v>
      </c>
      <c r="T8" s="1503" t="s">
        <v>8</v>
      </c>
      <c r="U8" s="1504">
        <f t="shared" si="1"/>
        <v>0</v>
      </c>
      <c r="V8" s="1503" t="s">
        <v>8</v>
      </c>
      <c r="W8" s="1504">
        <f t="shared" si="2"/>
        <v>0</v>
      </c>
      <c r="X8" s="1505"/>
      <c r="Y8" s="3513" t="s">
        <v>527</v>
      </c>
      <c r="Z8" s="351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6" t="s">
        <v>534</v>
      </c>
      <c r="Q15" s="1507" t="str">
        <f t="shared" si="6"/>
        <v>商业繁华度</v>
      </c>
      <c r="R15" s="1508" t="s">
        <v>8</v>
      </c>
      <c r="S15" s="1509">
        <f t="shared" si="0"/>
        <v>100</v>
      </c>
      <c r="T15" s="1508" t="s">
        <v>8</v>
      </c>
      <c r="U15" s="1509">
        <f t="shared" si="1"/>
        <v>100</v>
      </c>
      <c r="V15" s="1508" t="s">
        <v>8</v>
      </c>
      <c r="W15" s="1509">
        <f t="shared" si="2"/>
        <v>100</v>
      </c>
      <c r="X15" s="1502"/>
      <c r="Y15" s="351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7"/>
      <c r="Q16" s="1507"/>
      <c r="R16" s="1508"/>
      <c r="S16" s="1509"/>
      <c r="T16" s="1508"/>
      <c r="U16" s="1509"/>
      <c r="V16" s="1508"/>
      <c r="W16" s="1509"/>
      <c r="X16" s="1502"/>
      <c r="Y16" s="351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7"/>
      <c r="Q17" s="1507" t="str">
        <f>B17</f>
        <v>交通便捷度</v>
      </c>
      <c r="R17" s="1508" t="s">
        <v>8</v>
      </c>
      <c r="S17" s="1509">
        <f>F17</f>
        <v>100</v>
      </c>
      <c r="T17" s="1508" t="s">
        <v>8</v>
      </c>
      <c r="U17" s="1509">
        <f>H17</f>
        <v>100</v>
      </c>
      <c r="V17" s="1508" t="s">
        <v>8</v>
      </c>
      <c r="W17" s="1509">
        <f>J17</f>
        <v>100</v>
      </c>
      <c r="X17" s="1502"/>
      <c r="Y17" s="351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7"/>
      <c r="Q18" s="1507"/>
      <c r="R18" s="1508"/>
      <c r="S18" s="1509"/>
      <c r="T18" s="1508"/>
      <c r="U18" s="1509"/>
      <c r="V18" s="1508"/>
      <c r="W18" s="1509"/>
      <c r="X18" s="1502"/>
      <c r="Y18" s="3517"/>
      <c r="Z18" s="1510"/>
      <c r="AA18" s="1511">
        <v>1</v>
      </c>
      <c r="AB18" s="1511">
        <v>1</v>
      </c>
      <c r="AC18" s="1511">
        <v>1</v>
      </c>
    </row>
    <row r="19" spans="1:29" ht="42.75">
      <c r="A19" s="526"/>
      <c r="B19" s="2445"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7"/>
      <c r="Q19" s="1507" t="str">
        <f>B19</f>
        <v>公共配套设施</v>
      </c>
      <c r="R19" s="1508" t="s">
        <v>8</v>
      </c>
      <c r="S19" s="1509">
        <f>F19</f>
        <v>100</v>
      </c>
      <c r="T19" s="1508" t="s">
        <v>8</v>
      </c>
      <c r="U19" s="1509">
        <f>H19</f>
        <v>100</v>
      </c>
      <c r="V19" s="1508" t="s">
        <v>8</v>
      </c>
      <c r="W19" s="1509">
        <f>J19</f>
        <v>100</v>
      </c>
      <c r="X19" s="1502"/>
      <c r="Y19" s="351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7"/>
      <c r="Q20" s="1507"/>
      <c r="R20" s="1508"/>
      <c r="S20" s="1509"/>
      <c r="T20" s="1508"/>
      <c r="U20" s="1509"/>
      <c r="V20" s="1508"/>
      <c r="W20" s="1509"/>
      <c r="X20" s="1502"/>
      <c r="Y20" s="3517"/>
      <c r="Z20" s="1510"/>
      <c r="AA20" s="1511">
        <v>1</v>
      </c>
      <c r="AB20" s="1511">
        <v>1</v>
      </c>
      <c r="AC20" s="1511">
        <v>1</v>
      </c>
    </row>
    <row r="21" spans="1:29" ht="28.5">
      <c r="A21" s="526"/>
      <c r="B21" s="2438"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7"/>
      <c r="Q21" s="2430" t="str">
        <f>B21</f>
        <v>基础设施水平</v>
      </c>
      <c r="R21" s="1508" t="s">
        <v>8</v>
      </c>
      <c r="S21" s="1509">
        <f>F21</f>
        <v>100</v>
      </c>
      <c r="T21" s="1508" t="s">
        <v>8</v>
      </c>
      <c r="U21" s="1509">
        <f>H21</f>
        <v>100</v>
      </c>
      <c r="V21" s="1508" t="s">
        <v>8</v>
      </c>
      <c r="W21" s="1509">
        <f>J21</f>
        <v>100</v>
      </c>
      <c r="X21" s="2432"/>
      <c r="Y21" s="351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7"/>
      <c r="Q22" s="2430"/>
      <c r="R22" s="1508"/>
      <c r="S22" s="1509"/>
      <c r="T22" s="1508"/>
      <c r="U22" s="1509"/>
      <c r="V22" s="1508"/>
      <c r="W22" s="1509"/>
      <c r="X22" s="2432"/>
      <c r="Y22" s="3517"/>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7"/>
      <c r="Q23" s="1507" t="str">
        <f>B23</f>
        <v>自然及人文环境</v>
      </c>
      <c r="R23" s="1508" t="s">
        <v>8</v>
      </c>
      <c r="S23" s="1509">
        <f>F23</f>
        <v>100</v>
      </c>
      <c r="T23" s="1508" t="s">
        <v>8</v>
      </c>
      <c r="U23" s="1509">
        <f>H23</f>
        <v>100</v>
      </c>
      <c r="V23" s="1508" t="s">
        <v>8</v>
      </c>
      <c r="W23" s="1509">
        <f>J23</f>
        <v>100</v>
      </c>
      <c r="X23" s="1502"/>
      <c r="Y23" s="351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7"/>
      <c r="Q24" s="1507"/>
      <c r="R24" s="1508"/>
      <c r="S24" s="1509"/>
      <c r="T24" s="1508"/>
      <c r="U24" s="1509"/>
      <c r="V24" s="1508"/>
      <c r="W24" s="1509"/>
      <c r="X24" s="1502"/>
      <c r="Y24" s="351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7"/>
      <c r="Q25" s="1507" t="str">
        <f t="shared" ref="Q25:Q46" si="11">B25</f>
        <v>临街状况</v>
      </c>
      <c r="R25" s="1508" t="s">
        <v>8</v>
      </c>
      <c r="S25" s="1509">
        <f>F25</f>
        <v>100</v>
      </c>
      <c r="T25" s="1508" t="s">
        <v>8</v>
      </c>
      <c r="U25" s="1509">
        <f>H25</f>
        <v>100</v>
      </c>
      <c r="V25" s="1508" t="s">
        <v>8</v>
      </c>
      <c r="W25" s="1509">
        <f>J25</f>
        <v>100</v>
      </c>
      <c r="X25" s="1502"/>
      <c r="Y25" s="351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7"/>
      <c r="Q26" s="1507" t="str">
        <f t="shared" si="11"/>
        <v>平面位置/可视性</v>
      </c>
      <c r="R26" s="1508" t="s">
        <v>8</v>
      </c>
      <c r="S26" s="1509">
        <f>F26</f>
        <v>100</v>
      </c>
      <c r="T26" s="1508" t="s">
        <v>8</v>
      </c>
      <c r="U26" s="1509">
        <f>H26</f>
        <v>100</v>
      </c>
      <c r="V26" s="1508" t="s">
        <v>8</v>
      </c>
      <c r="W26" s="1509">
        <f>J26</f>
        <v>100</v>
      </c>
      <c r="X26" s="1502"/>
      <c r="Y26" s="351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7"/>
      <c r="Q27" s="1134" t="str">
        <f t="shared" si="11"/>
        <v>人流量</v>
      </c>
      <c r="R27" s="1503" t="s">
        <v>8</v>
      </c>
      <c r="S27" s="1504">
        <f>F27</f>
        <v>100</v>
      </c>
      <c r="T27" s="1503" t="s">
        <v>8</v>
      </c>
      <c r="U27" s="1504">
        <f>H27</f>
        <v>100</v>
      </c>
      <c r="V27" s="1503" t="s">
        <v>8</v>
      </c>
      <c r="W27" s="1504">
        <f>J27</f>
        <v>100</v>
      </c>
      <c r="X27" s="1505"/>
      <c r="Y27" s="351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7"/>
      <c r="Q29" s="1507">
        <f t="shared" si="11"/>
        <v>111</v>
      </c>
      <c r="R29" s="1508" t="s">
        <v>8</v>
      </c>
      <c r="S29" s="1509">
        <f t="shared" si="12"/>
        <v>100</v>
      </c>
      <c r="T29" s="1508" t="s">
        <v>8</v>
      </c>
      <c r="U29" s="1509">
        <f t="shared" si="13"/>
        <v>100</v>
      </c>
      <c r="V29" s="1508" t="s">
        <v>8</v>
      </c>
      <c r="W29" s="1509">
        <f t="shared" si="14"/>
        <v>100</v>
      </c>
      <c r="X29" s="1502"/>
      <c r="Y29" s="351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7"/>
      <c r="Q30" s="1507">
        <f t="shared" si="11"/>
        <v>111</v>
      </c>
      <c r="R30" s="1508" t="s">
        <v>8</v>
      </c>
      <c r="S30" s="1509">
        <f t="shared" si="12"/>
        <v>100</v>
      </c>
      <c r="T30" s="1508" t="s">
        <v>8</v>
      </c>
      <c r="U30" s="1509">
        <f t="shared" si="13"/>
        <v>100</v>
      </c>
      <c r="V30" s="1508" t="s">
        <v>8</v>
      </c>
      <c r="W30" s="1509">
        <f t="shared" si="14"/>
        <v>100</v>
      </c>
      <c r="X30" s="1502"/>
      <c r="Y30" s="351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7"/>
      <c r="Q31" s="1507">
        <f t="shared" si="11"/>
        <v>111</v>
      </c>
      <c r="R31" s="1508" t="s">
        <v>8</v>
      </c>
      <c r="S31" s="1509">
        <f t="shared" si="12"/>
        <v>100</v>
      </c>
      <c r="T31" s="1508" t="s">
        <v>8</v>
      </c>
      <c r="U31" s="1509">
        <f t="shared" si="13"/>
        <v>100</v>
      </c>
      <c r="V31" s="1508" t="s">
        <v>8</v>
      </c>
      <c r="W31" s="1509">
        <f t="shared" si="14"/>
        <v>100</v>
      </c>
      <c r="X31" s="1502"/>
      <c r="Y31" s="3517"/>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8" t="s">
        <v>544</v>
      </c>
      <c r="Q32" s="1507" t="str">
        <f t="shared" si="11"/>
        <v>商业类型</v>
      </c>
      <c r="R32" s="1508" t="s">
        <v>8</v>
      </c>
      <c r="S32" s="1509">
        <f t="shared" si="12"/>
        <v>100</v>
      </c>
      <c r="T32" s="1508" t="s">
        <v>8</v>
      </c>
      <c r="U32" s="1509">
        <f t="shared" si="13"/>
        <v>100</v>
      </c>
      <c r="V32" s="1508" t="s">
        <v>8</v>
      </c>
      <c r="W32" s="1509">
        <f t="shared" si="14"/>
        <v>100</v>
      </c>
      <c r="X32" s="1502"/>
      <c r="Y32" s="351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9"/>
      <c r="Q33" s="1536" t="str">
        <f t="shared" si="11"/>
        <v>项目建筑规模</v>
      </c>
      <c r="R33" s="1512" t="s">
        <v>8</v>
      </c>
      <c r="S33" s="1513" t="e">
        <f t="shared" si="12"/>
        <v>#N/A</v>
      </c>
      <c r="T33" s="1512" t="s">
        <v>8</v>
      </c>
      <c r="U33" s="1513" t="e">
        <f t="shared" si="13"/>
        <v>#N/A</v>
      </c>
      <c r="V33" s="1512" t="s">
        <v>8</v>
      </c>
      <c r="W33" s="1513" t="e">
        <f t="shared" si="14"/>
        <v>#N/A</v>
      </c>
      <c r="X33" s="1514"/>
      <c r="Y33" s="351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9"/>
      <c r="Q34" s="1507" t="str">
        <f t="shared" si="11"/>
        <v>建筑结构</v>
      </c>
      <c r="R34" s="1508" t="s">
        <v>8</v>
      </c>
      <c r="S34" s="1509">
        <f t="shared" si="12"/>
        <v>100</v>
      </c>
      <c r="T34" s="1508" t="s">
        <v>8</v>
      </c>
      <c r="U34" s="1509">
        <f t="shared" si="13"/>
        <v>100</v>
      </c>
      <c r="V34" s="1508" t="s">
        <v>8</v>
      </c>
      <c r="W34" s="1509">
        <f t="shared" si="14"/>
        <v>100</v>
      </c>
      <c r="X34" s="1502"/>
      <c r="Y34" s="351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9"/>
      <c r="Q35" s="1507" t="str">
        <f t="shared" si="11"/>
        <v>公共部分装修</v>
      </c>
      <c r="R35" s="1508" t="s">
        <v>8</v>
      </c>
      <c r="S35" s="1509">
        <f t="shared" si="12"/>
        <v>100</v>
      </c>
      <c r="T35" s="1508" t="s">
        <v>8</v>
      </c>
      <c r="U35" s="1509">
        <f t="shared" si="13"/>
        <v>100</v>
      </c>
      <c r="V35" s="1508" t="s">
        <v>8</v>
      </c>
      <c r="W35" s="1509">
        <f t="shared" si="14"/>
        <v>100</v>
      </c>
      <c r="X35" s="1502"/>
      <c r="Y35" s="351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9"/>
      <c r="Q36" s="1507" t="str">
        <f t="shared" si="11"/>
        <v>成新度</v>
      </c>
      <c r="R36" s="1508" t="s">
        <v>8</v>
      </c>
      <c r="S36" s="1509" t="e">
        <f t="shared" si="12"/>
        <v>#N/A</v>
      </c>
      <c r="T36" s="1508" t="s">
        <v>8</v>
      </c>
      <c r="U36" s="1509" t="e">
        <f t="shared" si="13"/>
        <v>#N/A</v>
      </c>
      <c r="V36" s="1508" t="s">
        <v>8</v>
      </c>
      <c r="W36" s="1509" t="e">
        <f t="shared" si="14"/>
        <v>#N/A</v>
      </c>
      <c r="X36" s="1502"/>
      <c r="Y36" s="3519"/>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9"/>
      <c r="Q37" s="1134" t="str">
        <f t="shared" si="11"/>
        <v>市政基础设施</v>
      </c>
      <c r="R37" s="1503" t="s">
        <v>8</v>
      </c>
      <c r="S37" s="1504">
        <f t="shared" si="12"/>
        <v>100</v>
      </c>
      <c r="T37" s="1503" t="s">
        <v>8</v>
      </c>
      <c r="U37" s="1504">
        <f t="shared" si="13"/>
        <v>100</v>
      </c>
      <c r="V37" s="1503" t="s">
        <v>8</v>
      </c>
      <c r="W37" s="1504">
        <f t="shared" si="14"/>
        <v>100</v>
      </c>
      <c r="X37" s="1505"/>
      <c r="Y37" s="351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9" t="s">
        <v>760</v>
      </c>
      <c r="Q38" s="1507" t="str">
        <f t="shared" si="11"/>
        <v>业态</v>
      </c>
      <c r="R38" s="1508" t="s">
        <v>8</v>
      </c>
      <c r="S38" s="1509">
        <f t="shared" si="12"/>
        <v>100</v>
      </c>
      <c r="T38" s="1508" t="s">
        <v>8</v>
      </c>
      <c r="U38" s="1509">
        <f t="shared" si="13"/>
        <v>100</v>
      </c>
      <c r="V38" s="1508" t="s">
        <v>8</v>
      </c>
      <c r="W38" s="1509">
        <f t="shared" si="14"/>
        <v>100</v>
      </c>
      <c r="X38" s="1502"/>
      <c r="Y38" s="351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9"/>
      <c r="Q39" s="1507" t="str">
        <f t="shared" si="11"/>
        <v>层高</v>
      </c>
      <c r="R39" s="1508" t="s">
        <v>8</v>
      </c>
      <c r="S39" s="1509">
        <f t="shared" si="12"/>
        <v>100</v>
      </c>
      <c r="T39" s="1508" t="s">
        <v>8</v>
      </c>
      <c r="U39" s="1509">
        <f t="shared" si="13"/>
        <v>100</v>
      </c>
      <c r="V39" s="1508" t="s">
        <v>8</v>
      </c>
      <c r="W39" s="1509">
        <f t="shared" si="14"/>
        <v>100</v>
      </c>
      <c r="X39" s="1502"/>
      <c r="Y39" s="351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9"/>
      <c r="Q40" s="1507" t="str">
        <f t="shared" si="11"/>
        <v>单套建筑面积</v>
      </c>
      <c r="R40" s="1508" t="s">
        <v>8</v>
      </c>
      <c r="S40" s="1509">
        <f t="shared" si="12"/>
        <v>100</v>
      </c>
      <c r="T40" s="1508" t="s">
        <v>8</v>
      </c>
      <c r="U40" s="1509">
        <f t="shared" si="13"/>
        <v>100</v>
      </c>
      <c r="V40" s="1508" t="s">
        <v>8</v>
      </c>
      <c r="W40" s="1509">
        <f t="shared" si="14"/>
        <v>100</v>
      </c>
      <c r="X40" s="1502"/>
      <c r="Y40" s="351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9"/>
      <c r="Q41" s="1536" t="str">
        <f t="shared" si="11"/>
        <v>进深比</v>
      </c>
      <c r="R41" s="1512" t="s">
        <v>8</v>
      </c>
      <c r="S41" s="1513">
        <f t="shared" si="12"/>
        <v>100</v>
      </c>
      <c r="T41" s="1512" t="s">
        <v>8</v>
      </c>
      <c r="U41" s="1513">
        <f t="shared" si="13"/>
        <v>100</v>
      </c>
      <c r="V41" s="1512" t="s">
        <v>8</v>
      </c>
      <c r="W41" s="1513">
        <f t="shared" si="14"/>
        <v>100</v>
      </c>
      <c r="X41" s="1514"/>
      <c r="Y41" s="351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9"/>
      <c r="Q42" s="1507" t="str">
        <f t="shared" si="11"/>
        <v>内部装修</v>
      </c>
      <c r="R42" s="1508" t="s">
        <v>8</v>
      </c>
      <c r="S42" s="1509">
        <f t="shared" si="12"/>
        <v>100</v>
      </c>
      <c r="T42" s="1508" t="s">
        <v>8</v>
      </c>
      <c r="U42" s="1509">
        <f t="shared" si="13"/>
        <v>100</v>
      </c>
      <c r="V42" s="1508" t="s">
        <v>8</v>
      </c>
      <c r="W42" s="1509">
        <f t="shared" si="14"/>
        <v>100</v>
      </c>
      <c r="X42" s="1502"/>
      <c r="Y42" s="351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9"/>
      <c r="Q43" s="1507" t="str">
        <f t="shared" si="11"/>
        <v>内部装修维护情况</v>
      </c>
      <c r="R43" s="1508" t="s">
        <v>8</v>
      </c>
      <c r="S43" s="1509">
        <f t="shared" si="12"/>
        <v>100</v>
      </c>
      <c r="T43" s="1508" t="s">
        <v>8</v>
      </c>
      <c r="U43" s="1509">
        <f t="shared" si="13"/>
        <v>100</v>
      </c>
      <c r="V43" s="1508" t="s">
        <v>8</v>
      </c>
      <c r="W43" s="1509">
        <f t="shared" si="14"/>
        <v>100</v>
      </c>
      <c r="X43" s="1502"/>
      <c r="Y43" s="351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9"/>
      <c r="Q44" s="1134">
        <f t="shared" si="11"/>
        <v>111</v>
      </c>
      <c r="R44" s="1503" t="s">
        <v>8</v>
      </c>
      <c r="S44" s="1504">
        <f t="shared" si="12"/>
        <v>100</v>
      </c>
      <c r="T44" s="1503" t="s">
        <v>8</v>
      </c>
      <c r="U44" s="1504">
        <f t="shared" si="13"/>
        <v>100</v>
      </c>
      <c r="V44" s="1503" t="s">
        <v>8</v>
      </c>
      <c r="W44" s="1504">
        <f t="shared" si="14"/>
        <v>100</v>
      </c>
      <c r="X44" s="1505"/>
      <c r="Y44" s="351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9"/>
      <c r="Q45" s="1507">
        <f t="shared" si="11"/>
        <v>111</v>
      </c>
      <c r="R45" s="1508" t="s">
        <v>8</v>
      </c>
      <c r="S45" s="1509">
        <f t="shared" si="12"/>
        <v>100</v>
      </c>
      <c r="T45" s="1508" t="s">
        <v>8</v>
      </c>
      <c r="U45" s="1509">
        <f t="shared" si="13"/>
        <v>100</v>
      </c>
      <c r="V45" s="1508" t="s">
        <v>8</v>
      </c>
      <c r="W45" s="1509">
        <f t="shared" si="14"/>
        <v>100</v>
      </c>
      <c r="X45" s="1502"/>
      <c r="Y45" s="351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01"/>
      <c r="Q46" s="1507">
        <f t="shared" si="11"/>
        <v>111</v>
      </c>
      <c r="R46" s="1508" t="s">
        <v>8</v>
      </c>
      <c r="S46" s="1509">
        <f t="shared" si="12"/>
        <v>100</v>
      </c>
      <c r="T46" s="1508" t="s">
        <v>8</v>
      </c>
      <c r="U46" s="1509">
        <f t="shared" si="13"/>
        <v>100</v>
      </c>
      <c r="V46" s="1508" t="s">
        <v>8</v>
      </c>
      <c r="W46" s="1509">
        <f t="shared" si="14"/>
        <v>100</v>
      </c>
      <c r="X46" s="1502"/>
      <c r="Y46" s="3601"/>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81" t="str">
        <f>A47</f>
        <v>成交单价（元/平方米）</v>
      </c>
      <c r="Q47" s="3481"/>
      <c r="R47" s="3600">
        <f>E47</f>
        <v>0</v>
      </c>
      <c r="S47" s="3600"/>
      <c r="T47" s="3600">
        <f>G47</f>
        <v>0</v>
      </c>
      <c r="U47" s="3600"/>
      <c r="V47" s="3600">
        <f>I47</f>
        <v>0</v>
      </c>
      <c r="W47" s="3600"/>
      <c r="X47" s="1497"/>
      <c r="Y47" s="1516"/>
      <c r="Z47" s="1497"/>
      <c r="AA47" s="1497"/>
      <c r="AB47" s="1497"/>
      <c r="AC47" s="1497"/>
    </row>
    <row r="48" spans="1:29" ht="15.75" thickBot="1">
      <c r="A48" s="609" t="s">
        <v>2741</v>
      </c>
      <c r="B48" s="877"/>
      <c r="C48" s="2477" t="e">
        <f>R49</f>
        <v>#DIV/0!</v>
      </c>
      <c r="D48" s="3015" t="s">
        <v>2972</v>
      </c>
      <c r="E48" s="2478" t="e">
        <f>R48</f>
        <v>#DIV/0!</v>
      </c>
      <c r="F48" s="3016"/>
      <c r="G48" s="2477" t="e">
        <f>T48</f>
        <v>#DIV/0!</v>
      </c>
      <c r="H48" s="3016"/>
      <c r="I48" s="2478" t="e">
        <f>V48</f>
        <v>#DIV/0!</v>
      </c>
      <c r="J48" s="3016"/>
      <c r="K48" s="3024">
        <f>F48+H48+J48</f>
        <v>0</v>
      </c>
      <c r="L48" s="2027"/>
      <c r="M48" s="2028"/>
      <c r="N48" s="2017"/>
      <c r="O48" s="2028"/>
      <c r="P48" s="3481" t="str">
        <f>A48</f>
        <v>比较价格（元/平方米）</v>
      </c>
      <c r="Q48" s="3481"/>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7"/>
      <c r="Y48" s="1497"/>
      <c r="Z48" s="1497"/>
      <c r="AA48" s="1497"/>
      <c r="AB48" s="1497"/>
      <c r="AC48" s="1497"/>
    </row>
    <row r="49" spans="1:29" ht="15.75" thickBot="1">
      <c r="A49" s="613" t="s">
        <v>2904</v>
      </c>
      <c r="B49" s="614"/>
      <c r="C49" s="2479" t="e">
        <f>R49</f>
        <v>#DIV/0!</v>
      </c>
      <c r="D49" s="2479"/>
      <c r="E49" s="2479"/>
      <c r="F49" s="2479"/>
      <c r="G49" s="2479"/>
      <c r="H49" s="2479"/>
      <c r="I49" s="2479"/>
      <c r="J49" s="2479"/>
      <c r="K49" s="1542"/>
      <c r="L49" s="2027"/>
      <c r="M49" s="2028"/>
      <c r="N49" s="2017"/>
      <c r="O49" s="2028"/>
      <c r="P49" s="3478" t="str">
        <f>A49</f>
        <v>估价对象XX用房的比较价格（楼面单价，元/平方米）</v>
      </c>
      <c r="Q49" s="3479"/>
      <c r="R49" s="3599" t="e">
        <f>IF(F1="售价",ROUND(IF(D48="简单平均",AVERAGE(R48:V48),R48*F48+T48*H48+V48*J48),0),ROUND(IF(D48="简单平均",AVERAGE(R48:V48),R48*F48+T48*H48+V48*J48),1))</f>
        <v>#DIV/0!</v>
      </c>
      <c r="S49" s="3599"/>
      <c r="T49" s="3599"/>
      <c r="U49" s="3599"/>
      <c r="V49" s="3599"/>
      <c r="W49" s="3599"/>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v>
      </c>
      <c r="D58" s="2522">
        <f>EDATE(C58,-1)</f>
        <v>44166</v>
      </c>
      <c r="E58" s="2522">
        <f t="shared" ref="E58:O58" si="16">EDATE(D58,-1)</f>
        <v>44136</v>
      </c>
      <c r="F58" s="2522">
        <f t="shared" si="16"/>
        <v>44105</v>
      </c>
      <c r="G58" s="2522">
        <f t="shared" si="16"/>
        <v>44075</v>
      </c>
      <c r="H58" s="2522">
        <f t="shared" si="16"/>
        <v>44044</v>
      </c>
      <c r="I58" s="2522">
        <f t="shared" si="16"/>
        <v>44013</v>
      </c>
      <c r="J58" s="2522">
        <f t="shared" si="16"/>
        <v>43983</v>
      </c>
      <c r="K58" s="2522">
        <f t="shared" si="16"/>
        <v>43952</v>
      </c>
      <c r="L58" s="2522">
        <f t="shared" si="16"/>
        <v>43922</v>
      </c>
      <c r="M58" s="2522">
        <f t="shared" si="16"/>
        <v>43891</v>
      </c>
      <c r="N58" s="2522">
        <f t="shared" si="16"/>
        <v>43862</v>
      </c>
      <c r="O58" s="2522">
        <f t="shared" si="16"/>
        <v>43831</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5">
      <c r="A4" s="506" t="s">
        <v>515</v>
      </c>
      <c r="B4" s="507"/>
      <c r="C4" s="3487" t="s">
        <v>516</v>
      </c>
      <c r="D4" s="3488"/>
      <c r="E4" s="3522" t="s">
        <v>517</v>
      </c>
      <c r="F4" s="3523"/>
      <c r="G4" s="3487" t="s">
        <v>518</v>
      </c>
      <c r="H4" s="3488"/>
      <c r="I4" s="3487" t="s">
        <v>519</v>
      </c>
      <c r="J4" s="3488"/>
      <c r="K4" s="508" t="s">
        <v>520</v>
      </c>
      <c r="L4" s="2016"/>
      <c r="M4" s="2017"/>
      <c r="N4" s="2017"/>
      <c r="O4" s="2017"/>
      <c r="P4" s="3603" t="s">
        <v>521</v>
      </c>
      <c r="Q4" s="3490"/>
      <c r="R4" s="3495" t="s">
        <v>517</v>
      </c>
      <c r="S4" s="3496"/>
      <c r="T4" s="3495" t="s">
        <v>518</v>
      </c>
      <c r="U4" s="3496"/>
      <c r="V4" s="3482" t="s">
        <v>519</v>
      </c>
      <c r="W4" s="3482"/>
      <c r="X4" s="1502"/>
      <c r="Y4" s="3495" t="s">
        <v>521</v>
      </c>
      <c r="Z4" s="3496"/>
      <c r="AA4" s="3484" t="s">
        <v>517</v>
      </c>
      <c r="AB4" s="3484" t="s">
        <v>518</v>
      </c>
      <c r="AC4" s="3484" t="s">
        <v>519</v>
      </c>
    </row>
    <row r="5" spans="1:29" ht="15">
      <c r="A5" s="509"/>
      <c r="B5" s="510"/>
      <c r="C5" s="3503" t="s">
        <v>2898</v>
      </c>
      <c r="D5" s="3504"/>
      <c r="E5" s="3524" t="s">
        <v>2899</v>
      </c>
      <c r="F5" s="3525"/>
      <c r="G5" s="3503" t="s">
        <v>2900</v>
      </c>
      <c r="H5" s="3504"/>
      <c r="I5" s="3503" t="s">
        <v>2901</v>
      </c>
      <c r="J5" s="3504"/>
      <c r="K5" s="508"/>
      <c r="L5" s="2016"/>
      <c r="M5" s="2017"/>
      <c r="N5" s="2017"/>
      <c r="O5" s="2017"/>
      <c r="P5" s="3604"/>
      <c r="Q5" s="3492"/>
      <c r="R5" s="3497"/>
      <c r="S5" s="3498"/>
      <c r="T5" s="3497"/>
      <c r="U5" s="3498"/>
      <c r="V5" s="3482"/>
      <c r="W5" s="3482"/>
      <c r="X5" s="1502"/>
      <c r="Y5" s="3497"/>
      <c r="Z5" s="3498"/>
      <c r="AA5" s="3485"/>
      <c r="AB5" s="3485"/>
      <c r="AC5" s="3485"/>
    </row>
    <row r="6" spans="1:29" ht="15.75" thickBot="1">
      <c r="A6" s="511"/>
      <c r="B6" s="512"/>
      <c r="C6" s="3501" t="s">
        <v>2902</v>
      </c>
      <c r="D6" s="3502"/>
      <c r="E6" s="3520" t="s">
        <v>2902</v>
      </c>
      <c r="F6" s="3521"/>
      <c r="G6" s="3501" t="s">
        <v>2902</v>
      </c>
      <c r="H6" s="3502"/>
      <c r="I6" s="3501" t="s">
        <v>2902</v>
      </c>
      <c r="J6" s="3502"/>
      <c r="K6" s="508" t="s">
        <v>522</v>
      </c>
      <c r="L6" s="2016"/>
      <c r="M6" s="2017"/>
      <c r="N6" s="2017"/>
      <c r="O6" s="2017"/>
      <c r="P6" s="3605"/>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44216</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5" t="s">
        <v>524</v>
      </c>
      <c r="Q7" s="3515"/>
      <c r="R7" s="1503" t="s">
        <v>8</v>
      </c>
      <c r="S7" s="1504">
        <f t="shared" ref="S7:S15" si="0">F7</f>
        <v>0</v>
      </c>
      <c r="T7" s="1503" t="s">
        <v>8</v>
      </c>
      <c r="U7" s="1504">
        <f t="shared" ref="U7:U15" si="1">H7</f>
        <v>0</v>
      </c>
      <c r="V7" s="1503" t="s">
        <v>8</v>
      </c>
      <c r="W7" s="1504">
        <f t="shared" ref="W7:W15"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5" t="s">
        <v>527</v>
      </c>
      <c r="Q8" s="3514"/>
      <c r="R8" s="1503" t="s">
        <v>8</v>
      </c>
      <c r="S8" s="1504">
        <f t="shared" si="0"/>
        <v>0</v>
      </c>
      <c r="T8" s="1503" t="s">
        <v>8</v>
      </c>
      <c r="U8" s="1504">
        <f t="shared" si="1"/>
        <v>0</v>
      </c>
      <c r="V8" s="1503" t="s">
        <v>8</v>
      </c>
      <c r="W8" s="1504">
        <f t="shared" si="2"/>
        <v>0</v>
      </c>
      <c r="X8" s="1505"/>
      <c r="Y8" s="3513" t="s">
        <v>527</v>
      </c>
      <c r="Z8" s="3514"/>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71.25">
      <c r="A15" s="2628"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6" t="s">
        <v>534</v>
      </c>
      <c r="Q15" s="1507" t="str">
        <f t="shared" si="6"/>
        <v>办公集聚程度</v>
      </c>
      <c r="R15" s="1508" t="s">
        <v>8</v>
      </c>
      <c r="S15" s="1509">
        <f t="shared" si="0"/>
        <v>100</v>
      </c>
      <c r="T15" s="1508" t="s">
        <v>8</v>
      </c>
      <c r="U15" s="1509">
        <f t="shared" si="1"/>
        <v>100</v>
      </c>
      <c r="V15" s="1508" t="s">
        <v>8</v>
      </c>
      <c r="W15" s="1509">
        <f t="shared" si="2"/>
        <v>100</v>
      </c>
      <c r="X15" s="1502"/>
      <c r="Y15" s="351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7"/>
      <c r="Q16" s="1507"/>
      <c r="R16" s="1508"/>
      <c r="S16" s="1509"/>
      <c r="T16" s="1508"/>
      <c r="U16" s="1509"/>
      <c r="V16" s="1508"/>
      <c r="W16" s="1509"/>
      <c r="X16" s="1502"/>
      <c r="Y16" s="351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7"/>
      <c r="Q17" s="1507" t="str">
        <f>B17</f>
        <v>交通便捷度</v>
      </c>
      <c r="R17" s="1508" t="s">
        <v>8</v>
      </c>
      <c r="S17" s="1509">
        <f>F17</f>
        <v>100</v>
      </c>
      <c r="T17" s="1508" t="s">
        <v>8</v>
      </c>
      <c r="U17" s="1509">
        <f>H17</f>
        <v>100</v>
      </c>
      <c r="V17" s="1508" t="s">
        <v>8</v>
      </c>
      <c r="W17" s="1509">
        <f>J17</f>
        <v>100</v>
      </c>
      <c r="X17" s="1502"/>
      <c r="Y17" s="351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7"/>
      <c r="Q18" s="1507"/>
      <c r="R18" s="1508"/>
      <c r="S18" s="1509"/>
      <c r="T18" s="1508"/>
      <c r="U18" s="1509"/>
      <c r="V18" s="1508"/>
      <c r="W18" s="1509"/>
      <c r="X18" s="1502"/>
      <c r="Y18" s="3517"/>
      <c r="Z18" s="1510"/>
      <c r="AA18" s="1511">
        <v>1</v>
      </c>
      <c r="AB18" s="1511">
        <v>1</v>
      </c>
      <c r="AC18" s="1511">
        <v>1</v>
      </c>
    </row>
    <row r="19" spans="1:29" ht="42.75">
      <c r="A19" s="526"/>
      <c r="B19" s="2448"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7"/>
      <c r="Q19" s="1507" t="str">
        <f>B19</f>
        <v>公共配套设施</v>
      </c>
      <c r="R19" s="1508" t="s">
        <v>8</v>
      </c>
      <c r="S19" s="1509">
        <f>F19</f>
        <v>100</v>
      </c>
      <c r="T19" s="1508" t="s">
        <v>8</v>
      </c>
      <c r="U19" s="1509">
        <f>H19</f>
        <v>100</v>
      </c>
      <c r="V19" s="1508" t="s">
        <v>8</v>
      </c>
      <c r="W19" s="1509">
        <f>J19</f>
        <v>100</v>
      </c>
      <c r="X19" s="1502"/>
      <c r="Y19" s="351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7"/>
      <c r="Q20" s="1507"/>
      <c r="R20" s="1508"/>
      <c r="S20" s="1509"/>
      <c r="T20" s="1508"/>
      <c r="U20" s="1509"/>
      <c r="V20" s="1508"/>
      <c r="W20" s="1509"/>
      <c r="X20" s="1502"/>
      <c r="Y20" s="3517"/>
      <c r="Z20" s="1510"/>
      <c r="AA20" s="1511">
        <v>1</v>
      </c>
      <c r="AB20" s="1511">
        <v>1</v>
      </c>
      <c r="AC20" s="1511">
        <v>1</v>
      </c>
    </row>
    <row r="21" spans="1:29" ht="28.5">
      <c r="A21" s="526"/>
      <c r="B21" s="2436"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7"/>
      <c r="Q21" s="2430" t="str">
        <f>B21</f>
        <v>基础设施水平</v>
      </c>
      <c r="R21" s="1508" t="s">
        <v>8</v>
      </c>
      <c r="S21" s="1509">
        <f>F21</f>
        <v>100</v>
      </c>
      <c r="T21" s="1508" t="s">
        <v>8</v>
      </c>
      <c r="U21" s="1509">
        <f>H21</f>
        <v>100</v>
      </c>
      <c r="V21" s="1508" t="s">
        <v>8</v>
      </c>
      <c r="W21" s="1509">
        <f>J21</f>
        <v>100</v>
      </c>
      <c r="X21" s="2432"/>
      <c r="Y21" s="3517"/>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7"/>
      <c r="Q22" s="2430"/>
      <c r="R22" s="1508"/>
      <c r="S22" s="1509"/>
      <c r="T22" s="1508"/>
      <c r="U22" s="1509"/>
      <c r="V22" s="1508"/>
      <c r="W22" s="1509"/>
      <c r="X22" s="2432"/>
      <c r="Y22" s="3517"/>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7"/>
      <c r="Q23" s="1507" t="str">
        <f>B23</f>
        <v>环境质量</v>
      </c>
      <c r="R23" s="1508" t="s">
        <v>8</v>
      </c>
      <c r="S23" s="1509">
        <f>F23</f>
        <v>100</v>
      </c>
      <c r="T23" s="1508" t="s">
        <v>8</v>
      </c>
      <c r="U23" s="1509">
        <f>H23</f>
        <v>100</v>
      </c>
      <c r="V23" s="1508" t="s">
        <v>8</v>
      </c>
      <c r="W23" s="1509">
        <f>J23</f>
        <v>100</v>
      </c>
      <c r="X23" s="1502"/>
      <c r="Y23" s="351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7"/>
      <c r="Q24" s="1507"/>
      <c r="R24" s="1508"/>
      <c r="S24" s="1509"/>
      <c r="T24" s="1508"/>
      <c r="U24" s="1509"/>
      <c r="V24" s="1508"/>
      <c r="W24" s="1509"/>
      <c r="X24" s="1502"/>
      <c r="Y24" s="351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7"/>
      <c r="Q25" s="1507" t="str">
        <f>B25</f>
        <v>毗邻道路的类型与等级</v>
      </c>
      <c r="R25" s="1508" t="s">
        <v>8</v>
      </c>
      <c r="S25" s="1509">
        <f>F25</f>
        <v>100</v>
      </c>
      <c r="T25" s="1508" t="s">
        <v>8</v>
      </c>
      <c r="U25" s="1509">
        <f>H25</f>
        <v>100</v>
      </c>
      <c r="V25" s="1508" t="s">
        <v>8</v>
      </c>
      <c r="W25" s="1509">
        <f>J25</f>
        <v>100</v>
      </c>
      <c r="X25" s="1502"/>
      <c r="Y25" s="351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7"/>
      <c r="Q26" s="1507"/>
      <c r="R26" s="1508"/>
      <c r="S26" s="1509"/>
      <c r="T26" s="1508"/>
      <c r="U26" s="1509"/>
      <c r="V26" s="1508"/>
      <c r="W26" s="1509"/>
      <c r="X26" s="1502"/>
      <c r="Y26" s="351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7"/>
      <c r="Q27" s="1507" t="str">
        <f t="shared" ref="Q27:Q47" si="11">B27</f>
        <v>楼层</v>
      </c>
      <c r="R27" s="1508" t="s">
        <v>8</v>
      </c>
      <c r="S27" s="1509">
        <f>F27</f>
        <v>100</v>
      </c>
      <c r="T27" s="1508" t="s">
        <v>8</v>
      </c>
      <c r="U27" s="1509">
        <f>H27</f>
        <v>100</v>
      </c>
      <c r="V27" s="1508" t="s">
        <v>8</v>
      </c>
      <c r="W27" s="1509">
        <f>J27</f>
        <v>100</v>
      </c>
      <c r="X27" s="1502"/>
      <c r="Y27" s="351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7"/>
      <c r="Q28" s="1134" t="str">
        <f t="shared" si="11"/>
        <v>朝向</v>
      </c>
      <c r="R28" s="1503" t="s">
        <v>8</v>
      </c>
      <c r="S28" s="1504">
        <f>F28</f>
        <v>100</v>
      </c>
      <c r="T28" s="1503" t="s">
        <v>8</v>
      </c>
      <c r="U28" s="1504">
        <f>H28</f>
        <v>100</v>
      </c>
      <c r="V28" s="1503" t="s">
        <v>8</v>
      </c>
      <c r="W28" s="1504">
        <f>J28</f>
        <v>100</v>
      </c>
      <c r="X28" s="1505"/>
      <c r="Y28" s="351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7"/>
      <c r="Q29" s="1507">
        <f t="shared" si="11"/>
        <v>111</v>
      </c>
      <c r="R29" s="1508" t="s">
        <v>8</v>
      </c>
      <c r="S29" s="1509">
        <f t="shared" ref="S29:S47" si="12">F29</f>
        <v>100</v>
      </c>
      <c r="T29" s="1508" t="s">
        <v>8</v>
      </c>
      <c r="U29" s="1509">
        <f t="shared" ref="U29:U47" si="13">H29</f>
        <v>100</v>
      </c>
      <c r="V29" s="1508" t="s">
        <v>8</v>
      </c>
      <c r="W29" s="1509">
        <f t="shared" ref="W29:W47" si="14">J29</f>
        <v>100</v>
      </c>
      <c r="X29" s="1502"/>
      <c r="Y29" s="351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7"/>
      <c r="Q30" s="1507">
        <f t="shared" si="11"/>
        <v>111</v>
      </c>
      <c r="R30" s="1508" t="s">
        <v>8</v>
      </c>
      <c r="S30" s="1509">
        <f t="shared" si="12"/>
        <v>100</v>
      </c>
      <c r="T30" s="1508" t="s">
        <v>8</v>
      </c>
      <c r="U30" s="1509">
        <f t="shared" si="13"/>
        <v>100</v>
      </c>
      <c r="V30" s="1508" t="s">
        <v>8</v>
      </c>
      <c r="W30" s="1509">
        <f t="shared" si="14"/>
        <v>100</v>
      </c>
      <c r="X30" s="1502"/>
      <c r="Y30" s="351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7"/>
      <c r="Q31" s="1507">
        <f t="shared" si="11"/>
        <v>111</v>
      </c>
      <c r="R31" s="1508" t="s">
        <v>8</v>
      </c>
      <c r="S31" s="1509">
        <f t="shared" si="12"/>
        <v>100</v>
      </c>
      <c r="T31" s="1508" t="s">
        <v>8</v>
      </c>
      <c r="U31" s="1509">
        <f t="shared" si="13"/>
        <v>100</v>
      </c>
      <c r="V31" s="1508" t="s">
        <v>8</v>
      </c>
      <c r="W31" s="1509">
        <f t="shared" si="14"/>
        <v>100</v>
      </c>
      <c r="X31" s="1502"/>
      <c r="Y31" s="351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7"/>
      <c r="Q32" s="1507">
        <f t="shared" si="11"/>
        <v>111</v>
      </c>
      <c r="R32" s="1508" t="s">
        <v>8</v>
      </c>
      <c r="S32" s="1509">
        <f t="shared" si="12"/>
        <v>100</v>
      </c>
      <c r="T32" s="1508" t="s">
        <v>8</v>
      </c>
      <c r="U32" s="1509">
        <f t="shared" si="13"/>
        <v>100</v>
      </c>
      <c r="V32" s="1508" t="s">
        <v>8</v>
      </c>
      <c r="W32" s="1509">
        <f t="shared" si="14"/>
        <v>100</v>
      </c>
      <c r="X32" s="1502"/>
      <c r="Y32" s="3517"/>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8" t="s">
        <v>544</v>
      </c>
      <c r="Q33" s="1507" t="str">
        <f t="shared" si="11"/>
        <v>建筑类型</v>
      </c>
      <c r="R33" s="1508" t="s">
        <v>8</v>
      </c>
      <c r="S33" s="1509">
        <f t="shared" si="12"/>
        <v>100</v>
      </c>
      <c r="T33" s="1508" t="s">
        <v>8</v>
      </c>
      <c r="U33" s="1509">
        <f t="shared" si="13"/>
        <v>100</v>
      </c>
      <c r="V33" s="1508" t="s">
        <v>8</v>
      </c>
      <c r="W33" s="1509">
        <f t="shared" si="14"/>
        <v>100</v>
      </c>
      <c r="X33" s="1502"/>
      <c r="Y33" s="351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9"/>
      <c r="Q34" s="1536" t="str">
        <f t="shared" si="11"/>
        <v>项目建筑规模</v>
      </c>
      <c r="R34" s="1512" t="s">
        <v>8</v>
      </c>
      <c r="S34" s="1513" t="e">
        <f t="shared" si="12"/>
        <v>#N/A</v>
      </c>
      <c r="T34" s="1512" t="s">
        <v>8</v>
      </c>
      <c r="U34" s="1513" t="e">
        <f t="shared" si="13"/>
        <v>#N/A</v>
      </c>
      <c r="V34" s="1512" t="s">
        <v>8</v>
      </c>
      <c r="W34" s="1513" t="e">
        <f t="shared" si="14"/>
        <v>#N/A</v>
      </c>
      <c r="X34" s="1514"/>
      <c r="Y34" s="351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9"/>
      <c r="Q35" s="1507" t="str">
        <f t="shared" si="11"/>
        <v>建筑结构</v>
      </c>
      <c r="R35" s="1508" t="s">
        <v>8</v>
      </c>
      <c r="S35" s="1509">
        <f t="shared" si="12"/>
        <v>100</v>
      </c>
      <c r="T35" s="1508" t="s">
        <v>8</v>
      </c>
      <c r="U35" s="1509">
        <f t="shared" si="13"/>
        <v>100</v>
      </c>
      <c r="V35" s="1508" t="s">
        <v>8</v>
      </c>
      <c r="W35" s="1509">
        <f t="shared" si="14"/>
        <v>100</v>
      </c>
      <c r="X35" s="1502"/>
      <c r="Y35" s="351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9"/>
      <c r="Q36" s="1507" t="str">
        <f t="shared" si="11"/>
        <v>公共部分装修</v>
      </c>
      <c r="R36" s="1508" t="s">
        <v>8</v>
      </c>
      <c r="S36" s="1509">
        <f t="shared" si="12"/>
        <v>100</v>
      </c>
      <c r="T36" s="1508" t="s">
        <v>8</v>
      </c>
      <c r="U36" s="1509">
        <f t="shared" si="13"/>
        <v>100</v>
      </c>
      <c r="V36" s="1508" t="s">
        <v>8</v>
      </c>
      <c r="W36" s="1509">
        <f t="shared" si="14"/>
        <v>100</v>
      </c>
      <c r="X36" s="1502"/>
      <c r="Y36" s="351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9"/>
      <c r="Q37" s="1507" t="str">
        <f t="shared" si="11"/>
        <v>成新度</v>
      </c>
      <c r="R37" s="1508" t="s">
        <v>8</v>
      </c>
      <c r="S37" s="1509" t="e">
        <f t="shared" si="12"/>
        <v>#N/A</v>
      </c>
      <c r="T37" s="1508" t="s">
        <v>8</v>
      </c>
      <c r="U37" s="1509" t="e">
        <f t="shared" si="13"/>
        <v>#N/A</v>
      </c>
      <c r="V37" s="1508" t="s">
        <v>8</v>
      </c>
      <c r="W37" s="1509" t="e">
        <f t="shared" si="14"/>
        <v>#N/A</v>
      </c>
      <c r="X37" s="1502"/>
      <c r="Y37" s="351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9"/>
      <c r="Q38" s="1134" t="str">
        <f t="shared" si="11"/>
        <v>写字楼等级</v>
      </c>
      <c r="R38" s="1503" t="s">
        <v>8</v>
      </c>
      <c r="S38" s="1504">
        <f t="shared" si="12"/>
        <v>100</v>
      </c>
      <c r="T38" s="1503" t="s">
        <v>8</v>
      </c>
      <c r="U38" s="1504">
        <f t="shared" si="13"/>
        <v>100</v>
      </c>
      <c r="V38" s="1503" t="s">
        <v>8</v>
      </c>
      <c r="W38" s="1504">
        <f t="shared" si="14"/>
        <v>100</v>
      </c>
      <c r="X38" s="1505"/>
      <c r="Y38" s="351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9" t="s">
        <v>544</v>
      </c>
      <c r="Q39" s="1507" t="str">
        <f t="shared" si="11"/>
        <v>物业管理</v>
      </c>
      <c r="R39" s="1508" t="s">
        <v>8</v>
      </c>
      <c r="S39" s="1509">
        <f t="shared" si="12"/>
        <v>100</v>
      </c>
      <c r="T39" s="1508" t="s">
        <v>8</v>
      </c>
      <c r="U39" s="1509">
        <f t="shared" si="13"/>
        <v>100</v>
      </c>
      <c r="V39" s="1508" t="s">
        <v>8</v>
      </c>
      <c r="W39" s="1509">
        <f t="shared" si="14"/>
        <v>100</v>
      </c>
      <c r="X39" s="1502"/>
      <c r="Y39" s="3519"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9"/>
      <c r="Q40" s="1507" t="str">
        <f t="shared" si="11"/>
        <v>市政基础设施</v>
      </c>
      <c r="R40" s="1508" t="s">
        <v>8</v>
      </c>
      <c r="S40" s="1509">
        <f t="shared" si="12"/>
        <v>100</v>
      </c>
      <c r="T40" s="1508" t="s">
        <v>8</v>
      </c>
      <c r="U40" s="1509">
        <f t="shared" si="13"/>
        <v>100</v>
      </c>
      <c r="V40" s="1508" t="s">
        <v>8</v>
      </c>
      <c r="W40" s="1509">
        <f t="shared" si="14"/>
        <v>100</v>
      </c>
      <c r="X40" s="1502"/>
      <c r="Y40" s="351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9"/>
      <c r="Q41" s="1507" t="str">
        <f t="shared" si="11"/>
        <v>层高</v>
      </c>
      <c r="R41" s="1508" t="s">
        <v>8</v>
      </c>
      <c r="S41" s="1509">
        <f t="shared" si="12"/>
        <v>100</v>
      </c>
      <c r="T41" s="1508" t="s">
        <v>8</v>
      </c>
      <c r="U41" s="1509">
        <f t="shared" si="13"/>
        <v>100</v>
      </c>
      <c r="V41" s="1508" t="s">
        <v>8</v>
      </c>
      <c r="W41" s="1509">
        <f t="shared" si="14"/>
        <v>100</v>
      </c>
      <c r="X41" s="1502"/>
      <c r="Y41" s="351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9"/>
      <c r="Q42" s="1536" t="str">
        <f t="shared" si="11"/>
        <v>单套建筑面积</v>
      </c>
      <c r="R42" s="1512" t="s">
        <v>8</v>
      </c>
      <c r="S42" s="1513">
        <f t="shared" si="12"/>
        <v>100</v>
      </c>
      <c r="T42" s="1512" t="s">
        <v>8</v>
      </c>
      <c r="U42" s="1513">
        <f t="shared" si="13"/>
        <v>100</v>
      </c>
      <c r="V42" s="1512" t="s">
        <v>8</v>
      </c>
      <c r="W42" s="1513">
        <f t="shared" si="14"/>
        <v>100</v>
      </c>
      <c r="X42" s="1514"/>
      <c r="Y42" s="351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9"/>
      <c r="Q43" s="1507" t="str">
        <f t="shared" si="11"/>
        <v>内部装修</v>
      </c>
      <c r="R43" s="1508" t="s">
        <v>8</v>
      </c>
      <c r="S43" s="1509">
        <f t="shared" si="12"/>
        <v>100</v>
      </c>
      <c r="T43" s="1508" t="s">
        <v>8</v>
      </c>
      <c r="U43" s="1509">
        <f t="shared" si="13"/>
        <v>100</v>
      </c>
      <c r="V43" s="1508" t="s">
        <v>8</v>
      </c>
      <c r="W43" s="1509">
        <f t="shared" si="14"/>
        <v>100</v>
      </c>
      <c r="X43" s="1502"/>
      <c r="Y43" s="351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9"/>
      <c r="Q44" s="1507" t="str">
        <f t="shared" si="11"/>
        <v>内部装修维护情况</v>
      </c>
      <c r="R44" s="1508" t="s">
        <v>8</v>
      </c>
      <c r="S44" s="1509">
        <f t="shared" si="12"/>
        <v>100</v>
      </c>
      <c r="T44" s="1508" t="s">
        <v>8</v>
      </c>
      <c r="U44" s="1509">
        <f t="shared" si="13"/>
        <v>100</v>
      </c>
      <c r="V44" s="1508" t="s">
        <v>8</v>
      </c>
      <c r="W44" s="1509">
        <f t="shared" si="14"/>
        <v>100</v>
      </c>
      <c r="X44" s="1502"/>
      <c r="Y44" s="351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9"/>
      <c r="Q45" s="1134">
        <f t="shared" si="11"/>
        <v>111</v>
      </c>
      <c r="R45" s="1503" t="s">
        <v>8</v>
      </c>
      <c r="S45" s="1504">
        <f t="shared" si="12"/>
        <v>100</v>
      </c>
      <c r="T45" s="1503" t="s">
        <v>8</v>
      </c>
      <c r="U45" s="1504">
        <f t="shared" si="13"/>
        <v>100</v>
      </c>
      <c r="V45" s="1503" t="s">
        <v>8</v>
      </c>
      <c r="W45" s="1504">
        <f t="shared" si="14"/>
        <v>100</v>
      </c>
      <c r="X45" s="1505"/>
      <c r="Y45" s="351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9"/>
      <c r="Q46" s="1507">
        <f t="shared" si="11"/>
        <v>111</v>
      </c>
      <c r="R46" s="1508" t="s">
        <v>8</v>
      </c>
      <c r="S46" s="1509">
        <f t="shared" si="12"/>
        <v>100</v>
      </c>
      <c r="T46" s="1508" t="s">
        <v>8</v>
      </c>
      <c r="U46" s="1509">
        <f t="shared" si="13"/>
        <v>100</v>
      </c>
      <c r="V46" s="1508" t="s">
        <v>8</v>
      </c>
      <c r="W46" s="1509">
        <f t="shared" si="14"/>
        <v>100</v>
      </c>
      <c r="X46" s="1502"/>
      <c r="Y46" s="351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01"/>
      <c r="Q47" s="1507">
        <f t="shared" si="11"/>
        <v>111</v>
      </c>
      <c r="R47" s="1508" t="s">
        <v>8</v>
      </c>
      <c r="S47" s="1509">
        <f t="shared" si="12"/>
        <v>100</v>
      </c>
      <c r="T47" s="1508" t="s">
        <v>8</v>
      </c>
      <c r="U47" s="1509">
        <f t="shared" si="13"/>
        <v>100</v>
      </c>
      <c r="V47" s="1508" t="s">
        <v>8</v>
      </c>
      <c r="W47" s="1509">
        <f t="shared" si="14"/>
        <v>100</v>
      </c>
      <c r="X47" s="1502"/>
      <c r="Y47" s="3601"/>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79" t="str">
        <f>A48</f>
        <v>成交单价（元/平方米）</v>
      </c>
      <c r="Q48" s="3481"/>
      <c r="R48" s="3600">
        <f>E48</f>
        <v>0</v>
      </c>
      <c r="S48" s="3600"/>
      <c r="T48" s="3600">
        <f>G48</f>
        <v>0</v>
      </c>
      <c r="U48" s="3600"/>
      <c r="V48" s="3600">
        <f>I48</f>
        <v>0</v>
      </c>
      <c r="W48" s="3600"/>
      <c r="X48" s="1497"/>
      <c r="Y48" s="1516"/>
      <c r="Z48" s="1497"/>
      <c r="AA48" s="1497"/>
      <c r="AB48" s="1497"/>
      <c r="AC48" s="1497"/>
    </row>
    <row r="49" spans="1:29" ht="15.75" thickBot="1">
      <c r="A49" s="609" t="s">
        <v>2741</v>
      </c>
      <c r="B49" s="877"/>
      <c r="C49" s="2477" t="e">
        <f>R50</f>
        <v>#DIV/0!</v>
      </c>
      <c r="D49" s="3015" t="s">
        <v>2972</v>
      </c>
      <c r="E49" s="2478" t="e">
        <f>R49</f>
        <v>#DIV/0!</v>
      </c>
      <c r="F49" s="3016"/>
      <c r="G49" s="2477" t="e">
        <f>T49</f>
        <v>#DIV/0!</v>
      </c>
      <c r="H49" s="3016"/>
      <c r="I49" s="2478" t="e">
        <f>V49</f>
        <v>#DIV/0!</v>
      </c>
      <c r="J49" s="3016"/>
      <c r="K49" s="3024">
        <f>F49+H49+J49</f>
        <v>0</v>
      </c>
      <c r="L49" s="2027"/>
      <c r="M49" s="2017"/>
      <c r="N49" s="2017"/>
      <c r="O49" s="2017"/>
      <c r="P49" s="3479" t="str">
        <f>A49</f>
        <v>比较价格（元/平方米）</v>
      </c>
      <c r="Q49" s="3481"/>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7"/>
      <c r="Y49" s="1497"/>
      <c r="Z49" s="1497"/>
      <c r="AA49" s="1497"/>
      <c r="AB49" s="1497"/>
      <c r="AC49" s="1497"/>
    </row>
    <row r="50" spans="1:29" ht="15.75" thickBot="1">
      <c r="A50" s="613" t="s">
        <v>2904</v>
      </c>
      <c r="B50" s="614"/>
      <c r="C50" s="2479" t="e">
        <f>R50</f>
        <v>#DIV/0!</v>
      </c>
      <c r="D50" s="2479"/>
      <c r="E50" s="2479"/>
      <c r="F50" s="2479"/>
      <c r="G50" s="2479"/>
      <c r="H50" s="2479"/>
      <c r="I50" s="2479"/>
      <c r="J50" s="2479"/>
      <c r="K50" s="1542"/>
      <c r="L50" s="2027"/>
      <c r="M50" s="2017"/>
      <c r="N50" s="2017"/>
      <c r="O50" s="2017"/>
      <c r="P50" s="3602" t="str">
        <f>A50</f>
        <v>估价对象XX用房的比较价格（楼面单价，元/平方米）</v>
      </c>
      <c r="Q50" s="3479"/>
      <c r="R50" s="3599" t="e">
        <f>IF(F1="售价",ROUND(IF(D49="简单平均",AVERAGE(R49:V49),R49*F49+T49*H49+V49*J49),0),ROUND(IF(D49="简单平均",AVERAGE(R49:V49),R49*F49+T49*H49+V49*J49),1))</f>
        <v>#DIV/0!</v>
      </c>
      <c r="S50" s="3599"/>
      <c r="T50" s="3599"/>
      <c r="U50" s="3599"/>
      <c r="V50" s="3599"/>
      <c r="W50" s="3599"/>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v>
      </c>
      <c r="D59" s="2522">
        <f>EDATE(C59,-1)</f>
        <v>44166</v>
      </c>
      <c r="E59" s="2522">
        <f t="shared" ref="E59:O59" si="16">EDATE(D59,-1)</f>
        <v>44136</v>
      </c>
      <c r="F59" s="2522">
        <f t="shared" si="16"/>
        <v>44105</v>
      </c>
      <c r="G59" s="2522">
        <f t="shared" si="16"/>
        <v>44075</v>
      </c>
      <c r="H59" s="2522">
        <f t="shared" si="16"/>
        <v>44044</v>
      </c>
      <c r="I59" s="2522">
        <f t="shared" si="16"/>
        <v>44013</v>
      </c>
      <c r="J59" s="2522">
        <f t="shared" si="16"/>
        <v>43983</v>
      </c>
      <c r="K59" s="2522">
        <f t="shared" si="16"/>
        <v>43952</v>
      </c>
      <c r="L59" s="2522">
        <f t="shared" si="16"/>
        <v>43922</v>
      </c>
      <c r="M59" s="2522">
        <f t="shared" si="16"/>
        <v>43891</v>
      </c>
      <c r="N59" s="2522">
        <f t="shared" si="16"/>
        <v>43862</v>
      </c>
      <c r="O59" s="2522">
        <f t="shared" si="16"/>
        <v>43831</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515</v>
      </c>
      <c r="B4" s="507"/>
      <c r="C4" s="3487" t="s">
        <v>516</v>
      </c>
      <c r="D4" s="3488"/>
      <c r="E4" s="3522" t="s">
        <v>517</v>
      </c>
      <c r="F4" s="3523"/>
      <c r="G4" s="3487" t="s">
        <v>518</v>
      </c>
      <c r="H4" s="3488"/>
      <c r="I4" s="3487" t="s">
        <v>519</v>
      </c>
      <c r="J4" s="3488"/>
      <c r="K4" s="508" t="s">
        <v>520</v>
      </c>
      <c r="L4" s="2016"/>
      <c r="M4" s="2017"/>
      <c r="N4" s="2017"/>
      <c r="O4" s="2017"/>
      <c r="P4" s="3489" t="s">
        <v>521</v>
      </c>
      <c r="Q4" s="3490"/>
      <c r="R4" s="3495" t="s">
        <v>517</v>
      </c>
      <c r="S4" s="3496"/>
      <c r="T4" s="3495" t="s">
        <v>518</v>
      </c>
      <c r="U4" s="3496"/>
      <c r="V4" s="3482" t="s">
        <v>519</v>
      </c>
      <c r="W4" s="3482"/>
      <c r="X4" s="1502"/>
      <c r="Y4" s="3495" t="s">
        <v>521</v>
      </c>
      <c r="Z4" s="3496"/>
      <c r="AA4" s="3484" t="s">
        <v>517</v>
      </c>
      <c r="AB4" s="3485" t="s">
        <v>518</v>
      </c>
      <c r="AC4" s="3484" t="s">
        <v>519</v>
      </c>
    </row>
    <row r="5" spans="1:29" ht="15">
      <c r="A5" s="509"/>
      <c r="B5" s="510"/>
      <c r="C5" s="3503" t="s">
        <v>2898</v>
      </c>
      <c r="D5" s="3504"/>
      <c r="E5" s="3524" t="s">
        <v>2899</v>
      </c>
      <c r="F5" s="3525"/>
      <c r="G5" s="3503" t="s">
        <v>2900</v>
      </c>
      <c r="H5" s="3504"/>
      <c r="I5" s="3503" t="s">
        <v>2901</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2902</v>
      </c>
      <c r="D6" s="3502"/>
      <c r="E6" s="3520" t="s">
        <v>2902</v>
      </c>
      <c r="F6" s="3521"/>
      <c r="G6" s="3501" t="s">
        <v>2902</v>
      </c>
      <c r="H6" s="3502"/>
      <c r="I6" s="3501" t="s">
        <v>2902</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44216</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13" t="s">
        <v>524</v>
      </c>
      <c r="Q7" s="3515"/>
      <c r="R7" s="1503" t="s">
        <v>8</v>
      </c>
      <c r="S7" s="1504">
        <f t="shared" ref="S7:S15" si="0">F7</f>
        <v>0</v>
      </c>
      <c r="T7" s="1503" t="s">
        <v>8</v>
      </c>
      <c r="U7" s="1504">
        <f t="shared" ref="U7:U15" si="1">H7</f>
        <v>0</v>
      </c>
      <c r="V7" s="1503" t="s">
        <v>8</v>
      </c>
      <c r="W7" s="1504">
        <f t="shared" ref="W7:W15"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13" t="s">
        <v>527</v>
      </c>
      <c r="Q8" s="3514"/>
      <c r="R8" s="1503" t="s">
        <v>8</v>
      </c>
      <c r="S8" s="1504">
        <f t="shared" si="0"/>
        <v>0</v>
      </c>
      <c r="T8" s="1503" t="s">
        <v>8</v>
      </c>
      <c r="U8" s="1504">
        <f t="shared" si="1"/>
        <v>0</v>
      </c>
      <c r="V8" s="1503" t="s">
        <v>8</v>
      </c>
      <c r="W8" s="1504">
        <f t="shared" si="2"/>
        <v>0</v>
      </c>
      <c r="X8" s="1505"/>
      <c r="Y8" s="3513" t="s">
        <v>527</v>
      </c>
      <c r="Z8" s="3514"/>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81" t="s">
        <v>529</v>
      </c>
      <c r="Q9" s="1134" t="str">
        <f t="shared" ref="Q9:Q15" si="6">B9</f>
        <v>用途</v>
      </c>
      <c r="R9" s="1503" t="s">
        <v>8</v>
      </c>
      <c r="S9" s="1504">
        <f t="shared" si="0"/>
        <v>100</v>
      </c>
      <c r="T9" s="1503" t="s">
        <v>8</v>
      </c>
      <c r="U9" s="1504">
        <f t="shared" si="1"/>
        <v>100</v>
      </c>
      <c r="V9" s="1503" t="s">
        <v>8</v>
      </c>
      <c r="W9" s="1504">
        <f t="shared" si="2"/>
        <v>100</v>
      </c>
      <c r="X9" s="1505"/>
      <c r="Y9" s="3427"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81"/>
      <c r="Q11" s="1134" t="str">
        <f t="shared" si="6"/>
        <v>容积率</v>
      </c>
      <c r="R11" s="1503" t="s">
        <v>8</v>
      </c>
      <c r="S11" s="1504" t="e">
        <f t="shared" si="0"/>
        <v>#N/A</v>
      </c>
      <c r="T11" s="1503" t="s">
        <v>8</v>
      </c>
      <c r="U11" s="1504" t="e">
        <f t="shared" si="1"/>
        <v>#N/A</v>
      </c>
      <c r="V11" s="1503" t="s">
        <v>8</v>
      </c>
      <c r="W11" s="1504" t="e">
        <f t="shared" si="2"/>
        <v>#N/A</v>
      </c>
      <c r="X11" s="1505"/>
      <c r="Y11" s="3427"/>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81"/>
      <c r="Q14" s="1134">
        <f t="shared" si="6"/>
        <v>111</v>
      </c>
      <c r="R14" s="1503" t="s">
        <v>8</v>
      </c>
      <c r="S14" s="1504">
        <f t="shared" si="0"/>
        <v>100</v>
      </c>
      <c r="T14" s="1503" t="s">
        <v>8</v>
      </c>
      <c r="U14" s="1504">
        <f t="shared" si="1"/>
        <v>100</v>
      </c>
      <c r="V14" s="1503" t="s">
        <v>8</v>
      </c>
      <c r="W14" s="1504">
        <f t="shared" si="2"/>
        <v>100</v>
      </c>
      <c r="X14" s="1505"/>
      <c r="Y14" s="3427"/>
      <c r="Z14" s="1133">
        <f t="shared" si="7"/>
        <v>111</v>
      </c>
      <c r="AA14" s="1506">
        <f t="shared" si="3"/>
        <v>1</v>
      </c>
      <c r="AB14" s="1506">
        <f t="shared" si="4"/>
        <v>1</v>
      </c>
      <c r="AC14" s="1506">
        <f t="shared" si="5"/>
        <v>1</v>
      </c>
    </row>
    <row r="15" spans="1:29" ht="57">
      <c r="A15" s="2628"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6" t="s">
        <v>534</v>
      </c>
      <c r="Q15" s="1507" t="str">
        <f t="shared" si="6"/>
        <v>产业集聚程度</v>
      </c>
      <c r="R15" s="1508" t="s">
        <v>8</v>
      </c>
      <c r="S15" s="1509">
        <f t="shared" si="0"/>
        <v>100</v>
      </c>
      <c r="T15" s="1508" t="s">
        <v>8</v>
      </c>
      <c r="U15" s="1509">
        <f t="shared" si="1"/>
        <v>100</v>
      </c>
      <c r="V15" s="1508" t="s">
        <v>8</v>
      </c>
      <c r="W15" s="1509">
        <f t="shared" si="2"/>
        <v>100</v>
      </c>
      <c r="X15" s="1502"/>
      <c r="Y15" s="351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7"/>
      <c r="Q16" s="1507"/>
      <c r="R16" s="1508"/>
      <c r="S16" s="1509"/>
      <c r="T16" s="1508"/>
      <c r="U16" s="1509"/>
      <c r="V16" s="1508"/>
      <c r="W16" s="1509"/>
      <c r="X16" s="1502"/>
      <c r="Y16" s="351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7"/>
      <c r="Q17" s="1507" t="str">
        <f>B17</f>
        <v>交通便捷度</v>
      </c>
      <c r="R17" s="1508" t="s">
        <v>8</v>
      </c>
      <c r="S17" s="1509">
        <f>F17</f>
        <v>100</v>
      </c>
      <c r="T17" s="1508" t="s">
        <v>8</v>
      </c>
      <c r="U17" s="1509">
        <f>H17</f>
        <v>100</v>
      </c>
      <c r="V17" s="1508" t="s">
        <v>8</v>
      </c>
      <c r="W17" s="1509">
        <f>J17</f>
        <v>100</v>
      </c>
      <c r="X17" s="1502"/>
      <c r="Y17" s="351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7"/>
      <c r="Q18" s="1507"/>
      <c r="R18" s="1508"/>
      <c r="S18" s="1509"/>
      <c r="T18" s="1508"/>
      <c r="U18" s="1509"/>
      <c r="V18" s="1508"/>
      <c r="W18" s="1509"/>
      <c r="X18" s="1502"/>
      <c r="Y18" s="3517"/>
      <c r="Z18" s="1510"/>
      <c r="AA18" s="1511">
        <v>1</v>
      </c>
      <c r="AB18" s="1511">
        <v>1</v>
      </c>
      <c r="AC18" s="1511">
        <v>1</v>
      </c>
    </row>
    <row r="19" spans="1:29" ht="42.75">
      <c r="A19" s="526"/>
      <c r="B19" s="2448"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7"/>
      <c r="Q19" s="1507" t="str">
        <f>B19</f>
        <v>公共配套设施</v>
      </c>
      <c r="R19" s="1508" t="s">
        <v>8</v>
      </c>
      <c r="S19" s="1509">
        <f>F19</f>
        <v>100</v>
      </c>
      <c r="T19" s="1508" t="s">
        <v>8</v>
      </c>
      <c r="U19" s="1509">
        <f>H19</f>
        <v>100</v>
      </c>
      <c r="V19" s="1508" t="s">
        <v>8</v>
      </c>
      <c r="W19" s="1509">
        <f>J19</f>
        <v>100</v>
      </c>
      <c r="X19" s="1502"/>
      <c r="Y19" s="351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7"/>
      <c r="Q20" s="1507"/>
      <c r="R20" s="1508"/>
      <c r="S20" s="1509"/>
      <c r="T20" s="1508"/>
      <c r="U20" s="1509"/>
      <c r="V20" s="1508"/>
      <c r="W20" s="1509"/>
      <c r="X20" s="1502"/>
      <c r="Y20" s="3517"/>
      <c r="Z20" s="1510"/>
      <c r="AA20" s="1511">
        <v>1</v>
      </c>
      <c r="AB20" s="1511">
        <v>1</v>
      </c>
      <c r="AC20" s="1511">
        <v>1</v>
      </c>
    </row>
    <row r="21" spans="1:29" ht="28.5">
      <c r="A21" s="526"/>
      <c r="B21" s="2436"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7"/>
      <c r="Q21" s="2430" t="str">
        <f>B21</f>
        <v>基础设施水平</v>
      </c>
      <c r="R21" s="1508" t="s">
        <v>8</v>
      </c>
      <c r="S21" s="1509">
        <f>F21</f>
        <v>100</v>
      </c>
      <c r="T21" s="1508" t="s">
        <v>8</v>
      </c>
      <c r="U21" s="1509">
        <f>H21</f>
        <v>100</v>
      </c>
      <c r="V21" s="1508" t="s">
        <v>8</v>
      </c>
      <c r="W21" s="1509">
        <f>J21</f>
        <v>100</v>
      </c>
      <c r="X21" s="2432"/>
      <c r="Y21" s="3517"/>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7"/>
      <c r="Q22" s="2430"/>
      <c r="R22" s="1508"/>
      <c r="S22" s="1509"/>
      <c r="T22" s="1508"/>
      <c r="U22" s="1509"/>
      <c r="V22" s="1508"/>
      <c r="W22" s="1509"/>
      <c r="X22" s="2432"/>
      <c r="Y22" s="3517"/>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7"/>
      <c r="Q23" s="1507" t="str">
        <f>B23</f>
        <v>环境质量</v>
      </c>
      <c r="R23" s="1508" t="s">
        <v>8</v>
      </c>
      <c r="S23" s="1509">
        <f>F23</f>
        <v>100</v>
      </c>
      <c r="T23" s="1508" t="s">
        <v>8</v>
      </c>
      <c r="U23" s="1509">
        <f>H23</f>
        <v>100</v>
      </c>
      <c r="V23" s="1508" t="s">
        <v>8</v>
      </c>
      <c r="W23" s="1509">
        <f>J23</f>
        <v>100</v>
      </c>
      <c r="X23" s="1502"/>
      <c r="Y23" s="351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7"/>
      <c r="Q24" s="1507"/>
      <c r="R24" s="1508"/>
      <c r="S24" s="1509"/>
      <c r="T24" s="1508"/>
      <c r="U24" s="1509"/>
      <c r="V24" s="1508"/>
      <c r="W24" s="1509"/>
      <c r="X24" s="1502"/>
      <c r="Y24" s="351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7"/>
      <c r="Q25" s="1507">
        <f>B25</f>
        <v>111</v>
      </c>
      <c r="R25" s="1508" t="s">
        <v>8</v>
      </c>
      <c r="S25" s="1509">
        <f>F25</f>
        <v>100</v>
      </c>
      <c r="T25" s="1508" t="s">
        <v>8</v>
      </c>
      <c r="U25" s="1509">
        <f>H25</f>
        <v>100</v>
      </c>
      <c r="V25" s="1508" t="s">
        <v>8</v>
      </c>
      <c r="W25" s="1509">
        <f>J25</f>
        <v>100</v>
      </c>
      <c r="X25" s="1502"/>
      <c r="Y25" s="351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7"/>
      <c r="Q26" s="1507">
        <f t="shared" ref="Q26:Q40" si="11">B26</f>
        <v>111</v>
      </c>
      <c r="R26" s="1508" t="s">
        <v>8</v>
      </c>
      <c r="S26" s="1509">
        <f>F26</f>
        <v>100</v>
      </c>
      <c r="T26" s="1508" t="s">
        <v>8</v>
      </c>
      <c r="U26" s="1509">
        <f>H26</f>
        <v>100</v>
      </c>
      <c r="V26" s="1508" t="s">
        <v>8</v>
      </c>
      <c r="W26" s="1509">
        <f>J26</f>
        <v>100</v>
      </c>
      <c r="X26" s="1502"/>
      <c r="Y26" s="351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7"/>
      <c r="Q27" s="1134">
        <f t="shared" si="11"/>
        <v>111</v>
      </c>
      <c r="R27" s="1503" t="s">
        <v>8</v>
      </c>
      <c r="S27" s="1504">
        <f>F27</f>
        <v>100</v>
      </c>
      <c r="T27" s="1503" t="s">
        <v>8</v>
      </c>
      <c r="U27" s="1504">
        <f>H27</f>
        <v>100</v>
      </c>
      <c r="V27" s="1503" t="s">
        <v>8</v>
      </c>
      <c r="W27" s="1504">
        <f>J27</f>
        <v>100</v>
      </c>
      <c r="X27" s="1505"/>
      <c r="Y27" s="351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7"/>
      <c r="Q28" s="1507">
        <f t="shared" si="11"/>
        <v>111</v>
      </c>
      <c r="R28" s="1508" t="s">
        <v>8</v>
      </c>
      <c r="S28" s="1509">
        <f t="shared" ref="S28:S40" si="12">F28</f>
        <v>100</v>
      </c>
      <c r="T28" s="1508" t="s">
        <v>8</v>
      </c>
      <c r="U28" s="1509">
        <f t="shared" ref="U28:U40" si="13">H28</f>
        <v>100</v>
      </c>
      <c r="V28" s="1508" t="s">
        <v>8</v>
      </c>
      <c r="W28" s="1509">
        <f t="shared" ref="W28:W40" si="14">J28</f>
        <v>100</v>
      </c>
      <c r="X28" s="1502"/>
      <c r="Y28" s="3517"/>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8" t="s">
        <v>544</v>
      </c>
      <c r="Q29" s="1507" t="str">
        <f t="shared" si="11"/>
        <v>建筑类型</v>
      </c>
      <c r="R29" s="1508" t="s">
        <v>8</v>
      </c>
      <c r="S29" s="1509">
        <f t="shared" si="12"/>
        <v>100</v>
      </c>
      <c r="T29" s="1508" t="s">
        <v>8</v>
      </c>
      <c r="U29" s="1509">
        <f t="shared" si="13"/>
        <v>100</v>
      </c>
      <c r="V29" s="1508" t="s">
        <v>8</v>
      </c>
      <c r="W29" s="1509">
        <f t="shared" si="14"/>
        <v>100</v>
      </c>
      <c r="X29" s="1502"/>
      <c r="Y29" s="351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9"/>
      <c r="Q30" s="1536" t="str">
        <f t="shared" si="11"/>
        <v>项目建筑规模</v>
      </c>
      <c r="R30" s="1512" t="s">
        <v>8</v>
      </c>
      <c r="S30" s="1513" t="e">
        <f t="shared" si="12"/>
        <v>#N/A</v>
      </c>
      <c r="T30" s="1512" t="s">
        <v>8</v>
      </c>
      <c r="U30" s="1513" t="e">
        <f t="shared" si="13"/>
        <v>#N/A</v>
      </c>
      <c r="V30" s="1512" t="s">
        <v>8</v>
      </c>
      <c r="W30" s="1513" t="e">
        <f t="shared" si="14"/>
        <v>#N/A</v>
      </c>
      <c r="X30" s="1514"/>
      <c r="Y30" s="351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9"/>
      <c r="Q31" s="1507" t="str">
        <f t="shared" si="11"/>
        <v>建筑结构</v>
      </c>
      <c r="R31" s="1508" t="s">
        <v>8</v>
      </c>
      <c r="S31" s="1509">
        <f t="shared" si="12"/>
        <v>100</v>
      </c>
      <c r="T31" s="1508" t="s">
        <v>8</v>
      </c>
      <c r="U31" s="1509">
        <f t="shared" si="13"/>
        <v>100</v>
      </c>
      <c r="V31" s="1508" t="s">
        <v>8</v>
      </c>
      <c r="W31" s="1509">
        <f t="shared" si="14"/>
        <v>100</v>
      </c>
      <c r="X31" s="1502"/>
      <c r="Y31" s="351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9"/>
      <c r="Q32" s="1507" t="str">
        <f t="shared" si="11"/>
        <v>公共部分装修</v>
      </c>
      <c r="R32" s="1508" t="s">
        <v>8</v>
      </c>
      <c r="S32" s="1509">
        <f t="shared" si="12"/>
        <v>100</v>
      </c>
      <c r="T32" s="1508" t="s">
        <v>8</v>
      </c>
      <c r="U32" s="1509">
        <f t="shared" si="13"/>
        <v>100</v>
      </c>
      <c r="V32" s="1508" t="s">
        <v>8</v>
      </c>
      <c r="W32" s="1509">
        <f t="shared" si="14"/>
        <v>100</v>
      </c>
      <c r="X32" s="1502"/>
      <c r="Y32" s="351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9"/>
      <c r="Q33" s="1507" t="str">
        <f t="shared" si="11"/>
        <v>成新度</v>
      </c>
      <c r="R33" s="1508" t="s">
        <v>8</v>
      </c>
      <c r="S33" s="1509" t="e">
        <f t="shared" si="12"/>
        <v>#N/A</v>
      </c>
      <c r="T33" s="1508" t="s">
        <v>8</v>
      </c>
      <c r="U33" s="1509" t="e">
        <f t="shared" si="13"/>
        <v>#N/A</v>
      </c>
      <c r="V33" s="1508" t="s">
        <v>8</v>
      </c>
      <c r="W33" s="1509" t="e">
        <f t="shared" si="14"/>
        <v>#N/A</v>
      </c>
      <c r="X33" s="1502"/>
      <c r="Y33" s="351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9"/>
      <c r="Q34" s="1134" t="str">
        <f t="shared" si="11"/>
        <v>物业管理</v>
      </c>
      <c r="R34" s="1503" t="s">
        <v>8</v>
      </c>
      <c r="S34" s="1504">
        <f t="shared" si="12"/>
        <v>100</v>
      </c>
      <c r="T34" s="1503" t="s">
        <v>8</v>
      </c>
      <c r="U34" s="1504">
        <f t="shared" si="13"/>
        <v>100</v>
      </c>
      <c r="V34" s="1503" t="s">
        <v>8</v>
      </c>
      <c r="W34" s="1504">
        <f t="shared" si="14"/>
        <v>100</v>
      </c>
      <c r="X34" s="1505"/>
      <c r="Y34" s="3519"/>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9" t="s">
        <v>544</v>
      </c>
      <c r="Q35" s="1507" t="str">
        <f t="shared" si="11"/>
        <v>市政基础设施</v>
      </c>
      <c r="R35" s="1508" t="s">
        <v>8</v>
      </c>
      <c r="S35" s="1509">
        <f t="shared" si="12"/>
        <v>100</v>
      </c>
      <c r="T35" s="1508" t="s">
        <v>8</v>
      </c>
      <c r="U35" s="1509">
        <f t="shared" si="13"/>
        <v>100</v>
      </c>
      <c r="V35" s="1508" t="s">
        <v>8</v>
      </c>
      <c r="W35" s="1509">
        <f t="shared" si="14"/>
        <v>100</v>
      </c>
      <c r="X35" s="1502"/>
      <c r="Y35" s="351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9"/>
      <c r="Q36" s="1507" t="str">
        <f t="shared" si="11"/>
        <v>内部装修</v>
      </c>
      <c r="R36" s="1508" t="s">
        <v>8</v>
      </c>
      <c r="S36" s="1509">
        <f t="shared" si="12"/>
        <v>100</v>
      </c>
      <c r="T36" s="1508" t="s">
        <v>8</v>
      </c>
      <c r="U36" s="1509">
        <f t="shared" si="13"/>
        <v>100</v>
      </c>
      <c r="V36" s="1508" t="s">
        <v>8</v>
      </c>
      <c r="W36" s="1509">
        <f t="shared" si="14"/>
        <v>100</v>
      </c>
      <c r="X36" s="1502"/>
      <c r="Y36" s="351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9"/>
      <c r="Q37" s="1507" t="str">
        <f t="shared" si="11"/>
        <v>内部装修状况</v>
      </c>
      <c r="R37" s="1508" t="s">
        <v>8</v>
      </c>
      <c r="S37" s="1509">
        <f t="shared" si="12"/>
        <v>100</v>
      </c>
      <c r="T37" s="1508" t="s">
        <v>8</v>
      </c>
      <c r="U37" s="1509">
        <f t="shared" si="13"/>
        <v>100</v>
      </c>
      <c r="V37" s="1508" t="s">
        <v>8</v>
      </c>
      <c r="W37" s="1509">
        <f t="shared" si="14"/>
        <v>100</v>
      </c>
      <c r="X37" s="1502"/>
      <c r="Y37" s="351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9"/>
      <c r="Q38" s="1536">
        <f t="shared" si="11"/>
        <v>111</v>
      </c>
      <c r="R38" s="1512" t="s">
        <v>8</v>
      </c>
      <c r="S38" s="1513">
        <f t="shared" si="12"/>
        <v>100</v>
      </c>
      <c r="T38" s="1512" t="s">
        <v>8</v>
      </c>
      <c r="U38" s="1513">
        <f t="shared" si="13"/>
        <v>100</v>
      </c>
      <c r="V38" s="1512" t="s">
        <v>8</v>
      </c>
      <c r="W38" s="1513">
        <f t="shared" si="14"/>
        <v>100</v>
      </c>
      <c r="X38" s="1514"/>
      <c r="Y38" s="351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9"/>
      <c r="Q39" s="1507">
        <f t="shared" si="11"/>
        <v>111</v>
      </c>
      <c r="R39" s="1508" t="s">
        <v>8</v>
      </c>
      <c r="S39" s="1509">
        <f t="shared" si="12"/>
        <v>100</v>
      </c>
      <c r="T39" s="1508" t="s">
        <v>8</v>
      </c>
      <c r="U39" s="1509">
        <f t="shared" si="13"/>
        <v>100</v>
      </c>
      <c r="V39" s="1508" t="s">
        <v>8</v>
      </c>
      <c r="W39" s="1509">
        <f t="shared" si="14"/>
        <v>100</v>
      </c>
      <c r="X39" s="1502"/>
      <c r="Y39" s="351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01"/>
      <c r="Q40" s="1507">
        <f t="shared" si="11"/>
        <v>111</v>
      </c>
      <c r="R40" s="1508" t="s">
        <v>8</v>
      </c>
      <c r="S40" s="1509">
        <f t="shared" si="12"/>
        <v>100</v>
      </c>
      <c r="T40" s="1508" t="s">
        <v>8</v>
      </c>
      <c r="U40" s="1509">
        <f t="shared" si="13"/>
        <v>100</v>
      </c>
      <c r="V40" s="1508" t="s">
        <v>8</v>
      </c>
      <c r="W40" s="1509">
        <f t="shared" si="14"/>
        <v>100</v>
      </c>
      <c r="X40" s="1502"/>
      <c r="Y40" s="3601"/>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81" t="str">
        <f>A41</f>
        <v>成交单价（元/平方米）</v>
      </c>
      <c r="Q41" s="3481"/>
      <c r="R41" s="3600">
        <f>E41</f>
        <v>0</v>
      </c>
      <c r="S41" s="3600"/>
      <c r="T41" s="3600">
        <f>G41</f>
        <v>0</v>
      </c>
      <c r="U41" s="3600"/>
      <c r="V41" s="3600">
        <f>I41</f>
        <v>0</v>
      </c>
      <c r="W41" s="3600"/>
      <c r="X41" s="1497"/>
      <c r="Y41" s="1516"/>
      <c r="Z41" s="1497"/>
      <c r="AA41" s="1497"/>
      <c r="AB41" s="1497"/>
      <c r="AC41" s="1497"/>
    </row>
    <row r="42" spans="1:29" ht="15.75" thickBot="1">
      <c r="A42" s="609" t="s">
        <v>2741</v>
      </c>
      <c r="B42" s="877"/>
      <c r="C42" s="2477" t="e">
        <f>R43</f>
        <v>#DIV/0!</v>
      </c>
      <c r="D42" s="3015" t="s">
        <v>2972</v>
      </c>
      <c r="E42" s="2478" t="e">
        <f>R42</f>
        <v>#DIV/0!</v>
      </c>
      <c r="F42" s="3016"/>
      <c r="G42" s="2477" t="e">
        <f>T42</f>
        <v>#DIV/0!</v>
      </c>
      <c r="H42" s="3016"/>
      <c r="I42" s="2478" t="e">
        <f>V42</f>
        <v>#DIV/0!</v>
      </c>
      <c r="J42" s="3016"/>
      <c r="K42" s="3024">
        <f>F42+H42+J42</f>
        <v>0</v>
      </c>
      <c r="L42" s="2027"/>
      <c r="M42" s="2028"/>
      <c r="N42" s="2017"/>
      <c r="O42" s="2028"/>
      <c r="P42" s="3481" t="str">
        <f>A42</f>
        <v>比较价格（元/平方米）</v>
      </c>
      <c r="Q42" s="3481"/>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7"/>
      <c r="Y42" s="1497"/>
      <c r="Z42" s="1497"/>
      <c r="AA42" s="1497"/>
      <c r="AB42" s="1497"/>
      <c r="AC42" s="1497"/>
    </row>
    <row r="43" spans="1:29" ht="15.75" thickBot="1">
      <c r="A43" s="613" t="s">
        <v>2904</v>
      </c>
      <c r="B43" s="614"/>
      <c r="C43" s="2479" t="e">
        <f>R43</f>
        <v>#DIV/0!</v>
      </c>
      <c r="D43" s="2479"/>
      <c r="E43" s="2479"/>
      <c r="F43" s="2479"/>
      <c r="G43" s="2479"/>
      <c r="H43" s="2479"/>
      <c r="I43" s="2479"/>
      <c r="J43" s="2479"/>
      <c r="K43" s="1542"/>
      <c r="L43" s="2027"/>
      <c r="M43" s="2028"/>
      <c r="N43" s="2028"/>
      <c r="O43" s="2028"/>
      <c r="P43" s="3478" t="str">
        <f>A43</f>
        <v>估价对象XX用房的比较价格（楼面单价，元/平方米）</v>
      </c>
      <c r="Q43" s="3479"/>
      <c r="R43" s="3599" t="e">
        <f>IF(F1="售价",ROUND(IF(D42="简单平均",AVERAGE(R42:V42),R42*F42+T42*H42+V42*J42),0),ROUND(IF(D42="简单平均",AVERAGE(R42:V42),R42*F42+T42*H42+V42*J42),1))</f>
        <v>#DIV/0!</v>
      </c>
      <c r="S43" s="3599"/>
      <c r="T43" s="3599"/>
      <c r="U43" s="3599"/>
      <c r="V43" s="3599"/>
      <c r="W43" s="3599"/>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v>
      </c>
      <c r="D52" s="2522">
        <f>EDATE(C52,-1)</f>
        <v>44166</v>
      </c>
      <c r="E52" s="2522">
        <f t="shared" ref="E52:O52" si="16">EDATE(D52,-1)</f>
        <v>44136</v>
      </c>
      <c r="F52" s="2522">
        <f t="shared" si="16"/>
        <v>44105</v>
      </c>
      <c r="G52" s="2522">
        <f t="shared" si="16"/>
        <v>44075</v>
      </c>
      <c r="H52" s="2522">
        <f t="shared" si="16"/>
        <v>44044</v>
      </c>
      <c r="I52" s="2522">
        <f t="shared" si="16"/>
        <v>44013</v>
      </c>
      <c r="J52" s="2522">
        <f t="shared" si="16"/>
        <v>43983</v>
      </c>
      <c r="K52" s="2522">
        <f t="shared" si="16"/>
        <v>43952</v>
      </c>
      <c r="L52" s="2522">
        <f t="shared" si="16"/>
        <v>43922</v>
      </c>
      <c r="M52" s="2522">
        <f t="shared" si="16"/>
        <v>43891</v>
      </c>
      <c r="N52" s="2522">
        <f t="shared" si="16"/>
        <v>43862</v>
      </c>
      <c r="O52" s="2522">
        <f t="shared" si="16"/>
        <v>43831</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15721.96平方米。根据《建设工程规划许可证》[]、《出让合同》[]，估价对象规划建筑面积为147743.9平方米。</v>
      </c>
    </row>
    <row r="7" spans="1:4" ht="93.75">
      <c r="A7" s="2591" t="s">
        <v>2729</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2021年1月20日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根据《国有土地使用证》[]，估价对象（分摊）出让国有建设用地使用权面积为15721.96平方米。根据《建设工程规划许可证》[]、《出让合同》[]，估价对象规划建筑面积为147743.9平方米。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7" t="s">
        <v>792</v>
      </c>
      <c r="D4" s="3488"/>
      <c r="E4" s="3487" t="s">
        <v>793</v>
      </c>
      <c r="F4" s="3488"/>
      <c r="G4" s="3487" t="s">
        <v>794</v>
      </c>
      <c r="H4" s="3488"/>
      <c r="I4" s="3487" t="s">
        <v>795</v>
      </c>
      <c r="J4" s="3488"/>
      <c r="K4" s="508" t="s">
        <v>796</v>
      </c>
      <c r="L4" s="2016"/>
      <c r="M4" s="2017"/>
      <c r="N4" s="2017"/>
      <c r="O4" s="2017"/>
      <c r="P4" s="3489" t="s">
        <v>797</v>
      </c>
      <c r="Q4" s="3490"/>
      <c r="R4" s="3495" t="s">
        <v>793</v>
      </c>
      <c r="S4" s="3496"/>
      <c r="T4" s="3495" t="s">
        <v>794</v>
      </c>
      <c r="U4" s="3496"/>
      <c r="V4" s="3482" t="s">
        <v>795</v>
      </c>
      <c r="W4" s="3482"/>
      <c r="X4" s="1502"/>
      <c r="Y4" s="3495" t="s">
        <v>797</v>
      </c>
      <c r="Z4" s="3496"/>
      <c r="AA4" s="3484" t="s">
        <v>793</v>
      </c>
      <c r="AB4" s="3485" t="s">
        <v>794</v>
      </c>
      <c r="AC4" s="3484" t="s">
        <v>795</v>
      </c>
    </row>
    <row r="5" spans="1:29" ht="15">
      <c r="A5" s="509"/>
      <c r="B5" s="510"/>
      <c r="C5" s="3503" t="s">
        <v>2898</v>
      </c>
      <c r="D5" s="3504"/>
      <c r="E5" s="3503" t="s">
        <v>2899</v>
      </c>
      <c r="F5" s="3504"/>
      <c r="G5" s="3503" t="s">
        <v>2900</v>
      </c>
      <c r="H5" s="3504"/>
      <c r="I5" s="3503" t="s">
        <v>2901</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2902</v>
      </c>
      <c r="D6" s="3502"/>
      <c r="E6" s="3505" t="s">
        <v>2902</v>
      </c>
      <c r="F6" s="3506"/>
      <c r="G6" s="3501" t="s">
        <v>2902</v>
      </c>
      <c r="H6" s="3502"/>
      <c r="I6" s="3501" t="s">
        <v>2902</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44216</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13" t="s">
        <v>524</v>
      </c>
      <c r="Q7" s="3515"/>
      <c r="R7" s="1503" t="s">
        <v>8</v>
      </c>
      <c r="S7" s="1504">
        <f t="shared" ref="S7:S14" si="0">F7</f>
        <v>0</v>
      </c>
      <c r="T7" s="1503" t="s">
        <v>8</v>
      </c>
      <c r="U7" s="1504">
        <f t="shared" ref="U7:U14" si="1">H7</f>
        <v>0</v>
      </c>
      <c r="V7" s="1503" t="s">
        <v>8</v>
      </c>
      <c r="W7" s="1504">
        <f t="shared" ref="W7:W14"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13" t="s">
        <v>527</v>
      </c>
      <c r="Q8" s="3514"/>
      <c r="R8" s="1503" t="s">
        <v>8</v>
      </c>
      <c r="S8" s="1504">
        <f t="shared" si="0"/>
        <v>0</v>
      </c>
      <c r="T8" s="1503" t="s">
        <v>8</v>
      </c>
      <c r="U8" s="1504">
        <f t="shared" si="1"/>
        <v>0</v>
      </c>
      <c r="V8" s="1503" t="s">
        <v>8</v>
      </c>
      <c r="W8" s="1504">
        <f t="shared" si="2"/>
        <v>0</v>
      </c>
      <c r="X8" s="1505"/>
      <c r="Y8" s="3513" t="s">
        <v>527</v>
      </c>
      <c r="Z8" s="3514"/>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81"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81"/>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6" t="s">
        <v>534</v>
      </c>
      <c r="Q14" s="1507" t="str">
        <f t="shared" si="6"/>
        <v>交通便捷度</v>
      </c>
      <c r="R14" s="1508" t="s">
        <v>8</v>
      </c>
      <c r="S14" s="1509">
        <f t="shared" si="0"/>
        <v>100</v>
      </c>
      <c r="T14" s="1508" t="s">
        <v>8</v>
      </c>
      <c r="U14" s="1509">
        <f t="shared" si="1"/>
        <v>100</v>
      </c>
      <c r="V14" s="1508" t="s">
        <v>8</v>
      </c>
      <c r="W14" s="1509">
        <f t="shared" si="2"/>
        <v>100</v>
      </c>
      <c r="X14" s="1502"/>
      <c r="Y14" s="351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7"/>
      <c r="Q15" s="1507"/>
      <c r="R15" s="1508"/>
      <c r="S15" s="1509"/>
      <c r="T15" s="1508"/>
      <c r="U15" s="1509"/>
      <c r="V15" s="1508"/>
      <c r="W15" s="1509"/>
      <c r="X15" s="1502"/>
      <c r="Y15" s="3517"/>
      <c r="Z15" s="1510"/>
      <c r="AA15" s="1511">
        <v>1</v>
      </c>
      <c r="AB15" s="1511">
        <v>1</v>
      </c>
      <c r="AC15" s="1511">
        <v>1</v>
      </c>
    </row>
    <row r="16" spans="1:29" ht="42.75">
      <c r="A16" s="509"/>
      <c r="B16" s="2448"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7"/>
      <c r="Q16" s="1507" t="str">
        <f>B16</f>
        <v>公共配套设施</v>
      </c>
      <c r="R16" s="1508" t="s">
        <v>8</v>
      </c>
      <c r="S16" s="1509">
        <f>F16</f>
        <v>100</v>
      </c>
      <c r="T16" s="1508" t="s">
        <v>8</v>
      </c>
      <c r="U16" s="1509">
        <f>H16</f>
        <v>100</v>
      </c>
      <c r="V16" s="1508" t="s">
        <v>8</v>
      </c>
      <c r="W16" s="1509">
        <f>J16</f>
        <v>100</v>
      </c>
      <c r="X16" s="1502"/>
      <c r="Y16" s="351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7"/>
      <c r="Q17" s="1507"/>
      <c r="R17" s="1508"/>
      <c r="S17" s="1509"/>
      <c r="T17" s="1508"/>
      <c r="U17" s="1509"/>
      <c r="V17" s="1508"/>
      <c r="W17" s="1509"/>
      <c r="X17" s="1502"/>
      <c r="Y17" s="3517"/>
      <c r="Z17" s="1510"/>
      <c r="AA17" s="1511">
        <v>1</v>
      </c>
      <c r="AB17" s="1511">
        <v>1</v>
      </c>
      <c r="AC17" s="1511">
        <v>1</v>
      </c>
    </row>
    <row r="18" spans="1:29" ht="28.5">
      <c r="A18" s="509"/>
      <c r="B18" s="2436"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7"/>
      <c r="Q18" s="2430" t="str">
        <f>B18</f>
        <v>基础设施水平</v>
      </c>
      <c r="R18" s="1508" t="s">
        <v>8</v>
      </c>
      <c r="S18" s="1509">
        <f>F18</f>
        <v>100</v>
      </c>
      <c r="T18" s="1508" t="s">
        <v>8</v>
      </c>
      <c r="U18" s="1509">
        <f>H18</f>
        <v>100</v>
      </c>
      <c r="V18" s="1508" t="s">
        <v>8</v>
      </c>
      <c r="W18" s="1509">
        <f>J18</f>
        <v>100</v>
      </c>
      <c r="X18" s="2432"/>
      <c r="Y18" s="3517"/>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7"/>
      <c r="Q19" s="2430"/>
      <c r="R19" s="1508"/>
      <c r="S19" s="1509"/>
      <c r="T19" s="1508"/>
      <c r="U19" s="1509"/>
      <c r="V19" s="1508"/>
      <c r="W19" s="1509"/>
      <c r="X19" s="2432"/>
      <c r="Y19" s="3517"/>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7"/>
      <c r="Q20" s="1507" t="str">
        <f>B20</f>
        <v>自然及人文环境</v>
      </c>
      <c r="R20" s="1508" t="s">
        <v>8</v>
      </c>
      <c r="S20" s="1509">
        <f>F20</f>
        <v>100</v>
      </c>
      <c r="T20" s="1508" t="s">
        <v>8</v>
      </c>
      <c r="U20" s="1509">
        <f>H20</f>
        <v>100</v>
      </c>
      <c r="V20" s="1508" t="s">
        <v>8</v>
      </c>
      <c r="W20" s="1509">
        <f>J20</f>
        <v>100</v>
      </c>
      <c r="X20" s="1502"/>
      <c r="Y20" s="351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7"/>
      <c r="Q21" s="1507"/>
      <c r="R21" s="1508"/>
      <c r="S21" s="1509"/>
      <c r="T21" s="1508"/>
      <c r="U21" s="1509"/>
      <c r="V21" s="1508"/>
      <c r="W21" s="1509"/>
      <c r="X21" s="1502"/>
      <c r="Y21" s="351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7"/>
      <c r="Q22" s="1507" t="str">
        <f>B22</f>
        <v>楼层</v>
      </c>
      <c r="R22" s="1508" t="s">
        <v>8</v>
      </c>
      <c r="S22" s="1509">
        <f>F22</f>
        <v>100</v>
      </c>
      <c r="T22" s="1508" t="s">
        <v>8</v>
      </c>
      <c r="U22" s="1509">
        <f>H22</f>
        <v>100</v>
      </c>
      <c r="V22" s="1508" t="s">
        <v>8</v>
      </c>
      <c r="W22" s="1509">
        <f>J22</f>
        <v>100</v>
      </c>
      <c r="X22" s="1502"/>
      <c r="Y22" s="351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7"/>
      <c r="Q23" s="1507">
        <f>B23</f>
        <v>111</v>
      </c>
      <c r="R23" s="1508" t="s">
        <v>8</v>
      </c>
      <c r="S23" s="1509">
        <f>F23</f>
        <v>100</v>
      </c>
      <c r="T23" s="1508" t="s">
        <v>8</v>
      </c>
      <c r="U23" s="1509">
        <f>H23</f>
        <v>100</v>
      </c>
      <c r="V23" s="1508" t="s">
        <v>8</v>
      </c>
      <c r="W23" s="1509">
        <f>J23</f>
        <v>100</v>
      </c>
      <c r="X23" s="1502"/>
      <c r="Y23" s="351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7"/>
      <c r="Q24" s="1507">
        <f t="shared" ref="Q24:Q36" si="11">B24</f>
        <v>111</v>
      </c>
      <c r="R24" s="1508" t="s">
        <v>8</v>
      </c>
      <c r="S24" s="1509">
        <f>F24</f>
        <v>100</v>
      </c>
      <c r="T24" s="1508" t="s">
        <v>8</v>
      </c>
      <c r="U24" s="1509">
        <f>H24</f>
        <v>100</v>
      </c>
      <c r="V24" s="1508" t="s">
        <v>8</v>
      </c>
      <c r="W24" s="1509">
        <f>J24</f>
        <v>100</v>
      </c>
      <c r="X24" s="1502"/>
      <c r="Y24" s="351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7"/>
      <c r="Q25" s="1134">
        <f t="shared" si="11"/>
        <v>111</v>
      </c>
      <c r="R25" s="1503" t="s">
        <v>8</v>
      </c>
      <c r="S25" s="1504">
        <f>F25</f>
        <v>100</v>
      </c>
      <c r="T25" s="1503" t="s">
        <v>8</v>
      </c>
      <c r="U25" s="1504">
        <f>H25</f>
        <v>100</v>
      </c>
      <c r="V25" s="1503" t="s">
        <v>8</v>
      </c>
      <c r="W25" s="1504">
        <f>J25</f>
        <v>100</v>
      </c>
      <c r="X25" s="1505"/>
      <c r="Y25" s="3517"/>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9"/>
      <c r="Q27" s="1536" t="str">
        <f t="shared" si="11"/>
        <v>项目停车位配比</v>
      </c>
      <c r="R27" s="1512" t="s">
        <v>8</v>
      </c>
      <c r="S27" s="1513">
        <f t="shared" si="12"/>
        <v>100</v>
      </c>
      <c r="T27" s="1512" t="s">
        <v>8</v>
      </c>
      <c r="U27" s="1513">
        <f t="shared" si="13"/>
        <v>100</v>
      </c>
      <c r="V27" s="1512" t="s">
        <v>8</v>
      </c>
      <c r="W27" s="1513">
        <f t="shared" si="14"/>
        <v>100</v>
      </c>
      <c r="X27" s="1514"/>
      <c r="Y27" s="351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9"/>
      <c r="Q28" s="1507" t="str">
        <f t="shared" si="11"/>
        <v>公共部分装修</v>
      </c>
      <c r="R28" s="1508" t="s">
        <v>8</v>
      </c>
      <c r="S28" s="1509">
        <f t="shared" si="12"/>
        <v>100</v>
      </c>
      <c r="T28" s="1508" t="s">
        <v>8</v>
      </c>
      <c r="U28" s="1509">
        <f t="shared" si="13"/>
        <v>100</v>
      </c>
      <c r="V28" s="1508" t="s">
        <v>8</v>
      </c>
      <c r="W28" s="1509">
        <f t="shared" si="14"/>
        <v>100</v>
      </c>
      <c r="X28" s="1502"/>
      <c r="Y28" s="351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9"/>
      <c r="Q29" s="1507" t="str">
        <f t="shared" si="11"/>
        <v>成新率</v>
      </c>
      <c r="R29" s="1508" t="s">
        <v>8</v>
      </c>
      <c r="S29" s="1509" t="e">
        <f t="shared" si="12"/>
        <v>#N/A</v>
      </c>
      <c r="T29" s="1508" t="s">
        <v>8</v>
      </c>
      <c r="U29" s="1509" t="e">
        <f t="shared" si="13"/>
        <v>#N/A</v>
      </c>
      <c r="V29" s="1508" t="s">
        <v>8</v>
      </c>
      <c r="W29" s="1509" t="e">
        <f t="shared" si="14"/>
        <v>#N/A</v>
      </c>
      <c r="X29" s="1502"/>
      <c r="Y29" s="351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9"/>
      <c r="Q30" s="1507" t="str">
        <f t="shared" si="11"/>
        <v>物业等级</v>
      </c>
      <c r="R30" s="1508" t="s">
        <v>8</v>
      </c>
      <c r="S30" s="1509">
        <f t="shared" si="12"/>
        <v>100</v>
      </c>
      <c r="T30" s="1508" t="s">
        <v>8</v>
      </c>
      <c r="U30" s="1509">
        <f t="shared" si="13"/>
        <v>100</v>
      </c>
      <c r="V30" s="1508" t="s">
        <v>8</v>
      </c>
      <c r="W30" s="1509">
        <f t="shared" si="14"/>
        <v>100</v>
      </c>
      <c r="X30" s="1502"/>
      <c r="Y30" s="351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9"/>
      <c r="Q31" s="1134" t="str">
        <f t="shared" si="11"/>
        <v>停车位面积</v>
      </c>
      <c r="R31" s="1503" t="s">
        <v>8</v>
      </c>
      <c r="S31" s="1504" t="e">
        <f t="shared" si="12"/>
        <v>#N/A</v>
      </c>
      <c r="T31" s="1503" t="s">
        <v>8</v>
      </c>
      <c r="U31" s="1504" t="e">
        <f t="shared" si="13"/>
        <v>#N/A</v>
      </c>
      <c r="V31" s="1503" t="s">
        <v>8</v>
      </c>
      <c r="W31" s="1504" t="e">
        <f t="shared" si="14"/>
        <v>#N/A</v>
      </c>
      <c r="X31" s="1505"/>
      <c r="Y31" s="351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9" t="s">
        <v>544</v>
      </c>
      <c r="Q32" s="1507" t="str">
        <f t="shared" si="11"/>
        <v>车位类型</v>
      </c>
      <c r="R32" s="1508" t="s">
        <v>8</v>
      </c>
      <c r="S32" s="1509">
        <f t="shared" si="12"/>
        <v>100</v>
      </c>
      <c r="T32" s="1508" t="s">
        <v>8</v>
      </c>
      <c r="U32" s="1509">
        <f t="shared" si="13"/>
        <v>100</v>
      </c>
      <c r="V32" s="1508" t="s">
        <v>8</v>
      </c>
      <c r="W32" s="1509">
        <f t="shared" si="14"/>
        <v>100</v>
      </c>
      <c r="X32" s="1502"/>
      <c r="Y32" s="351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9"/>
      <c r="Q33" s="1507" t="str">
        <f t="shared" si="11"/>
        <v>是否直接入户</v>
      </c>
      <c r="R33" s="1508" t="s">
        <v>8</v>
      </c>
      <c r="S33" s="1509">
        <f t="shared" si="12"/>
        <v>100</v>
      </c>
      <c r="T33" s="1508" t="s">
        <v>8</v>
      </c>
      <c r="U33" s="1509">
        <f t="shared" si="13"/>
        <v>100</v>
      </c>
      <c r="V33" s="1508" t="s">
        <v>8</v>
      </c>
      <c r="W33" s="1509">
        <f t="shared" si="14"/>
        <v>100</v>
      </c>
      <c r="X33" s="1502"/>
      <c r="Y33" s="351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9"/>
      <c r="Q34" s="1507">
        <f t="shared" si="11"/>
        <v>111</v>
      </c>
      <c r="R34" s="1508" t="s">
        <v>8</v>
      </c>
      <c r="S34" s="1509">
        <f t="shared" si="12"/>
        <v>100</v>
      </c>
      <c r="T34" s="1508" t="s">
        <v>8</v>
      </c>
      <c r="U34" s="1509">
        <f t="shared" si="13"/>
        <v>100</v>
      </c>
      <c r="V34" s="1508" t="s">
        <v>8</v>
      </c>
      <c r="W34" s="1509">
        <f t="shared" si="14"/>
        <v>100</v>
      </c>
      <c r="X34" s="1502"/>
      <c r="Y34" s="351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9"/>
      <c r="Q35" s="1536">
        <f t="shared" si="11"/>
        <v>111</v>
      </c>
      <c r="R35" s="1512" t="s">
        <v>8</v>
      </c>
      <c r="S35" s="1513">
        <f t="shared" si="12"/>
        <v>100</v>
      </c>
      <c r="T35" s="1512" t="s">
        <v>8</v>
      </c>
      <c r="U35" s="1513">
        <f t="shared" si="13"/>
        <v>100</v>
      </c>
      <c r="V35" s="1512" t="s">
        <v>8</v>
      </c>
      <c r="W35" s="1513">
        <f t="shared" si="14"/>
        <v>100</v>
      </c>
      <c r="X35" s="1514"/>
      <c r="Y35" s="351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9"/>
      <c r="Q36" s="1507">
        <f t="shared" si="11"/>
        <v>111</v>
      </c>
      <c r="R36" s="1508" t="s">
        <v>8</v>
      </c>
      <c r="S36" s="1509">
        <f t="shared" si="12"/>
        <v>100</v>
      </c>
      <c r="T36" s="1508" t="s">
        <v>8</v>
      </c>
      <c r="U36" s="1509">
        <f t="shared" si="13"/>
        <v>100</v>
      </c>
      <c r="V36" s="1508" t="s">
        <v>8</v>
      </c>
      <c r="W36" s="1509">
        <f t="shared" si="14"/>
        <v>100</v>
      </c>
      <c r="X36" s="1502"/>
      <c r="Y36" s="3519"/>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81" t="str">
        <f>A37</f>
        <v>成交单价</v>
      </c>
      <c r="Q37" s="3481"/>
      <c r="R37" s="3600">
        <f>E37</f>
        <v>0</v>
      </c>
      <c r="S37" s="3600"/>
      <c r="T37" s="3600">
        <f>G37</f>
        <v>0</v>
      </c>
      <c r="U37" s="3600"/>
      <c r="V37" s="3600">
        <f>I37</f>
        <v>0</v>
      </c>
      <c r="W37" s="3600"/>
      <c r="X37" s="1497"/>
      <c r="Y37" s="1516"/>
      <c r="Z37" s="1497"/>
      <c r="AA37" s="1497"/>
      <c r="AB37" s="1497"/>
      <c r="AC37" s="1497"/>
    </row>
    <row r="38" spans="1:29" ht="15.75" thickBot="1">
      <c r="A38" s="609" t="s">
        <v>2741</v>
      </c>
      <c r="B38" s="877"/>
      <c r="C38" s="2477" t="e">
        <f>R39</f>
        <v>#DIV/0!</v>
      </c>
      <c r="D38" s="3015" t="s">
        <v>2972</v>
      </c>
      <c r="E38" s="2478" t="e">
        <f>R38</f>
        <v>#DIV/0!</v>
      </c>
      <c r="F38" s="3016"/>
      <c r="G38" s="2477" t="e">
        <f>T38</f>
        <v>#DIV/0!</v>
      </c>
      <c r="H38" s="3016"/>
      <c r="I38" s="2478" t="e">
        <f>V38</f>
        <v>#DIV/0!</v>
      </c>
      <c r="J38" s="3016"/>
      <c r="K38" s="3024">
        <f>F38+H38+J38</f>
        <v>0</v>
      </c>
      <c r="L38" s="2027"/>
      <c r="M38" s="2028"/>
      <c r="N38" s="2028"/>
      <c r="O38" s="2028"/>
      <c r="P38" s="3481" t="str">
        <f>A38</f>
        <v>比较价格（元/平方米）</v>
      </c>
      <c r="Q38" s="3481"/>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7"/>
      <c r="Y38" s="1497"/>
      <c r="Z38" s="1497"/>
      <c r="AA38" s="1497"/>
      <c r="AB38" s="1497"/>
      <c r="AC38" s="1497"/>
    </row>
    <row r="39" spans="1:29" ht="15.75" thickBot="1">
      <c r="A39" s="613" t="s">
        <v>2904</v>
      </c>
      <c r="B39" s="614"/>
      <c r="C39" s="2479" t="e">
        <f>R39</f>
        <v>#DIV/0!</v>
      </c>
      <c r="D39" s="2479"/>
      <c r="E39" s="2479"/>
      <c r="F39" s="2479"/>
      <c r="G39" s="2479"/>
      <c r="H39" s="2479"/>
      <c r="I39" s="2479"/>
      <c r="J39" s="2479"/>
      <c r="K39" s="1542"/>
      <c r="L39" s="2027"/>
      <c r="M39" s="2028"/>
      <c r="N39" s="2028"/>
      <c r="O39" s="2028"/>
      <c r="P39" s="3478" t="str">
        <f>A39</f>
        <v>估价对象XX用房的比较价格（楼面单价，元/平方米）</v>
      </c>
      <c r="Q39" s="3479"/>
      <c r="R39" s="3599" t="e">
        <f>IF(F1="售价",ROUND(IF(D38="简单平均",AVERAGE(R38:W38),R38*F38+T38*H38+V38*J38),0),ROUND(IF(D38="简单平均",AVERAGE(R38:V38),R38*F38+T38*H38+V38*J38),1))</f>
        <v>#DIV/0!</v>
      </c>
      <c r="S39" s="3599"/>
      <c r="T39" s="3599"/>
      <c r="U39" s="3599"/>
      <c r="V39" s="3599"/>
      <c r="W39" s="3599"/>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v>
      </c>
      <c r="D48" s="2522">
        <f>EDATE(C48,-1)</f>
        <v>44166</v>
      </c>
      <c r="E48" s="2522">
        <f t="shared" ref="E48:O48" si="16">EDATE(D48,-1)</f>
        <v>44136</v>
      </c>
      <c r="F48" s="2522">
        <f t="shared" si="16"/>
        <v>44105</v>
      </c>
      <c r="G48" s="2522">
        <f t="shared" si="16"/>
        <v>44075</v>
      </c>
      <c r="H48" s="2522">
        <f t="shared" si="16"/>
        <v>44044</v>
      </c>
      <c r="I48" s="2522">
        <f t="shared" si="16"/>
        <v>44013</v>
      </c>
      <c r="J48" s="2522">
        <f t="shared" si="16"/>
        <v>43983</v>
      </c>
      <c r="K48" s="2522">
        <f t="shared" si="16"/>
        <v>43952</v>
      </c>
      <c r="L48" s="2522">
        <f t="shared" si="16"/>
        <v>43922</v>
      </c>
      <c r="M48" s="2522">
        <f t="shared" si="16"/>
        <v>43891</v>
      </c>
      <c r="N48" s="2522">
        <f t="shared" si="16"/>
        <v>43862</v>
      </c>
      <c r="O48" s="2522">
        <f t="shared" si="16"/>
        <v>43831</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5">
      <c r="A4" s="506" t="s">
        <v>791</v>
      </c>
      <c r="B4" s="507"/>
      <c r="C4" s="3487" t="s">
        <v>792</v>
      </c>
      <c r="D4" s="3488"/>
      <c r="E4" s="3522" t="s">
        <v>793</v>
      </c>
      <c r="F4" s="3523"/>
      <c r="G4" s="3487" t="s">
        <v>794</v>
      </c>
      <c r="H4" s="3488"/>
      <c r="I4" s="3487" t="s">
        <v>795</v>
      </c>
      <c r="J4" s="3488"/>
      <c r="K4" s="508" t="s">
        <v>796</v>
      </c>
      <c r="L4" s="2016"/>
      <c r="M4" s="2017"/>
      <c r="N4" s="2017"/>
      <c r="O4" s="2017"/>
      <c r="P4" s="3489" t="s">
        <v>797</v>
      </c>
      <c r="Q4" s="3490"/>
      <c r="R4" s="3495" t="s">
        <v>793</v>
      </c>
      <c r="S4" s="3496"/>
      <c r="T4" s="3495" t="s">
        <v>794</v>
      </c>
      <c r="U4" s="3496"/>
      <c r="V4" s="3482" t="s">
        <v>795</v>
      </c>
      <c r="W4" s="3482"/>
      <c r="X4" s="1502"/>
      <c r="Y4" s="3495" t="s">
        <v>797</v>
      </c>
      <c r="Z4" s="3496"/>
      <c r="AA4" s="3484" t="s">
        <v>793</v>
      </c>
      <c r="AB4" s="3485" t="s">
        <v>794</v>
      </c>
      <c r="AC4" s="3484" t="s">
        <v>795</v>
      </c>
    </row>
    <row r="5" spans="1:29" ht="15">
      <c r="A5" s="509"/>
      <c r="B5" s="510"/>
      <c r="C5" s="3503" t="s">
        <v>2898</v>
      </c>
      <c r="D5" s="3504"/>
      <c r="E5" s="3524" t="s">
        <v>2899</v>
      </c>
      <c r="F5" s="3525"/>
      <c r="G5" s="3503" t="s">
        <v>2900</v>
      </c>
      <c r="H5" s="3504"/>
      <c r="I5" s="3503" t="s">
        <v>2901</v>
      </c>
      <c r="J5" s="3504"/>
      <c r="K5" s="508"/>
      <c r="L5" s="2016"/>
      <c r="M5" s="2017"/>
      <c r="N5" s="2017"/>
      <c r="O5" s="2017"/>
      <c r="P5" s="3491"/>
      <c r="Q5" s="3492"/>
      <c r="R5" s="3497"/>
      <c r="S5" s="3498"/>
      <c r="T5" s="3497"/>
      <c r="U5" s="3498"/>
      <c r="V5" s="3482"/>
      <c r="W5" s="3482"/>
      <c r="X5" s="1502"/>
      <c r="Y5" s="3497"/>
      <c r="Z5" s="3498"/>
      <c r="AA5" s="3485"/>
      <c r="AB5" s="3485"/>
      <c r="AC5" s="3485"/>
    </row>
    <row r="6" spans="1:29" ht="15.75" thickBot="1">
      <c r="A6" s="511"/>
      <c r="B6" s="512"/>
      <c r="C6" s="3501" t="s">
        <v>2902</v>
      </c>
      <c r="D6" s="3502"/>
      <c r="E6" s="3520" t="s">
        <v>2902</v>
      </c>
      <c r="F6" s="3521"/>
      <c r="G6" s="3501" t="s">
        <v>2902</v>
      </c>
      <c r="H6" s="3502"/>
      <c r="I6" s="3501" t="s">
        <v>2902</v>
      </c>
      <c r="J6" s="3502"/>
      <c r="K6" s="508" t="s">
        <v>522</v>
      </c>
      <c r="L6" s="2016"/>
      <c r="M6" s="2017"/>
      <c r="N6" s="2017"/>
      <c r="O6" s="2017"/>
      <c r="P6" s="3493"/>
      <c r="Q6" s="3494"/>
      <c r="R6" s="3497"/>
      <c r="S6" s="3498"/>
      <c r="T6" s="3499"/>
      <c r="U6" s="3500"/>
      <c r="V6" s="3482"/>
      <c r="W6" s="3482"/>
      <c r="X6" s="1502"/>
      <c r="Y6" s="3499"/>
      <c r="Z6" s="3500"/>
      <c r="AA6" s="3486"/>
      <c r="AB6" s="3486"/>
      <c r="AC6" s="3486"/>
    </row>
    <row r="7" spans="1:29" s="1203" customFormat="1" ht="15.75" thickBot="1">
      <c r="A7" s="2630"/>
      <c r="B7" s="2637" t="s">
        <v>523</v>
      </c>
      <c r="C7" s="513">
        <f>'数据-取费表'!B2</f>
        <v>44216</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13" t="s">
        <v>524</v>
      </c>
      <c r="Q7" s="3515"/>
      <c r="R7" s="1503" t="s">
        <v>8</v>
      </c>
      <c r="S7" s="1504">
        <f t="shared" ref="S7:S14" si="0">F7</f>
        <v>0</v>
      </c>
      <c r="T7" s="1503" t="s">
        <v>8</v>
      </c>
      <c r="U7" s="1504">
        <f t="shared" ref="U7:U14" si="1">H7</f>
        <v>0</v>
      </c>
      <c r="V7" s="1503" t="s">
        <v>8</v>
      </c>
      <c r="W7" s="1504">
        <f t="shared" ref="W7:W14" si="2">J7</f>
        <v>0</v>
      </c>
      <c r="X7" s="1505"/>
      <c r="Y7" s="3513" t="s">
        <v>524</v>
      </c>
      <c r="Z7" s="351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13" t="s">
        <v>527</v>
      </c>
      <c r="Q8" s="3514"/>
      <c r="R8" s="1503" t="s">
        <v>8</v>
      </c>
      <c r="S8" s="1504">
        <f t="shared" si="0"/>
        <v>0</v>
      </c>
      <c r="T8" s="1503" t="s">
        <v>8</v>
      </c>
      <c r="U8" s="1504">
        <f t="shared" si="1"/>
        <v>0</v>
      </c>
      <c r="V8" s="1503" t="s">
        <v>8</v>
      </c>
      <c r="W8" s="1504">
        <f t="shared" si="2"/>
        <v>0</v>
      </c>
      <c r="X8" s="1505"/>
      <c r="Y8" s="3513" t="s">
        <v>527</v>
      </c>
      <c r="Z8" s="3514"/>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81" t="s">
        <v>529</v>
      </c>
      <c r="Q9" s="1134" t="str">
        <f t="shared" ref="Q9:Q14" si="6">B9</f>
        <v>用途</v>
      </c>
      <c r="R9" s="1503" t="s">
        <v>8</v>
      </c>
      <c r="S9" s="1504">
        <f t="shared" si="0"/>
        <v>100</v>
      </c>
      <c r="T9" s="1503" t="s">
        <v>8</v>
      </c>
      <c r="U9" s="1504">
        <f t="shared" si="1"/>
        <v>100</v>
      </c>
      <c r="V9" s="1503" t="s">
        <v>8</v>
      </c>
      <c r="W9" s="1504">
        <f t="shared" si="2"/>
        <v>100</v>
      </c>
      <c r="X9" s="1505"/>
      <c r="Y9" s="3427"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81"/>
      <c r="Q10" s="1134" t="str">
        <f t="shared" si="6"/>
        <v>土地使用年限（年）</v>
      </c>
      <c r="R10" s="1503" t="s">
        <v>8</v>
      </c>
      <c r="S10" s="1504">
        <f t="shared" si="0"/>
        <v>100</v>
      </c>
      <c r="T10" s="1503" t="s">
        <v>8</v>
      </c>
      <c r="U10" s="1504">
        <f t="shared" si="1"/>
        <v>100</v>
      </c>
      <c r="V10" s="1503" t="s">
        <v>8</v>
      </c>
      <c r="W10" s="1504">
        <f t="shared" si="2"/>
        <v>100</v>
      </c>
      <c r="X10" s="1505"/>
      <c r="Y10" s="3427"/>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81"/>
      <c r="Q11" s="1134">
        <f t="shared" si="6"/>
        <v>111</v>
      </c>
      <c r="R11" s="1503" t="s">
        <v>8</v>
      </c>
      <c r="S11" s="1504">
        <f t="shared" si="0"/>
        <v>100</v>
      </c>
      <c r="T11" s="1503" t="s">
        <v>8</v>
      </c>
      <c r="U11" s="1504">
        <f t="shared" si="1"/>
        <v>100</v>
      </c>
      <c r="V11" s="1503" t="s">
        <v>8</v>
      </c>
      <c r="W11" s="1504">
        <f t="shared" si="2"/>
        <v>100</v>
      </c>
      <c r="X11" s="1505"/>
      <c r="Y11" s="3427"/>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81"/>
      <c r="Q12" s="1134">
        <f t="shared" si="6"/>
        <v>111</v>
      </c>
      <c r="R12" s="1503" t="s">
        <v>8</v>
      </c>
      <c r="S12" s="1504">
        <f t="shared" si="0"/>
        <v>100</v>
      </c>
      <c r="T12" s="1503" t="s">
        <v>8</v>
      </c>
      <c r="U12" s="1504">
        <f t="shared" si="1"/>
        <v>100</v>
      </c>
      <c r="V12" s="1503" t="s">
        <v>8</v>
      </c>
      <c r="W12" s="1504">
        <f t="shared" si="2"/>
        <v>100</v>
      </c>
      <c r="X12" s="1505"/>
      <c r="Y12" s="3427"/>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81"/>
      <c r="Q13" s="1134">
        <f t="shared" si="6"/>
        <v>111</v>
      </c>
      <c r="R13" s="1503" t="s">
        <v>8</v>
      </c>
      <c r="S13" s="1504">
        <f t="shared" si="0"/>
        <v>100</v>
      </c>
      <c r="T13" s="1503" t="s">
        <v>8</v>
      </c>
      <c r="U13" s="1504">
        <f t="shared" si="1"/>
        <v>100</v>
      </c>
      <c r="V13" s="1503" t="s">
        <v>8</v>
      </c>
      <c r="W13" s="1504">
        <f t="shared" si="2"/>
        <v>100</v>
      </c>
      <c r="X13" s="1505"/>
      <c r="Y13" s="3427"/>
      <c r="Z13" s="1133">
        <f t="shared" si="7"/>
        <v>111</v>
      </c>
      <c r="AA13" s="1506">
        <f t="shared" si="3"/>
        <v>1</v>
      </c>
      <c r="AB13" s="1506">
        <f t="shared" si="4"/>
        <v>1</v>
      </c>
      <c r="AC13" s="1506">
        <f t="shared" si="5"/>
        <v>1</v>
      </c>
    </row>
    <row r="14" spans="1:29" ht="85.5">
      <c r="A14" s="2628"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6" t="s">
        <v>534</v>
      </c>
      <c r="Q14" s="1507" t="str">
        <f t="shared" si="6"/>
        <v>交通便捷度</v>
      </c>
      <c r="R14" s="1508" t="s">
        <v>8</v>
      </c>
      <c r="S14" s="1509">
        <f t="shared" si="0"/>
        <v>100</v>
      </c>
      <c r="T14" s="1508" t="s">
        <v>8</v>
      </c>
      <c r="U14" s="1509">
        <f t="shared" si="1"/>
        <v>100</v>
      </c>
      <c r="V14" s="1508" t="s">
        <v>8</v>
      </c>
      <c r="W14" s="1509">
        <f t="shared" si="2"/>
        <v>100</v>
      </c>
      <c r="X14" s="1502"/>
      <c r="Y14" s="351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7"/>
      <c r="Q15" s="1507"/>
      <c r="R15" s="1508"/>
      <c r="S15" s="1509"/>
      <c r="T15" s="1508"/>
      <c r="U15" s="1509"/>
      <c r="V15" s="1508"/>
      <c r="W15" s="1509"/>
      <c r="X15" s="1502"/>
      <c r="Y15" s="3517"/>
      <c r="Z15" s="1510"/>
      <c r="AA15" s="1511">
        <v>1</v>
      </c>
      <c r="AB15" s="1511">
        <v>1</v>
      </c>
      <c r="AC15" s="1511">
        <v>1</v>
      </c>
    </row>
    <row r="16" spans="1:29" ht="42.75">
      <c r="A16" s="526"/>
      <c r="B16" s="2448"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7"/>
      <c r="Q16" s="1507" t="str">
        <f>B16</f>
        <v>公共配套设施</v>
      </c>
      <c r="R16" s="1508" t="s">
        <v>8</v>
      </c>
      <c r="S16" s="1509">
        <f>F16</f>
        <v>100</v>
      </c>
      <c r="T16" s="1508" t="s">
        <v>8</v>
      </c>
      <c r="U16" s="1509">
        <f>H16</f>
        <v>100</v>
      </c>
      <c r="V16" s="1508" t="s">
        <v>8</v>
      </c>
      <c r="W16" s="1509">
        <f>J16</f>
        <v>100</v>
      </c>
      <c r="X16" s="1502"/>
      <c r="Y16" s="351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7"/>
      <c r="Q17" s="1507"/>
      <c r="R17" s="1508"/>
      <c r="S17" s="1509"/>
      <c r="T17" s="1508"/>
      <c r="U17" s="1509"/>
      <c r="V17" s="1508"/>
      <c r="W17" s="1509"/>
      <c r="X17" s="1502"/>
      <c r="Y17" s="3517"/>
      <c r="Z17" s="1510"/>
      <c r="AA17" s="1511">
        <v>1</v>
      </c>
      <c r="AB17" s="1511">
        <v>1</v>
      </c>
      <c r="AC17" s="1511">
        <v>1</v>
      </c>
    </row>
    <row r="18" spans="1:29" ht="28.5">
      <c r="A18" s="526"/>
      <c r="B18" s="2436"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7"/>
      <c r="Q18" s="2430" t="str">
        <f>B18</f>
        <v>基础设施水平</v>
      </c>
      <c r="R18" s="1508" t="s">
        <v>8</v>
      </c>
      <c r="S18" s="1509">
        <f>F18</f>
        <v>100</v>
      </c>
      <c r="T18" s="1508" t="s">
        <v>8</v>
      </c>
      <c r="U18" s="1509">
        <f>H18</f>
        <v>100</v>
      </c>
      <c r="V18" s="1508" t="s">
        <v>8</v>
      </c>
      <c r="W18" s="1509">
        <f>J18</f>
        <v>100</v>
      </c>
      <c r="X18" s="2432"/>
      <c r="Y18" s="3517"/>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7"/>
      <c r="Q19" s="2430"/>
      <c r="R19" s="1508"/>
      <c r="S19" s="1509"/>
      <c r="T19" s="1508"/>
      <c r="U19" s="1509"/>
      <c r="V19" s="1508"/>
      <c r="W19" s="1509"/>
      <c r="X19" s="2432"/>
      <c r="Y19" s="3517"/>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7"/>
      <c r="Q20" s="1507" t="str">
        <f>B20</f>
        <v>自然及人文环境</v>
      </c>
      <c r="R20" s="1508" t="s">
        <v>8</v>
      </c>
      <c r="S20" s="1509">
        <f>F20</f>
        <v>100</v>
      </c>
      <c r="T20" s="1508" t="s">
        <v>8</v>
      </c>
      <c r="U20" s="1509">
        <f>H20</f>
        <v>100</v>
      </c>
      <c r="V20" s="1508" t="s">
        <v>8</v>
      </c>
      <c r="W20" s="1509">
        <f>J20</f>
        <v>100</v>
      </c>
      <c r="X20" s="1502"/>
      <c r="Y20" s="351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7"/>
      <c r="Q21" s="1507"/>
      <c r="R21" s="1508"/>
      <c r="S21" s="1509"/>
      <c r="T21" s="1508"/>
      <c r="U21" s="1509"/>
      <c r="V21" s="1508"/>
      <c r="W21" s="1509"/>
      <c r="X21" s="1502"/>
      <c r="Y21" s="351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7"/>
      <c r="Q22" s="1507" t="str">
        <f>B22</f>
        <v>楼层</v>
      </c>
      <c r="R22" s="1508" t="s">
        <v>8</v>
      </c>
      <c r="S22" s="1509">
        <f>F22</f>
        <v>100</v>
      </c>
      <c r="T22" s="1508" t="s">
        <v>8</v>
      </c>
      <c r="U22" s="1509">
        <f>H22</f>
        <v>100</v>
      </c>
      <c r="V22" s="1508" t="s">
        <v>8</v>
      </c>
      <c r="W22" s="1509">
        <f>J22</f>
        <v>100</v>
      </c>
      <c r="X22" s="1502"/>
      <c r="Y22" s="351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7"/>
      <c r="Q23" s="1507">
        <f>B23</f>
        <v>111</v>
      </c>
      <c r="R23" s="1508" t="s">
        <v>8</v>
      </c>
      <c r="S23" s="1509">
        <f>F23</f>
        <v>100</v>
      </c>
      <c r="T23" s="1508" t="s">
        <v>8</v>
      </c>
      <c r="U23" s="1509">
        <f>H23</f>
        <v>100</v>
      </c>
      <c r="V23" s="1508" t="s">
        <v>8</v>
      </c>
      <c r="W23" s="1509">
        <f>J23</f>
        <v>100</v>
      </c>
      <c r="X23" s="1502"/>
      <c r="Y23" s="351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7"/>
      <c r="Q24" s="1507">
        <f t="shared" ref="Q24:Q34" si="11">B24</f>
        <v>111</v>
      </c>
      <c r="R24" s="1508" t="s">
        <v>8</v>
      </c>
      <c r="S24" s="1509">
        <f>F24</f>
        <v>100</v>
      </c>
      <c r="T24" s="1508" t="s">
        <v>8</v>
      </c>
      <c r="U24" s="1509">
        <f>H24</f>
        <v>100</v>
      </c>
      <c r="V24" s="1508" t="s">
        <v>8</v>
      </c>
      <c r="W24" s="1509">
        <f>J24</f>
        <v>100</v>
      </c>
      <c r="X24" s="1502"/>
      <c r="Y24" s="351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7"/>
      <c r="Q25" s="1134">
        <f t="shared" si="11"/>
        <v>111</v>
      </c>
      <c r="R25" s="1503" t="s">
        <v>8</v>
      </c>
      <c r="S25" s="1504">
        <f>F25</f>
        <v>100</v>
      </c>
      <c r="T25" s="1503" t="s">
        <v>8</v>
      </c>
      <c r="U25" s="1504">
        <f>H25</f>
        <v>100</v>
      </c>
      <c r="V25" s="1503" t="s">
        <v>8</v>
      </c>
      <c r="W25" s="1504">
        <f>J25</f>
        <v>100</v>
      </c>
      <c r="X25" s="1505"/>
      <c r="Y25" s="3517"/>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9"/>
      <c r="Q27" s="1536" t="str">
        <f t="shared" si="11"/>
        <v>成新率</v>
      </c>
      <c r="R27" s="1512" t="s">
        <v>8</v>
      </c>
      <c r="S27" s="1513" t="e">
        <f t="shared" si="12"/>
        <v>#N/A</v>
      </c>
      <c r="T27" s="1512" t="s">
        <v>8</v>
      </c>
      <c r="U27" s="1513" t="e">
        <f t="shared" si="13"/>
        <v>#N/A</v>
      </c>
      <c r="V27" s="1512" t="s">
        <v>8</v>
      </c>
      <c r="W27" s="1513" t="e">
        <f t="shared" si="14"/>
        <v>#N/A</v>
      </c>
      <c r="X27" s="1514"/>
      <c r="Y27" s="351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9"/>
      <c r="Q28" s="1507" t="str">
        <f t="shared" si="11"/>
        <v>物业等级</v>
      </c>
      <c r="R28" s="1508" t="s">
        <v>8</v>
      </c>
      <c r="S28" s="1509">
        <f t="shared" si="12"/>
        <v>100</v>
      </c>
      <c r="T28" s="1508" t="s">
        <v>8</v>
      </c>
      <c r="U28" s="1509">
        <f t="shared" si="13"/>
        <v>100</v>
      </c>
      <c r="V28" s="1508" t="s">
        <v>8</v>
      </c>
      <c r="W28" s="1509">
        <f t="shared" si="14"/>
        <v>100</v>
      </c>
      <c r="X28" s="1502"/>
      <c r="Y28" s="351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9"/>
      <c r="Q29" s="1507" t="str">
        <f t="shared" si="11"/>
        <v>有无电梯</v>
      </c>
      <c r="R29" s="1508" t="s">
        <v>8</v>
      </c>
      <c r="S29" s="1509">
        <f t="shared" si="12"/>
        <v>100</v>
      </c>
      <c r="T29" s="1508" t="s">
        <v>8</v>
      </c>
      <c r="U29" s="1509">
        <f t="shared" si="13"/>
        <v>100</v>
      </c>
      <c r="V29" s="1508" t="s">
        <v>8</v>
      </c>
      <c r="W29" s="1509">
        <f t="shared" si="14"/>
        <v>100</v>
      </c>
      <c r="X29" s="1502"/>
      <c r="Y29" s="351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9"/>
      <c r="Q30" s="1507" t="str">
        <f t="shared" si="11"/>
        <v>建筑面积</v>
      </c>
      <c r="R30" s="1508" t="s">
        <v>8</v>
      </c>
      <c r="S30" s="1509" t="e">
        <f t="shared" si="12"/>
        <v>#N/A</v>
      </c>
      <c r="T30" s="1508" t="s">
        <v>8</v>
      </c>
      <c r="U30" s="1509" t="e">
        <f t="shared" si="13"/>
        <v>#N/A</v>
      </c>
      <c r="V30" s="1508" t="s">
        <v>8</v>
      </c>
      <c r="W30" s="1509" t="e">
        <f t="shared" si="14"/>
        <v>#N/A</v>
      </c>
      <c r="X30" s="1502"/>
      <c r="Y30" s="351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9"/>
      <c r="Q31" s="1134" t="str">
        <f t="shared" si="11"/>
        <v>是否封闭</v>
      </c>
      <c r="R31" s="1503" t="s">
        <v>8</v>
      </c>
      <c r="S31" s="1504">
        <f t="shared" si="12"/>
        <v>100</v>
      </c>
      <c r="T31" s="1503" t="s">
        <v>8</v>
      </c>
      <c r="U31" s="1504">
        <f t="shared" si="13"/>
        <v>100</v>
      </c>
      <c r="V31" s="1503" t="s">
        <v>8</v>
      </c>
      <c r="W31" s="1504">
        <f t="shared" si="14"/>
        <v>100</v>
      </c>
      <c r="X31" s="1505"/>
      <c r="Y31" s="351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9" t="s">
        <v>544</v>
      </c>
      <c r="Q32" s="1507">
        <f t="shared" si="11"/>
        <v>111</v>
      </c>
      <c r="R32" s="1508" t="s">
        <v>8</v>
      </c>
      <c r="S32" s="1509">
        <f t="shared" si="12"/>
        <v>100</v>
      </c>
      <c r="T32" s="1508" t="s">
        <v>8</v>
      </c>
      <c r="U32" s="1509">
        <f t="shared" si="13"/>
        <v>100</v>
      </c>
      <c r="V32" s="1508" t="s">
        <v>8</v>
      </c>
      <c r="W32" s="1509">
        <f t="shared" si="14"/>
        <v>100</v>
      </c>
      <c r="X32" s="1502"/>
      <c r="Y32" s="351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9"/>
      <c r="Q33" s="1507">
        <f t="shared" si="11"/>
        <v>111</v>
      </c>
      <c r="R33" s="1508" t="s">
        <v>8</v>
      </c>
      <c r="S33" s="1509">
        <f t="shared" si="12"/>
        <v>100</v>
      </c>
      <c r="T33" s="1508" t="s">
        <v>8</v>
      </c>
      <c r="U33" s="1509">
        <f t="shared" si="13"/>
        <v>100</v>
      </c>
      <c r="V33" s="1508" t="s">
        <v>8</v>
      </c>
      <c r="W33" s="1509">
        <f t="shared" si="14"/>
        <v>100</v>
      </c>
      <c r="X33" s="1502"/>
      <c r="Y33" s="351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9"/>
      <c r="Q34" s="1507">
        <f t="shared" si="11"/>
        <v>111</v>
      </c>
      <c r="R34" s="1508" t="s">
        <v>8</v>
      </c>
      <c r="S34" s="1509">
        <f t="shared" si="12"/>
        <v>100</v>
      </c>
      <c r="T34" s="1508" t="s">
        <v>8</v>
      </c>
      <c r="U34" s="1509">
        <f t="shared" si="13"/>
        <v>100</v>
      </c>
      <c r="V34" s="1508" t="s">
        <v>8</v>
      </c>
      <c r="W34" s="1509">
        <f t="shared" si="14"/>
        <v>100</v>
      </c>
      <c r="X34" s="1502"/>
      <c r="Y34" s="3519"/>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81" t="str">
        <f>A35</f>
        <v>成交单价（元/平方米）</v>
      </c>
      <c r="Q35" s="3481"/>
      <c r="R35" s="3600">
        <f>E35</f>
        <v>0</v>
      </c>
      <c r="S35" s="3600"/>
      <c r="T35" s="3600">
        <f>G35</f>
        <v>0</v>
      </c>
      <c r="U35" s="3600"/>
      <c r="V35" s="3600">
        <f>I35</f>
        <v>0</v>
      </c>
      <c r="W35" s="3600"/>
      <c r="X35" s="1497"/>
      <c r="Y35" s="1516"/>
      <c r="Z35" s="1497"/>
      <c r="AA35" s="1497"/>
      <c r="AB35" s="1497"/>
      <c r="AC35" s="1497"/>
    </row>
    <row r="36" spans="1:29" ht="15.75" thickBot="1">
      <c r="A36" s="609" t="s">
        <v>2741</v>
      </c>
      <c r="B36" s="877"/>
      <c r="C36" s="2477" t="e">
        <f>R37</f>
        <v>#DIV/0!</v>
      </c>
      <c r="D36" s="3015" t="s">
        <v>2973</v>
      </c>
      <c r="E36" s="2478" t="e">
        <f>R36</f>
        <v>#DIV/0!</v>
      </c>
      <c r="F36" s="3016"/>
      <c r="G36" s="2477" t="e">
        <f>T36</f>
        <v>#DIV/0!</v>
      </c>
      <c r="H36" s="3016"/>
      <c r="I36" s="2478" t="e">
        <f>V36</f>
        <v>#DIV/0!</v>
      </c>
      <c r="J36" s="3016"/>
      <c r="K36" s="3024">
        <f>F36+H36+J36</f>
        <v>0</v>
      </c>
      <c r="L36" s="2027"/>
      <c r="M36" s="2028"/>
      <c r="N36" s="2017"/>
      <c r="O36" s="2028"/>
      <c r="P36" s="3481" t="str">
        <f>A36</f>
        <v>比较价格（元/平方米）</v>
      </c>
      <c r="Q36" s="3481"/>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7"/>
      <c r="Y36" s="1497"/>
      <c r="Z36" s="1497"/>
      <c r="AA36" s="1497"/>
      <c r="AB36" s="1497"/>
      <c r="AC36" s="1497"/>
    </row>
    <row r="37" spans="1:29" ht="15.75" thickBot="1">
      <c r="A37" s="613" t="s">
        <v>2904</v>
      </c>
      <c r="B37" s="614"/>
      <c r="C37" s="2479" t="e">
        <f>R37</f>
        <v>#DIV/0!</v>
      </c>
      <c r="D37" s="2479"/>
      <c r="E37" s="2479"/>
      <c r="F37" s="2479"/>
      <c r="G37" s="2479"/>
      <c r="H37" s="2479"/>
      <c r="I37" s="2479"/>
      <c r="J37" s="2479"/>
      <c r="K37" s="1542"/>
      <c r="L37" s="2027"/>
      <c r="M37" s="2028"/>
      <c r="N37" s="2028"/>
      <c r="O37" s="2028"/>
      <c r="P37" s="3478" t="str">
        <f>A37</f>
        <v>估价对象XX用房的比较价格（楼面单价，元/平方米）</v>
      </c>
      <c r="Q37" s="3479"/>
      <c r="R37" s="3599" t="e">
        <f>IF(F1="售价",ROUND(IF(D36="简单平均",AVERAGE(R36:W36),R36*F36+T36*H36+V36*J36),0),ROUND(IF(D36="简单平均",AVERAGE(R36:V36),R36*F36+T36*H36+V36*J36),1))</f>
        <v>#DIV/0!</v>
      </c>
      <c r="S37" s="3599"/>
      <c r="T37" s="3599"/>
      <c r="U37" s="3599"/>
      <c r="V37" s="3599"/>
      <c r="W37" s="3599"/>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v>
      </c>
      <c r="D46" s="2522">
        <f>EDATE(C46,-1)</f>
        <v>44166</v>
      </c>
      <c r="E46" s="2522">
        <f t="shared" ref="E46:O46" si="16">EDATE(D46,-1)</f>
        <v>44136</v>
      </c>
      <c r="F46" s="2522">
        <f t="shared" si="16"/>
        <v>44105</v>
      </c>
      <c r="G46" s="2522">
        <f t="shared" si="16"/>
        <v>44075</v>
      </c>
      <c r="H46" s="2522">
        <f t="shared" si="16"/>
        <v>44044</v>
      </c>
      <c r="I46" s="2522">
        <f t="shared" si="16"/>
        <v>44013</v>
      </c>
      <c r="J46" s="2522">
        <f t="shared" si="16"/>
        <v>43983</v>
      </c>
      <c r="K46" s="2522">
        <f t="shared" si="16"/>
        <v>43952</v>
      </c>
      <c r="L46" s="2522">
        <f t="shared" si="16"/>
        <v>43922</v>
      </c>
      <c r="M46" s="2522">
        <f t="shared" si="16"/>
        <v>43891</v>
      </c>
      <c r="N46" s="2522">
        <f t="shared" si="16"/>
        <v>43862</v>
      </c>
      <c r="O46" s="2522">
        <f t="shared" si="16"/>
        <v>43831</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9" t="s">
        <v>2292</v>
      </c>
      <c r="D1" s="3610"/>
      <c r="E1" s="3610"/>
      <c r="F1" s="3610"/>
      <c r="G1" s="3610"/>
      <c r="H1" s="3610"/>
      <c r="I1" s="3610"/>
      <c r="J1" s="3610"/>
      <c r="K1" s="3610"/>
      <c r="L1" s="3610"/>
      <c r="M1" s="3610"/>
      <c r="N1" s="3610"/>
      <c r="O1" s="3610"/>
      <c r="P1" s="3610"/>
      <c r="Q1" s="3610"/>
      <c r="R1" s="3610"/>
      <c r="S1" s="3611"/>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2897</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2896</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2895</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2908</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2894</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2893</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6" t="s">
        <v>20</v>
      </c>
      <c r="D22" s="3607"/>
      <c r="E22" s="3607"/>
      <c r="F22" s="3607"/>
      <c r="G22" s="3607"/>
      <c r="H22" s="3607"/>
      <c r="I22" s="3607"/>
      <c r="J22" s="3607"/>
      <c r="K22" s="3607"/>
      <c r="L22" s="3607"/>
      <c r="M22" s="3607"/>
      <c r="N22" s="3607"/>
      <c r="O22" s="3607"/>
      <c r="P22" s="3607"/>
      <c r="Q22" s="3608"/>
      <c r="R22" s="484" t="e">
        <f>ROUND(S22*10000/B22,0)</f>
        <v>#DIV/0!</v>
      </c>
      <c r="S22" s="53">
        <f>SUM(S24:S10000)</f>
        <v>0</v>
      </c>
    </row>
    <row r="23" spans="1:45" s="1543" customFormat="1" ht="24">
      <c r="A23" s="17" t="s">
        <v>824</v>
      </c>
      <c r="B23" s="2862"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7">
        <v>1</v>
      </c>
      <c r="D24" s="3278"/>
      <c r="E24" s="3277">
        <v>1</v>
      </c>
      <c r="F24" s="3278"/>
      <c r="G24" s="3277">
        <v>1</v>
      </c>
      <c r="H24" s="3278"/>
      <c r="I24" s="3277">
        <v>1</v>
      </c>
      <c r="J24" s="3278"/>
      <c r="K24" s="3277">
        <v>1</v>
      </c>
      <c r="L24" s="3278"/>
      <c r="M24" s="3277">
        <v>1</v>
      </c>
      <c r="N24" s="3278"/>
      <c r="O24" s="3277">
        <v>1</v>
      </c>
      <c r="P24" s="3278"/>
      <c r="Q24" s="3277">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44216</v>
      </c>
      <c r="H1" s="2656">
        <f>IF(C1&gt;C13,0,MATCH(C1,C$13:C$100,-1))+IF(SUMIF(C13:C100,C1,D13:D100)=0,13,12)</f>
        <v>13</v>
      </c>
      <c r="I1" s="2656">
        <f ca="1">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3</v>
      </c>
      <c r="D2" s="2718" t="s">
        <v>2769</v>
      </c>
      <c r="E2" s="2721">
        <f ca="1">INDIRECT("I"&amp;$I$1)/100</f>
        <v>4.7500000000000001E-2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2027</v>
      </c>
      <c r="B1" s="3309"/>
      <c r="C1" s="3309"/>
      <c r="D1" s="3309"/>
      <c r="E1" s="3309"/>
      <c r="F1" s="3309"/>
      <c r="G1" s="3309"/>
      <c r="H1" s="3309"/>
      <c r="I1" s="3309"/>
      <c r="J1" s="3309"/>
      <c r="K1" s="3309"/>
      <c r="L1" s="3309"/>
      <c r="M1" s="3309"/>
      <c r="N1" s="3309"/>
      <c r="O1" s="3309"/>
      <c r="P1" s="3309"/>
      <c r="Q1" s="3309"/>
      <c r="R1" s="3309"/>
    </row>
    <row r="2" spans="1:18">
      <c r="A2" s="1723" t="s">
        <v>2029</v>
      </c>
      <c r="B2" s="1723"/>
      <c r="C2" s="1723"/>
      <c r="D2" s="1723"/>
      <c r="E2" s="1723"/>
      <c r="F2" s="1723"/>
      <c r="G2" s="1723"/>
      <c r="H2" s="1723"/>
      <c r="I2" s="1724"/>
      <c r="J2" s="1724"/>
      <c r="K2" s="1725" t="str">
        <f>"估价期日："&amp;TEXT(项目基本情况!D3,"yyyy年m月d日;;")</f>
        <v>估价期日：2021年1月20日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10" t="s">
        <v>2018</v>
      </c>
      <c r="B3" s="3310" t="s">
        <v>2712</v>
      </c>
      <c r="C3" s="3311" t="s">
        <v>2019</v>
      </c>
      <c r="D3" s="3310" t="s">
        <v>2716</v>
      </c>
      <c r="E3" s="3313" t="s">
        <v>2020</v>
      </c>
      <c r="F3" s="3313"/>
      <c r="G3" s="3313"/>
      <c r="H3" s="3313" t="s">
        <v>2021</v>
      </c>
      <c r="I3" s="3313"/>
      <c r="J3" s="3313"/>
      <c r="K3" s="3311" t="s">
        <v>2022</v>
      </c>
      <c r="L3" s="3311" t="s">
        <v>2023</v>
      </c>
      <c r="M3" s="3310" t="s">
        <v>2713</v>
      </c>
      <c r="N3" s="3312" t="str">
        <f>"（分摊）"&amp;项目基本情况!B16&amp;"国有建设用地使用权面积/㎡"</f>
        <v>（分摊）出让国有建设用地使用权面积/㎡</v>
      </c>
      <c r="O3" s="3310" t="s">
        <v>2052</v>
      </c>
      <c r="P3" s="3311" t="s">
        <v>2032</v>
      </c>
      <c r="Q3" s="3311" t="s">
        <v>2053</v>
      </c>
      <c r="R3" s="3311" t="s">
        <v>2024</v>
      </c>
    </row>
    <row r="4" spans="1:18" ht="36.75" customHeight="1">
      <c r="A4" s="3310"/>
      <c r="B4" s="3310"/>
      <c r="C4" s="3311"/>
      <c r="D4" s="3310"/>
      <c r="E4" s="2492" t="s">
        <v>2031</v>
      </c>
      <c r="F4" s="2492" t="s">
        <v>2725</v>
      </c>
      <c r="G4" s="2492" t="s">
        <v>2025</v>
      </c>
      <c r="H4" s="2492" t="s">
        <v>2026</v>
      </c>
      <c r="I4" s="2492" t="s">
        <v>2726</v>
      </c>
      <c r="J4" s="2492" t="s">
        <v>2025</v>
      </c>
      <c r="K4" s="3311"/>
      <c r="L4" s="3311"/>
      <c r="M4" s="3310"/>
      <c r="N4" s="3312"/>
      <c r="O4" s="3310"/>
      <c r="P4" s="3311"/>
      <c r="Q4" s="3311"/>
      <c r="R4" s="3311"/>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15721.96</v>
      </c>
      <c r="O5" s="1726">
        <f>项目基本情况!C21</f>
        <v>147743.9</v>
      </c>
      <c r="P5" s="1726">
        <f ca="1">结果表!E42</f>
        <v>89526</v>
      </c>
      <c r="Q5" s="1726">
        <f ca="1">结果表!D42</f>
        <v>9527</v>
      </c>
      <c r="R5" s="1727">
        <f ca="1">结果表!C42</f>
        <v>140753</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728">
        <f ca="1">结果表!O39</f>
        <v>140753</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728" t="str">
        <f>结果表!O40</f>
        <v>——</v>
      </c>
    </row>
    <row r="8" spans="1:18">
      <c r="A8" s="3306">
        <f>IF(项目基本情况!B9="市场价格","——",项目基本情况!E9)</f>
        <v>0</v>
      </c>
      <c r="B8" s="3307"/>
      <c r="C8" s="3307"/>
      <c r="D8" s="3307"/>
      <c r="E8" s="3307"/>
      <c r="F8" s="3307"/>
      <c r="G8" s="3307"/>
      <c r="H8" s="3307"/>
      <c r="I8" s="3307"/>
      <c r="J8" s="3307"/>
      <c r="K8" s="3307"/>
      <c r="L8" s="3307"/>
      <c r="M8" s="3307"/>
      <c r="N8" s="3307"/>
      <c r="O8" s="3307"/>
      <c r="P8" s="3307"/>
      <c r="Q8" s="3308"/>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5" t="s">
        <v>2054</v>
      </c>
      <c r="B1" s="3315"/>
      <c r="C1" s="3315"/>
      <c r="D1" s="3315"/>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4" t="s">
        <v>2055</v>
      </c>
      <c r="B5" s="3314"/>
      <c r="C5" s="3314"/>
      <c r="D5" s="3314"/>
    </row>
    <row r="6" spans="1:4">
      <c r="A6" s="3315" t="s">
        <v>2033</v>
      </c>
      <c r="B6" s="3315"/>
      <c r="C6" s="3315"/>
      <c r="D6" s="3315"/>
    </row>
    <row r="7" spans="1:4" ht="33" customHeight="1">
      <c r="A7" s="3315" t="s">
        <v>2556</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7"/>
      <c r="C11" s="3317"/>
      <c r="D11" s="3317"/>
    </row>
    <row r="12" spans="1:4" ht="168" customHeight="1">
      <c r="A12" s="3314" t="s">
        <v>2057</v>
      </c>
      <c r="B12" s="3314"/>
      <c r="C12" s="3314"/>
      <c r="D12" s="3314"/>
    </row>
    <row r="13" spans="1:4">
      <c r="A13" s="3318" t="s">
        <v>2727</v>
      </c>
      <c r="B13" s="3318"/>
      <c r="C13" s="3318"/>
      <c r="D13" s="3318"/>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2683</v>
      </c>
      <c r="B17" s="3315"/>
      <c r="C17" s="3315"/>
      <c r="D17" s="3315"/>
    </row>
    <row r="18" spans="1:4">
      <c r="A18" s="3315" t="s">
        <v>2675</v>
      </c>
      <c r="B18" s="3315"/>
      <c r="C18" s="3315"/>
      <c r="D18" s="3315"/>
    </row>
    <row r="19" spans="1:4">
      <c r="A19" s="2586" t="s">
        <v>2676</v>
      </c>
      <c r="B19" s="2586" t="s">
        <v>2677</v>
      </c>
      <c r="C19" s="2586" t="s">
        <v>2678</v>
      </c>
      <c r="D19" s="2586" t="s">
        <v>2679</v>
      </c>
    </row>
    <row r="20" spans="1:4">
      <c r="A20" s="2586" t="str">
        <f>项目基本情况!B4</f>
        <v>土地估价师</v>
      </c>
      <c r="B20" s="2586">
        <f>项目基本情况!C4</f>
        <v>0</v>
      </c>
      <c r="C20" s="2588"/>
      <c r="D20" s="1716" t="s">
        <v>2684</v>
      </c>
    </row>
    <row r="21" spans="1:4">
      <c r="A21" s="2586" t="str">
        <f>项目基本情况!D4</f>
        <v>土地估价师</v>
      </c>
      <c r="B21" s="2586">
        <f>项目基本情况!E4</f>
        <v>0</v>
      </c>
      <c r="C21" s="2588"/>
      <c r="D21" s="1716" t="s">
        <v>2685</v>
      </c>
    </row>
    <row r="23" spans="1:4">
      <c r="A23" s="3315" t="s">
        <v>2680</v>
      </c>
      <c r="B23" s="3315"/>
      <c r="C23" s="3315"/>
      <c r="D23" s="3315"/>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6" t="s">
        <v>53</v>
      </c>
      <c r="B15" s="3327" t="s">
        <v>838</v>
      </c>
      <c r="C15" s="3323"/>
    </row>
    <row r="16" spans="1:7" ht="14.25">
      <c r="A16" s="3326"/>
      <c r="B16" s="3324" t="s">
        <v>54</v>
      </c>
      <c r="C16" s="1155" t="s">
        <v>53</v>
      </c>
    </row>
    <row r="17" spans="1:3" ht="14.25">
      <c r="A17" s="3326"/>
      <c r="B17" s="3324"/>
      <c r="C17" s="1155" t="s">
        <v>55</v>
      </c>
    </row>
    <row r="18" spans="1:3" ht="14.25">
      <c r="A18" s="3326"/>
      <c r="B18" s="3324"/>
      <c r="C18" s="1155" t="s">
        <v>56</v>
      </c>
    </row>
    <row r="19" spans="1:3" ht="14.25">
      <c r="A19" s="3326"/>
      <c r="B19" s="3322" t="s">
        <v>57</v>
      </c>
      <c r="C19" s="3323"/>
    </row>
    <row r="20" spans="1:3" ht="14.25">
      <c r="A20" s="1156" t="s">
        <v>58</v>
      </c>
      <c r="B20" s="1157"/>
      <c r="C20" s="115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9" t="s">
        <v>829</v>
      </c>
    </row>
    <row r="25" spans="1:3" ht="14.25">
      <c r="A25" s="3325"/>
      <c r="B25" s="3329"/>
      <c r="C25" s="1159" t="s">
        <v>830</v>
      </c>
    </row>
    <row r="26" spans="1:3" ht="14.25">
      <c r="A26" s="3325"/>
      <c r="B26" s="3329"/>
      <c r="C26" s="1159" t="s">
        <v>831</v>
      </c>
    </row>
    <row r="27" spans="1:3" ht="14.25">
      <c r="A27" s="3325"/>
      <c r="B27" s="3329"/>
      <c r="C27" s="1159" t="s">
        <v>832</v>
      </c>
    </row>
    <row r="28" spans="1:3" ht="14.25">
      <c r="A28" s="3325"/>
      <c r="B28" s="3329"/>
      <c r="C28" s="1159" t="s">
        <v>833</v>
      </c>
    </row>
    <row r="29" spans="1:3" ht="14.25">
      <c r="A29" s="3325"/>
      <c r="B29" s="3329"/>
      <c r="C29" s="1159" t="s">
        <v>834</v>
      </c>
    </row>
    <row r="30" spans="1:3" ht="14.25">
      <c r="A30" s="3325"/>
      <c r="B30" s="3329"/>
      <c r="C30" s="1159" t="s">
        <v>835</v>
      </c>
    </row>
    <row r="31" spans="1:3" ht="14.25">
      <c r="A31" s="3325"/>
      <c r="B31" s="3329"/>
      <c r="C31" s="1159" t="s">
        <v>836</v>
      </c>
    </row>
    <row r="32" spans="1:3" ht="14.25">
      <c r="A32" s="3325"/>
      <c r="B32" s="3329"/>
      <c r="C32" s="1159" t="s">
        <v>1637</v>
      </c>
    </row>
    <row r="33" spans="1:3" ht="14.25">
      <c r="A33" s="3325"/>
      <c r="B33" s="3319" t="s">
        <v>1643</v>
      </c>
      <c r="C33" s="1159" t="s">
        <v>1638</v>
      </c>
    </row>
    <row r="34" spans="1:3" ht="14.25">
      <c r="A34" s="3325"/>
      <c r="B34" s="3320"/>
      <c r="C34" s="1164" t="s">
        <v>1639</v>
      </c>
    </row>
    <row r="35" spans="1:3" ht="14.25">
      <c r="A35" s="3325"/>
      <c r="B35" s="3320"/>
      <c r="C35" s="1165" t="s">
        <v>1640</v>
      </c>
    </row>
    <row r="36" spans="1:3" ht="14.25">
      <c r="A36" s="3325"/>
      <c r="B36" s="3320"/>
      <c r="C36" s="1165" t="s">
        <v>1641</v>
      </c>
    </row>
    <row r="37" spans="1:3" ht="14.25">
      <c r="A37" s="3325"/>
      <c r="B37" s="332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44229</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2946</v>
      </c>
      <c r="B12" s="3031">
        <f ca="1">IF(C12&lt;B2,"已过期",1120040230)</f>
        <v>1120040230</v>
      </c>
      <c r="C12" s="3034">
        <v>44864</v>
      </c>
      <c r="D12" s="3042" t="s">
        <v>2947</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2961</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33" t="s">
        <v>1915</v>
      </c>
      <c r="B17" s="3334"/>
      <c r="C17" s="3334"/>
      <c r="D17" s="3334"/>
      <c r="E17" s="3334"/>
      <c r="F17" s="3334"/>
      <c r="G17" s="3035"/>
    </row>
    <row r="18" spans="1:7" ht="20.25" customHeight="1">
      <c r="A18" s="3330" t="s">
        <v>1916</v>
      </c>
      <c r="B18" s="3330"/>
      <c r="C18" s="3331"/>
      <c r="D18" s="3332" t="s">
        <v>1917</v>
      </c>
      <c r="E18" s="3330"/>
      <c r="F18" s="3330"/>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2960</v>
      </c>
      <c r="F21" s="3039">
        <v>44012</v>
      </c>
      <c r="G21" s="3027"/>
    </row>
    <row r="22" spans="1:7" ht="20.25" customHeight="1">
      <c r="A22" s="3026"/>
      <c r="B22" s="3026"/>
      <c r="C22" s="3040"/>
      <c r="D22" s="3048"/>
      <c r="E22" s="3049"/>
      <c r="F22" s="3041" t="s">
        <v>2974</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5" sqref="Y25"/>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2922</v>
      </c>
      <c r="C18" s="1493"/>
    </row>
    <row r="19" spans="1:3">
      <c r="A19" s="8" t="s">
        <v>120</v>
      </c>
      <c r="B19" s="2793" t="s">
        <v>2929</v>
      </c>
      <c r="C19" s="1493"/>
    </row>
    <row r="20" spans="1:3">
      <c r="A20" s="8" t="s">
        <v>121</v>
      </c>
      <c r="B20" s="2793" t="s">
        <v>2975</v>
      </c>
      <c r="C20" s="1493"/>
    </row>
    <row r="21" spans="1:3">
      <c r="A21" s="8" t="s">
        <v>122</v>
      </c>
      <c r="B21" s="8" t="s">
        <v>3088</v>
      </c>
      <c r="C21" s="1493"/>
    </row>
    <row r="22" spans="1:3">
      <c r="A22" s="8" t="s">
        <v>123</v>
      </c>
      <c r="B22" s="8" t="s">
        <v>3089</v>
      </c>
      <c r="C22" s="1493"/>
    </row>
    <row r="23" spans="1:3">
      <c r="A23" s="8" t="s">
        <v>124</v>
      </c>
      <c r="B23" s="8" t="s">
        <v>3090</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6"/>
      <c r="E53" s="1686"/>
    </row>
    <row r="54" spans="1:5">
      <c r="A54" s="333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154</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不动产收益法-车库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2021-02-02T06:37:57Z</dcterms:modified>
</cp:coreProperties>
</file>