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firstSheet="16"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不动产比较法-(商业) (2)" sheetId="74" state="hidden" r:id="rId9"/>
    <sheet name="定义" sheetId="10" r:id="rId10"/>
    <sheet name="项目基本情况" sheetId="4" r:id="rId11"/>
    <sheet name="数据-基础表" sheetId="3" r:id="rId12"/>
    <sheet name="抵押物清单（分楼）" sheetId="42" state="hidden" r:id="rId13"/>
    <sheet name="面积表" sheetId="70"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收益法" sheetId="15" state="hidden" r:id="rId33"/>
    <sheet name="酒店收入计算" sheetId="57" state="hidden" r:id="rId34"/>
    <sheet name="成本逼近法" sheetId="11" state="hidden" r:id="rId35"/>
    <sheet name="不动产比较法-商业" sheetId="33"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不动产比较法-(商业)" sheetId="75" state="hidden" r:id="rId42"/>
    <sheet name="不动产收益法 (车库)" sheetId="68" r:id="rId43"/>
    <sheet name="存贷款利率" sheetId="65" state="hidden" r:id="rId44"/>
    <sheet name="Sheet2" sheetId="69" r:id="rId45"/>
    <sheet name="Sheet1" sheetId="71" state="hidden" r:id="rId46"/>
    <sheet name="Sheet3" sheetId="72" r:id="rId47"/>
  </sheets>
  <externalReferences>
    <externalReference r:id="rId48"/>
    <externalReference r:id="rId49"/>
    <externalReference r:id="rId50"/>
  </externalReferences>
  <definedNames>
    <definedName name="_xlnm._FilterDatabase" localSheetId="22" hidden="1">'比较法-工业'!$A$1:$L$45</definedName>
    <definedName name="_xlnm._FilterDatabase" localSheetId="19" hidden="1">'比较法-住宅、综合'!$A$1:$L$50</definedName>
    <definedName name="_xlnm._FilterDatabase" localSheetId="41" hidden="1">'不动产比较法-(商业)'!$A$1:$L$49</definedName>
    <definedName name="_xlnm._FilterDatabase" localSheetId="8" hidden="1">'不动产比较法-(商业) (2)'!$A$1:$L$49</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1" hidden="1">'不动产比较法-住宅'!$A$1:$L$49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 localSheetId="41">#REF!</definedName>
    <definedName name="办公层高" localSheetId="8">#REF!</definedName>
    <definedName name="办公层高" localSheetId="13">'[1]不动产比较法-办公'!$B$119:$M$119</definedName>
    <definedName name="办公层高">'不动产比较法-办公'!$B$119:$M$119</definedName>
    <definedName name="办公朝向" localSheetId="41">#REF!</definedName>
    <definedName name="办公朝向" localSheetId="8">#REF!</definedName>
    <definedName name="办公朝向" localSheetId="13">'[1]不动产比较法-办公'!$B$91:$M$91</definedName>
    <definedName name="办公朝向">'不动产比较法-办公'!$B$91:$M$91</definedName>
    <definedName name="办公道路级别" localSheetId="41">#REF!</definedName>
    <definedName name="办公道路级别" localSheetId="8">#REF!</definedName>
    <definedName name="办公道路级别" localSheetId="13">'[1]不动产比较法-办公'!$B$87:$M$87</definedName>
    <definedName name="办公道路级别">'不动产比较法-办公'!$B$87:$M$87</definedName>
    <definedName name="办公公共部分装修" localSheetId="41">#REF!</definedName>
    <definedName name="办公公共部分装修" localSheetId="8">#REF!</definedName>
    <definedName name="办公公共部分装修" localSheetId="13">'[1]不动产比较法-办公'!$B$108:$M$108</definedName>
    <definedName name="办公公共部分装修">'不动产比较法-办公'!$B$108:$M$108</definedName>
    <definedName name="办公基础设施水平" localSheetId="41">#REF!</definedName>
    <definedName name="办公基础设施水平" localSheetId="8">#REF!</definedName>
    <definedName name="办公基础设施水平" localSheetId="13">'[1]不动产比较法-办公'!$B$117:$M$117</definedName>
    <definedName name="办公基础设施水平">'不动产比较法-办公'!$B$117:$M$117</definedName>
    <definedName name="办公集聚程度" localSheetId="41">#REF!</definedName>
    <definedName name="办公集聚程度" localSheetId="8">#REF!</definedName>
    <definedName name="办公集聚程度" localSheetId="13">[1]定义!$M$1:$M$6</definedName>
    <definedName name="办公集聚程度">定义!$M$1:$M$6</definedName>
    <definedName name="办公建筑结构" localSheetId="41">#REF!</definedName>
    <definedName name="办公建筑结构" localSheetId="8">#REF!</definedName>
    <definedName name="办公建筑结构" localSheetId="13">'[1]不动产比较法-办公'!$B$106:$M$106</definedName>
    <definedName name="办公建筑结构">'不动产比较法-办公'!$B$106:$M$106</definedName>
    <definedName name="办公建筑类型" localSheetId="41">#REF!</definedName>
    <definedName name="办公建筑类型" localSheetId="8">#REF!</definedName>
    <definedName name="办公建筑类型" localSheetId="13">'[1]不动产比较法-办公'!$B$101:$M$101</definedName>
    <definedName name="办公建筑类型">'不动产比较法-办公'!$B$101:$M$101</definedName>
    <definedName name="办公交易情况" localSheetId="41">#REF!</definedName>
    <definedName name="办公交易情况" localSheetId="8">#REF!</definedName>
    <definedName name="办公交易情况" localSheetId="13">'[1]不动产比较法-办公'!$A$62:$M$62</definedName>
    <definedName name="办公交易情况">'不动产比较法-办公'!$A$62:$M$62</definedName>
    <definedName name="办公楼层" localSheetId="41">#REF!</definedName>
    <definedName name="办公楼层" localSheetId="8">#REF!</definedName>
    <definedName name="办公楼层" localSheetId="13">'[1]不动产比较法-办公'!$B$89:$M$89</definedName>
    <definedName name="办公楼层">'不动产比较法-办公'!$B$89:$M$89</definedName>
    <definedName name="办公内部装修" localSheetId="41">#REF!</definedName>
    <definedName name="办公内部装修" localSheetId="8">#REF!</definedName>
    <definedName name="办公内部装修" localSheetId="13">'[1]不动产比较法-办公'!$B$123:$M$123</definedName>
    <definedName name="办公内部装修">'不动产比较法-办公'!$B$123:$M$123</definedName>
    <definedName name="办公物业管理" localSheetId="41">#REF!</definedName>
    <definedName name="办公物业管理" localSheetId="8">#REF!</definedName>
    <definedName name="办公物业管理" localSheetId="13">'[1]不动产比较法-办公'!$B$115:$M$115</definedName>
    <definedName name="办公物业管理">'不动产比较法-办公'!$B$115:$M$115</definedName>
    <definedName name="办公用途" localSheetId="41">#REF!</definedName>
    <definedName name="办公用途" localSheetId="8">#REF!</definedName>
    <definedName name="办公用途" localSheetId="13">'[1]不动产比较法-办公'!$B$64:$M$64</definedName>
    <definedName name="办公用途">'不动产比较法-办公'!$B$64:$M$64</definedName>
    <definedName name="仓储公共部分装修" localSheetId="41">#REF!</definedName>
    <definedName name="仓储公共部分装修" localSheetId="8">#REF!</definedName>
    <definedName name="仓储公共部分装修" localSheetId="13">'[1]不动产比较法-仓储'!$B$77:$M$77</definedName>
    <definedName name="仓储公共部分装修">'不动产比较法-仓储'!$B$77:$M$77</definedName>
    <definedName name="仓储交易情况" localSheetId="41">#REF!</definedName>
    <definedName name="仓储交易情况" localSheetId="8">#REF!</definedName>
    <definedName name="仓储交易情况" localSheetId="13">'[1]不动产比较法-仓储'!$A$49:$M$49</definedName>
    <definedName name="仓储交易情况">'不动产比较法-仓储'!$A$49:$M$49</definedName>
    <definedName name="仓储楼层" localSheetId="41">#REF!</definedName>
    <definedName name="仓储楼层" localSheetId="8">#REF!</definedName>
    <definedName name="仓储楼层" localSheetId="13">'[1]不动产比较法-仓储'!$B$69:$M$69</definedName>
    <definedName name="仓储楼层">'不动产比较法-仓储'!$B$69:$M$69</definedName>
    <definedName name="仓储物业等级" localSheetId="41">#REF!</definedName>
    <definedName name="仓储物业等级" localSheetId="8">#REF!</definedName>
    <definedName name="仓储物业等级" localSheetId="13">'[1]不动产比较法-仓储'!$B$82:$M$82</definedName>
    <definedName name="仓储物业等级">'不动产比较法-仓储'!$B$82:$M$82</definedName>
    <definedName name="仓储用途" localSheetId="41">#REF!</definedName>
    <definedName name="仓储用途" localSheetId="8">#REF!</definedName>
    <definedName name="仓储用途" localSheetId="13">'[1]不动产比较法-仓储'!$B$51:$M$51</definedName>
    <definedName name="仓储用途">'不动产比较法-仓储'!$B$51:$M$51</definedName>
    <definedName name="产业集聚程度" localSheetId="41">#REF!</definedName>
    <definedName name="产业集聚程度" localSheetId="8">#REF!</definedName>
    <definedName name="产业集聚程度" localSheetId="13">[1]定义!$N$1:$N$6</definedName>
    <definedName name="产业集聚程度">定义!$N$1:$N$6</definedName>
    <definedName name="车位公共部分装修" localSheetId="41">#REF!</definedName>
    <definedName name="车位公共部分装修" localSheetId="8">#REF!</definedName>
    <definedName name="车位公共部分装修" localSheetId="13">'[1]不动产比较法-车位'!$B$83:$M$83</definedName>
    <definedName name="车位公共部分装修">'不动产比较法-车位'!$B$83:$M$83</definedName>
    <definedName name="车位交易情况" localSheetId="41">#REF!</definedName>
    <definedName name="车位交易情况" localSheetId="8">#REF!</definedName>
    <definedName name="车位交易情况" localSheetId="13">'[1]不动产比较法-车位'!$A$51:$M$51</definedName>
    <definedName name="车位交易情况">'不动产比较法-车位'!$A$51:$M$51</definedName>
    <definedName name="车位类型" localSheetId="41">#REF!</definedName>
    <definedName name="车位类型" localSheetId="8">#REF!</definedName>
    <definedName name="车位类型" localSheetId="13">'[1]不动产比较法-车位'!$B$93:$M$93</definedName>
    <definedName name="车位类型">'不动产比较法-车位'!$B$93:$M$93</definedName>
    <definedName name="车位楼层" localSheetId="41">#REF!</definedName>
    <definedName name="车位楼层" localSheetId="8">#REF!</definedName>
    <definedName name="车位楼层" localSheetId="13">'[1]不动产比较法-车位'!$B$71:$M$71</definedName>
    <definedName name="车位楼层">'不动产比较法-车位'!$B$71:$M$71</definedName>
    <definedName name="车位配套类型" localSheetId="41">#REF!</definedName>
    <definedName name="车位配套类型" localSheetId="8">#REF!</definedName>
    <definedName name="车位配套类型" localSheetId="13">'[1]不动产比较法-车位'!$B$79:$M$79</definedName>
    <definedName name="车位配套类型">'不动产比较法-车位'!$B$79:$M$79</definedName>
    <definedName name="车位物业等级" localSheetId="41">#REF!</definedName>
    <definedName name="车位物业等级" localSheetId="8">#REF!</definedName>
    <definedName name="车位物业等级" localSheetId="13">'[1]不动产比较法-车位'!$B$88:$M$88</definedName>
    <definedName name="车位物业等级">'不动产比较法-车位'!$B$88:$M$88</definedName>
    <definedName name="车位用途" localSheetId="41">#REF!</definedName>
    <definedName name="车位用途" localSheetId="8">#REF!</definedName>
    <definedName name="车位用途" localSheetId="13">'[1]不动产比较法-车位'!$B$53:$M$53</definedName>
    <definedName name="车位用途">'不动产比较法-车位'!$B$53:$M$53</definedName>
    <definedName name="城镇土地纳税等级分级范围" localSheetId="41">#REF!</definedName>
    <definedName name="城镇土地纳税等级分级范围" localSheetId="8">#REF!</definedName>
    <definedName name="城镇土地纳税等级分级范围" localSheetId="13">'[1]数据-取费表'!$A$53:$A$63</definedName>
    <definedName name="城镇土地纳税等级分级范围">'数据-取费表'!$A$53:$A$63</definedName>
    <definedName name="单价内涵" localSheetId="41">#REF!</definedName>
    <definedName name="单价内涵" localSheetId="8">#REF!</definedName>
    <definedName name="单价内涵" localSheetId="13">[1]定义!$V$1:$V$3</definedName>
    <definedName name="单价内涵">定义!$V$1:$V$3</definedName>
    <definedName name="地类判定" localSheetId="41">#REF!</definedName>
    <definedName name="地类判定" localSheetId="8">#REF!</definedName>
    <definedName name="地类判定" localSheetId="13">[1]定义!$H$1:$H$9</definedName>
    <definedName name="地类判定">定义!$H$1:$H$9</definedName>
    <definedName name="二级">区片价!$J$1:$J$20</definedName>
    <definedName name="二级分类" localSheetId="41">#REF!</definedName>
    <definedName name="二级分类" localSheetId="8">#REF!</definedName>
    <definedName name="二级分类" localSheetId="13">[1]修正!$C$17:$C$39</definedName>
    <definedName name="二级分类">修正!$C$17:$C$39</definedName>
    <definedName name="法定最高年限" localSheetId="41">#REF!</definedName>
    <definedName name="法定最高年限" localSheetId="8">#REF!</definedName>
    <definedName name="法定最高年限" localSheetId="13">[1]定义!$G$2:$G$4</definedName>
    <definedName name="法定最高年限">定义!$G$2:$G$4</definedName>
    <definedName name="工业公共部分装修" localSheetId="41">#REF!</definedName>
    <definedName name="工业公共部分装修" localSheetId="8">#REF!</definedName>
    <definedName name="工业公共部分装修" localSheetId="13">'[1]不动产比较法-工业'!$B$95:$M$95</definedName>
    <definedName name="工业公共部分装修">'不动产比较法-工业'!$B$95:$M$95</definedName>
    <definedName name="工业基础设施水平" localSheetId="41">#REF!</definedName>
    <definedName name="工业基础设施水平" localSheetId="8">#REF!</definedName>
    <definedName name="工业基础设施水平" localSheetId="13">'[1]不动产比较法-工业'!$B$102:$M$102</definedName>
    <definedName name="工业基础设施水平">'不动产比较法-工业'!$B$102:$M$102</definedName>
    <definedName name="工业建筑结构" localSheetId="41">#REF!</definedName>
    <definedName name="工业建筑结构" localSheetId="8">#REF!</definedName>
    <definedName name="工业建筑结构" localSheetId="13">'[1]不动产比较法-工业'!$B$93:$M$93</definedName>
    <definedName name="工业建筑结构">'不动产比较法-工业'!$B$93:$M$93</definedName>
    <definedName name="工业建筑类型" localSheetId="41">#REF!</definedName>
    <definedName name="工业建筑类型" localSheetId="8">#REF!</definedName>
    <definedName name="工业建筑类型" localSheetId="13">'[1]不动产比较法-工业'!$B$88:$M$88</definedName>
    <definedName name="工业建筑类型">'不动产比较法-工业'!$B$88:$M$88</definedName>
    <definedName name="工业交易情况" localSheetId="41">#REF!</definedName>
    <definedName name="工业交易情况" localSheetId="8">#REF!</definedName>
    <definedName name="工业交易情况" localSheetId="13">'[1]不动产比较法-工业'!$A$55:$M$55</definedName>
    <definedName name="工业交易情况">'不动产比较法-工业'!$A$55:$M$55</definedName>
    <definedName name="工业内部装修" localSheetId="41">#REF!</definedName>
    <definedName name="工业内部装修" localSheetId="8">#REF!</definedName>
    <definedName name="工业内部装修" localSheetId="13">'[1]不动产比较法-工业'!$B$104:$M$104</definedName>
    <definedName name="工业内部装修">'不动产比较法-工业'!$B$104:$M$104</definedName>
    <definedName name="工业物业管理" localSheetId="41">#REF!</definedName>
    <definedName name="工业物业管理" localSheetId="8">#REF!</definedName>
    <definedName name="工业物业管理" localSheetId="13">'[1]不动产比较法-工业'!$B$100:$M$100</definedName>
    <definedName name="工业物业管理">'不动产比较法-工业'!$B$100:$M$100</definedName>
    <definedName name="工业用途" localSheetId="41">#REF!</definedName>
    <definedName name="工业用途" localSheetId="8">#REF!</definedName>
    <definedName name="工业用途" localSheetId="13">'[1]不动产比较法-工业'!$B$57:$M$57</definedName>
    <definedName name="工业用途">'不动产比较法-工业'!$B$57:$M$57</definedName>
    <definedName name="公共配套设施" localSheetId="41">#REF!</definedName>
    <definedName name="公共配套设施" localSheetId="8">#REF!</definedName>
    <definedName name="公共配套设施" localSheetId="13">[1]定义!$Q$1:$Q$6</definedName>
    <definedName name="公共配套设施">定义!$Q$1:$Q$6</definedName>
    <definedName name="估价方法" localSheetId="41">#REF!</definedName>
    <definedName name="估价方法" localSheetId="8">#REF!</definedName>
    <definedName name="估价方法" localSheetId="13">[1]定义!$B$1:$B$50</definedName>
    <definedName name="估价方法">定义!$B$1:$B$50</definedName>
    <definedName name="环境" localSheetId="41">#REF!</definedName>
    <definedName name="环境" localSheetId="8">#REF!</definedName>
    <definedName name="环境" localSheetId="13">[1]定义!$S$1:$S$6</definedName>
    <definedName name="环境">定义!$S$1:$S$6</definedName>
    <definedName name="基础设施水平" localSheetId="41">#REF!</definedName>
    <definedName name="基础设施水平" localSheetId="8">#REF!</definedName>
    <definedName name="基础设施水平" localSheetId="13">[1]定义!$R$1:$R$6</definedName>
    <definedName name="基础设施水平">定义!$R$1:$R$6</definedName>
    <definedName name="季度">基准地价!$N$19:$AB$19</definedName>
    <definedName name="季度2014">地价!$A$2:$A$27</definedName>
    <definedName name="价值类型2" localSheetId="41">#REF!</definedName>
    <definedName name="价值类型2" localSheetId="8">#REF!</definedName>
    <definedName name="价值类型2" localSheetId="13">[1]定义!$B$54:$B$56</definedName>
    <definedName name="价值类型2">定义!$B$54:$B$56</definedName>
    <definedName name="交通便捷度" localSheetId="41">#REF!</definedName>
    <definedName name="交通便捷度" localSheetId="8">#REF!</definedName>
    <definedName name="交通便捷度" localSheetId="13">[1]定义!$O$1:$O$6</definedName>
    <definedName name="交通便捷度">定义!$O$1:$O$6</definedName>
    <definedName name="九级">区片价!$Q$1:$Q$46</definedName>
    <definedName name="居住社区成熟度" localSheetId="41">#REF!</definedName>
    <definedName name="居住社区成熟度" localSheetId="8">#REF!</definedName>
    <definedName name="居住社区成熟度" localSheetId="13">[1]定义!$K$1:$K$6</definedName>
    <definedName name="居住社区成熟度">定义!$K$1:$K$6</definedName>
    <definedName name="类别" localSheetId="41">#REF!</definedName>
    <definedName name="类别" localSheetId="8">#REF!</definedName>
    <definedName name="类别" localSheetId="13">[1]定义!$J$1:$J$3</definedName>
    <definedName name="类别">定义!$J$1:$J$3</definedName>
    <definedName name="临街状况" localSheetId="41">#REF!</definedName>
    <definedName name="临街状况" localSheetId="8">#REF!</definedName>
    <definedName name="临街状况" localSheetId="13">[1]定义!$T$1:$T$5</definedName>
    <definedName name="临街状况">定义!$T$1:$T$5</definedName>
    <definedName name="六级">区片价!$N$1:$N$49</definedName>
    <definedName name="内部装修维护情况" localSheetId="41">#REF!</definedName>
    <definedName name="内部装修维护情况" localSheetId="8">#REF!</definedName>
    <definedName name="内部装修维护情况" localSheetId="13">[1]定义!$U$1:$U$6</definedName>
    <definedName name="内部装修维护情况">定义!$U$1:$U$6</definedName>
    <definedName name="判定" localSheetId="41">#REF!</definedName>
    <definedName name="判定" localSheetId="8">#REF!</definedName>
    <definedName name="判定" localSheetId="13">[1]定义!$D$1:$D$4</definedName>
    <definedName name="判定">定义!$D$1:$D$4</definedName>
    <definedName name="七级">区片价!$O$1:$O$49</definedName>
    <definedName name="七通一平" localSheetId="41">#REF!</definedName>
    <definedName name="七通一平" localSheetId="8">#REF!</definedName>
    <definedName name="七通一平" localSheetId="13">[1]修正!$A$6:$A$14</definedName>
    <definedName name="七通一平">修正!$A$6:$A$14</definedName>
    <definedName name="区域土地利用方向" localSheetId="41">#REF!</definedName>
    <definedName name="区域土地利用方向" localSheetId="8">#REF!</definedName>
    <definedName name="区域土地利用方向" localSheetId="13">[1]定义!$P$1:$P$6</definedName>
    <definedName name="区域土地利用方向">定义!$P$1:$P$6</definedName>
    <definedName name="三级">区片价!$K$1:$K$21</definedName>
    <definedName name="商业层高" localSheetId="41">#REF!</definedName>
    <definedName name="商业层高" localSheetId="8">#REF!</definedName>
    <definedName name="商业层高" localSheetId="13">'[1]不动产比较法-商业'!$B$116:$M$116</definedName>
    <definedName name="商业层高">'不动产比较法-商业'!$B$116:$M$116</definedName>
    <definedName name="商业成新度">'不动产比较法-商业'!$B$109:$M$109</definedName>
    <definedName name="商业繁华度" localSheetId="41">#REF!</definedName>
    <definedName name="商业繁华度" localSheetId="8">#REF!</definedName>
    <definedName name="商业繁华度" localSheetId="13">[1]定义!$L$1:$L$6</definedName>
    <definedName name="商业繁华度">定义!$L$1:$L$6</definedName>
    <definedName name="商业公共部分装修" localSheetId="41">#REF!</definedName>
    <definedName name="商业公共部分装修" localSheetId="8">#REF!</definedName>
    <definedName name="商业公共部分装修" localSheetId="13">'[1]不动产比较法-商业'!$B$107:$M$107</definedName>
    <definedName name="商业公共部分装修">'不动产比较法-商业'!$B$107:$M$107</definedName>
    <definedName name="商业基础设施水平" localSheetId="41">#REF!</definedName>
    <definedName name="商业基础设施水平" localSheetId="8">#REF!</definedName>
    <definedName name="商业基础设施水平" localSheetId="13">'[1]不动产比较法-商业'!$B$112:$M$112</definedName>
    <definedName name="商业基础设施水平">'不动产比较法-商业'!$B$112:$M$112</definedName>
    <definedName name="商业建筑结构" localSheetId="41">#REF!</definedName>
    <definedName name="商业建筑结构" localSheetId="8">#REF!</definedName>
    <definedName name="商业建筑结构" localSheetId="13">'[1]不动产比较法-商业'!$B$105:$M$105</definedName>
    <definedName name="商业建筑结构">'不动产比较法-商业'!$B$105:$M$105</definedName>
    <definedName name="商业交易情况" localSheetId="41">#REF!</definedName>
    <definedName name="商业交易情况" localSheetId="8">#REF!</definedName>
    <definedName name="商业交易情况" localSheetId="13">'[1]不动产比较法-商业'!$A$61:$M$61</definedName>
    <definedName name="商业交易情况">'不动产比较法-商业'!$A$61:$M$61</definedName>
    <definedName name="商业街名称" localSheetId="41">#REF!</definedName>
    <definedName name="商业街名称" localSheetId="8">#REF!</definedName>
    <definedName name="商业街名称" localSheetId="13">[1]修正!$C$59:$C$119</definedName>
    <definedName name="商业街名称">修正!$C$59:$C$119</definedName>
    <definedName name="商业进深比" localSheetId="41">#REF!</definedName>
    <definedName name="商业进深比" localSheetId="8">#REF!</definedName>
    <definedName name="商业进深比" localSheetId="13">'[1]不动产比较法-商业'!$B$120:$M$120</definedName>
    <definedName name="商业进深比">'不动产比较法-商业'!$B$120:$M$120</definedName>
    <definedName name="商业类型" localSheetId="41">#REF!</definedName>
    <definedName name="商业类型" localSheetId="8">#REF!</definedName>
    <definedName name="商业类型" localSheetId="13">'[1]不动产比较法-商业'!$B$100:$M$100</definedName>
    <definedName name="商业类型">'不动产比较法-商业'!$B$100:$M$100</definedName>
    <definedName name="商业临街状况" localSheetId="41">#REF!</definedName>
    <definedName name="商业临街状况" localSheetId="8">#REF!</definedName>
    <definedName name="商业临街状况" localSheetId="13">'[1]不动产比较法-商业'!$B$86:$M$86</definedName>
    <definedName name="商业临街状况">'不动产比较法-商业'!$B$86:$M$86</definedName>
    <definedName name="商业楼层" localSheetId="41">#REF!</definedName>
    <definedName name="商业楼层" localSheetId="8">#REF!</definedName>
    <definedName name="商业楼层" localSheetId="13">'[1]不动产比较法-商业'!$B$92:$M$92</definedName>
    <definedName name="商业楼层">'不动产比较法-商业'!$B$92:$M$92</definedName>
    <definedName name="商业内部装修" localSheetId="41">#REF!</definedName>
    <definedName name="商业内部装修" localSheetId="8">#REF!</definedName>
    <definedName name="商业内部装修" localSheetId="13">'[1]不动产比较法-商业'!$B$122:$M$122</definedName>
    <definedName name="商业内部装修">'不动产比较法-商业'!$B$122:$M$122</definedName>
    <definedName name="商业人流量" localSheetId="41">#REF!</definedName>
    <definedName name="商业人流量" localSheetId="8">#REF!</definedName>
    <definedName name="商业人流量" localSheetId="13">'[1]不动产比较法-商业'!$B$90:$M$90</definedName>
    <definedName name="商业人流量">'不动产比较法-商业'!$B$90:$M$90</definedName>
    <definedName name="商业业态" localSheetId="41">#REF!</definedName>
    <definedName name="商业业态" localSheetId="8">#REF!</definedName>
    <definedName name="商业业态" localSheetId="13">'[1]不动产比较法-商业'!$B$114:$M$114</definedName>
    <definedName name="商业业态">'不动产比较法-商业'!$B$114:$M$114</definedName>
    <definedName name="商业用途" localSheetId="41">#REF!</definedName>
    <definedName name="商业用途" localSheetId="8">#REF!</definedName>
    <definedName name="商业用途" localSheetId="13">'[1]不动产比较法-商业'!$B$63:$M$63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1">#REF!</definedName>
    <definedName name="是否封闭" localSheetId="8">#REF!</definedName>
    <definedName name="是否封闭" localSheetId="13">'[1]不动产比较法-仓储'!$B$89:$M$89</definedName>
    <definedName name="是否封闭">'不动产比较法-仓储'!$B$89:$M$89</definedName>
    <definedName name="是否直接入户" localSheetId="41">#REF!</definedName>
    <definedName name="是否直接入户" localSheetId="8">#REF!</definedName>
    <definedName name="是否直接入户" localSheetId="13">'[1]不动产比较法-车位'!$B$95:$M$95</definedName>
    <definedName name="是否直接入户">'不动产比较法-车位'!$B$95:$M$95</definedName>
    <definedName name="四级">区片价!$L$1:$L$28</definedName>
    <definedName name="套工工程地质条件" localSheetId="41">#REF!</definedName>
    <definedName name="套工工程地质条件" localSheetId="8">#REF!</definedName>
    <definedName name="套工工程地质条件" localSheetId="13">'[1]比较法-工业'!$B$116:$M$116</definedName>
    <definedName name="套工工程地质条件">'比较法-工业'!$B$116:$M$116</definedName>
    <definedName name="套工交易情况" localSheetId="41">#REF!</definedName>
    <definedName name="套工交易情况" localSheetId="8">#REF!</definedName>
    <definedName name="套工交易情况" localSheetId="13">'[1]比较法-住宅、综合'!$A$75:$M$75</definedName>
    <definedName name="套工交易情况">'比较法-住宅、综合'!$A$75:$M$75</definedName>
    <definedName name="套工开发程度" localSheetId="41">#REF!</definedName>
    <definedName name="套工开发程度" localSheetId="8">#REF!</definedName>
    <definedName name="套工开发程度" localSheetId="13">'[1]比较法-工业'!$B$114:$M$114</definedName>
    <definedName name="套工开发程度">'比较法-工业'!$B$114:$M$114</definedName>
    <definedName name="套工临街等级" localSheetId="41">#REF!</definedName>
    <definedName name="套工临街等级" localSheetId="8">#REF!</definedName>
    <definedName name="套工临街等级" localSheetId="13">'[1]比较法-工业'!$B$99:$M$99</definedName>
    <definedName name="套工临街等级">'比较法-工业'!$B$99:$M$99</definedName>
    <definedName name="套工土地级别" localSheetId="41">#REF!</definedName>
    <definedName name="套工土地级别" localSheetId="8">#REF!</definedName>
    <definedName name="套工土地级别" localSheetId="13">'[1]比较法-工业'!$B$101:$M$101</definedName>
    <definedName name="套工土地级别">'比较法-工业'!$B$101:$M$101</definedName>
    <definedName name="套工用途" localSheetId="41">#REF!</definedName>
    <definedName name="套工用途" localSheetId="8">#REF!</definedName>
    <definedName name="套工用途" localSheetId="13">'[1]比较法-工业'!$B$72:$M$72</definedName>
    <definedName name="套工用途">'比较法-工业'!$B$72:$M$72</definedName>
    <definedName name="套工宗地形状" localSheetId="41">#REF!</definedName>
    <definedName name="套工宗地形状" localSheetId="8">#REF!</definedName>
    <definedName name="套工宗地形状" localSheetId="13">'[1]比较法-工业'!$B$112:$M$112</definedName>
    <definedName name="套工宗地形状">'比较法-工业'!$B$112:$M$112</definedName>
    <definedName name="套综道路等级" localSheetId="41">#REF!</definedName>
    <definedName name="套综道路等级" localSheetId="8">#REF!</definedName>
    <definedName name="套综道路等级" localSheetId="13">'[1]比较法-住宅、综合'!$B$108:$M$108</definedName>
    <definedName name="套综道路等级">'比较法-住宅、综合'!$B$108:$M$108</definedName>
    <definedName name="套综工程地质条件" localSheetId="41">#REF!</definedName>
    <definedName name="套综工程地质条件" localSheetId="8">#REF!</definedName>
    <definedName name="套综工程地质条件" localSheetId="13">'[1]比较法-住宅、综合'!$B$127:$M$127</definedName>
    <definedName name="套综工程地质条件">'比较法-住宅、综合'!$B$127:$M$127</definedName>
    <definedName name="套综交易情况" localSheetId="41">#REF!</definedName>
    <definedName name="套综交易情况" localSheetId="8">#REF!</definedName>
    <definedName name="套综交易情况" localSheetId="13">'[1]比较法-住宅、综合'!$A$75:$M$75</definedName>
    <definedName name="套综交易情况">'比较法-住宅、综合'!$A$75:$M$75</definedName>
    <definedName name="套综临街宽度及深度" localSheetId="41">#REF!</definedName>
    <definedName name="套综临街宽度及深度" localSheetId="8">#REF!</definedName>
    <definedName name="套综临街宽度及深度" localSheetId="13">'[1]比较法-住宅、综合'!$B$123:$M$123</definedName>
    <definedName name="套综临街宽度及深度">'比较法-住宅、综合'!$B$123:$M$123</definedName>
    <definedName name="套综土地级别" localSheetId="41">#REF!</definedName>
    <definedName name="套综土地级别" localSheetId="8">#REF!</definedName>
    <definedName name="套综土地级别" localSheetId="13">'[1]比较法-住宅、综合'!$B$110:$M$110</definedName>
    <definedName name="套综土地级别">'比较法-住宅、综合'!$B$110:$M$110</definedName>
    <definedName name="套综用途" localSheetId="41">#REF!</definedName>
    <definedName name="套综用途" localSheetId="8">#REF!</definedName>
    <definedName name="套综用途" localSheetId="13">'[1]比较法-住宅、综合'!$B$77:$M$77</definedName>
    <definedName name="套综用途">'比较法-住宅、综合'!$B$77:$M$77</definedName>
    <definedName name="套综宗地内开发程度" localSheetId="41">#REF!</definedName>
    <definedName name="套综宗地内开发程度" localSheetId="8">#REF!</definedName>
    <definedName name="套综宗地内开发程度" localSheetId="13">'[1]比较法-住宅、综合'!$B$125:$M$125</definedName>
    <definedName name="套综宗地内开发程度">'比较法-住宅、综合'!$B$125:$M$125</definedName>
    <definedName name="套综宗地形状" localSheetId="41">#REF!</definedName>
    <definedName name="套综宗地形状" localSheetId="8">#REF!</definedName>
    <definedName name="套综宗地形状" localSheetId="13">'[1]比较法-住宅、综合'!$B$121:$M$121</definedName>
    <definedName name="套综宗地形状">'比较法-住宅、综合'!$B$121:$M$121</definedName>
    <definedName name="土地估价师" localSheetId="41">#REF!</definedName>
    <definedName name="土地估价师" localSheetId="8">#REF!</definedName>
    <definedName name="土地估价师" localSheetId="13">[1]估价师及机构信息!$D$3:$D$24</definedName>
    <definedName name="土地估价师">估价师及机构信息!$D$3:$D$24</definedName>
    <definedName name="土地级别" localSheetId="41">#REF!</definedName>
    <definedName name="土地级别" localSheetId="8">#REF!</definedName>
    <definedName name="土地级别" localSheetId="13">[1]定义!$C$1:$C$14</definedName>
    <definedName name="土地级别">定义!$C$1:$C$14</definedName>
    <definedName name="土地利用方向">定义!$P$1:$P$6</definedName>
    <definedName name="土地年限区间" localSheetId="41">#REF!</definedName>
    <definedName name="土地年限区间" localSheetId="8">#REF!</definedName>
    <definedName name="土地年限区间" localSheetId="13">[1]定义!$I$1:$I$8</definedName>
    <definedName name="土地年限区间">定义!$I$1:$I$8</definedName>
    <definedName name="位置" localSheetId="41">#REF!</definedName>
    <definedName name="位置" localSheetId="8">#REF!</definedName>
    <definedName name="位置" localSheetId="13">[1]定义!$E$2:$E$4</definedName>
    <definedName name="位置">定义!$E$2:$E$4</definedName>
    <definedName name="五等判定" localSheetId="41">#REF!</definedName>
    <definedName name="五等判定" localSheetId="8">#REF!</definedName>
    <definedName name="五等判定" localSheetId="13">[1]定义!$W$1:$W$6</definedName>
    <definedName name="五等判定">定义!$W$1:$W$6</definedName>
    <definedName name="五级">区片价!$M$1:$M$35</definedName>
    <definedName name="项目类型" localSheetId="41">#REF!</definedName>
    <definedName name="项目类型" localSheetId="8">#REF!</definedName>
    <definedName name="项目类型" localSheetId="13">'[1]数据-汇总表'!$C$17:$C$26</definedName>
    <definedName name="项目类型">'数据-汇总表'!$C$17:$C$26</definedName>
    <definedName name="写字楼等级" localSheetId="41">#REF!</definedName>
    <definedName name="写字楼等级" localSheetId="8">#REF!</definedName>
    <definedName name="写字楼等级" localSheetId="13">'[1]不动产比较法-办公'!$B$113:$M$113</definedName>
    <definedName name="写字楼等级">'不动产比较法-办公'!$B$113:$M$113</definedName>
    <definedName name="一级">区片价!$I$1:$I$6</definedName>
    <definedName name="一修多修正项2" localSheetId="41">#REF!</definedName>
    <definedName name="一修多修正项2" localSheetId="8">#REF!</definedName>
    <definedName name="一修多修正项2" localSheetId="13">[1]典型户型修正!$5:$5</definedName>
    <definedName name="一修多修正项2">典型户型修正!$5:$5</definedName>
    <definedName name="一修多修正项3" localSheetId="41">#REF!</definedName>
    <definedName name="一修多修正项3" localSheetId="8">#REF!</definedName>
    <definedName name="一修多修正项3" localSheetId="13">[1]典型户型修正!$7:$7</definedName>
    <definedName name="一修多修正项3">典型户型修正!$7:$7</definedName>
    <definedName name="一修多修正项4" localSheetId="41">#REF!</definedName>
    <definedName name="一修多修正项4" localSheetId="8">#REF!</definedName>
    <definedName name="一修多修正项4" localSheetId="13">[1]典型户型修正!$9:$9</definedName>
    <definedName name="一修多修正项4">典型户型修正!$9:$9</definedName>
    <definedName name="一修多修正项5" localSheetId="41">#REF!</definedName>
    <definedName name="一修多修正项5" localSheetId="8">#REF!</definedName>
    <definedName name="一修多修正项5" localSheetId="13">[1]典型户型修正!$11:$11</definedName>
    <definedName name="一修多修正项5">典型户型修正!$11:$11</definedName>
    <definedName name="一修多修正项6" localSheetId="41">#REF!</definedName>
    <definedName name="一修多修正项6" localSheetId="8">#REF!</definedName>
    <definedName name="一修多修正项6" localSheetId="13">[1]典型户型修正!$13:$13</definedName>
    <definedName name="一修多修正项6">典型户型修正!$13:$13</definedName>
    <definedName name="一修多修正项7" localSheetId="41">#REF!</definedName>
    <definedName name="一修多修正项7" localSheetId="8">#REF!</definedName>
    <definedName name="一修多修正项7" localSheetId="13">[1]典型户型修正!$15:$15</definedName>
    <definedName name="一修多修正项7">典型户型修正!$15:$15</definedName>
    <definedName name="一修多修正项8" localSheetId="41">#REF!</definedName>
    <definedName name="一修多修正项8" localSheetId="8">#REF!</definedName>
    <definedName name="一修多修正项8" localSheetId="13">[1]典型户型修正!$17:$17</definedName>
    <definedName name="一修多修正项8">典型户型修正!$17:$17</definedName>
    <definedName name="用途类型" localSheetId="41">#REF!</definedName>
    <definedName name="用途类型" localSheetId="8">#REF!</definedName>
    <definedName name="用途类型" localSheetId="13">[1]定义!$A$1:$A$50</definedName>
    <definedName name="用途类型">定义!$A$1:$A$50</definedName>
    <definedName name="有无电梯" localSheetId="41">#REF!</definedName>
    <definedName name="有无电梯" localSheetId="8">#REF!</definedName>
    <definedName name="有无电梯" localSheetId="13">'[1]不动产比较法-仓储'!$B$84:$M$84</definedName>
    <definedName name="有无电梯">'不动产比较法-仓储'!$B$84:$M$84</definedName>
    <definedName name="主用途" localSheetId="41">#REF!</definedName>
    <definedName name="主用途" localSheetId="8">#REF!</definedName>
    <definedName name="主用途" localSheetId="13">[1]定义!$F$1:$F$10</definedName>
    <definedName name="主用途">定义!$F$1:$F$10</definedName>
    <definedName name="住宅朝向" localSheetId="41">'不动产比较法-(商业)'!$B$88:$M$88</definedName>
    <definedName name="住宅朝向" localSheetId="8">'不动产比较法-(商业) (2)'!$B$88:$M$88</definedName>
    <definedName name="住宅朝向" localSheetId="13">'[1]不动产比较法-住宅'!$B$88:$M$88</definedName>
    <definedName name="住宅朝向">'不动产比较法-住宅'!$B$88:$M$88</definedName>
    <definedName name="住宅房型" localSheetId="41">'不动产比较法-(商业)'!$B$118:$M$118</definedName>
    <definedName name="住宅房型" localSheetId="8">'不动产比较法-(商业) (2)'!$B$118:$M$118</definedName>
    <definedName name="住宅房型" localSheetId="13">'[1]不动产比较法-住宅'!$B$118:$M$118</definedName>
    <definedName name="住宅房型">'不动产比较法-住宅'!$B$118:$M$118</definedName>
    <definedName name="住宅公共部分装修" localSheetId="41">'不动产比较法-(商业)'!$B$109:$M$109</definedName>
    <definedName name="住宅公共部分装修" localSheetId="8">'不动产比较法-(商业) (2)'!$B$109:$M$109</definedName>
    <definedName name="住宅公共部分装修" localSheetId="13">'[1]不动产比较法-住宅'!$B$109:$M$109</definedName>
    <definedName name="住宅公共部分装修">'不动产比较法-住宅'!$B$109:$M$109</definedName>
    <definedName name="住宅基础设施水平" localSheetId="41">'不动产比较法-(商业)'!$B$116:$M$116</definedName>
    <definedName name="住宅基础设施水平" localSheetId="8">'不动产比较法-(商业) (2)'!$B$116:$M$116</definedName>
    <definedName name="住宅基础设施水平" localSheetId="13">'[1]不动产比较法-住宅'!$B$116:$M$116</definedName>
    <definedName name="住宅基础设施水平">'不动产比较法-住宅'!$B$116:$M$116</definedName>
    <definedName name="住宅建筑结构" localSheetId="41">'不动产比较法-(商业)'!$B$105:$M$105</definedName>
    <definedName name="住宅建筑结构" localSheetId="8">'不动产比较法-(商业) (2)'!$B$105:$M$105</definedName>
    <definedName name="住宅建筑结构" localSheetId="13">'[1]不动产比较法-住宅'!$B$105:$M$105</definedName>
    <definedName name="住宅建筑结构">'不动产比较法-住宅'!$B$105:$M$105</definedName>
    <definedName name="住宅建筑类型" localSheetId="41">'不动产比较法-(商业)'!$B$100:$M$100</definedName>
    <definedName name="住宅建筑类型" localSheetId="8">'不动产比较法-(商业) (2)'!$B$100:$M$100</definedName>
    <definedName name="住宅建筑类型" localSheetId="13">'[1]不动产比较法-住宅'!$B$100:$M$100</definedName>
    <definedName name="住宅建筑类型">'不动产比较法-住宅'!$B$100:$M$100</definedName>
    <definedName name="住宅建筑品质" localSheetId="41">'不动产比较法-(商业)'!$B$107:$M$107</definedName>
    <definedName name="住宅建筑品质" localSheetId="8">'不动产比较法-(商业) (2)'!$B$107:$M$107</definedName>
    <definedName name="住宅建筑品质" localSheetId="13">'[1]不动产比较法-住宅'!$B$107:$M$107</definedName>
    <definedName name="住宅建筑品质">'不动产比较法-住宅'!$B$107:$M$107</definedName>
    <definedName name="住宅交易情况" localSheetId="41">'不动产比较法-(商业)'!$A$61:$M$61</definedName>
    <definedName name="住宅交易情况" localSheetId="8">'不动产比较法-(商业) (2)'!$A$61:$M$61</definedName>
    <definedName name="住宅交易情况" localSheetId="13">'[1]不动产比较法-住宅'!$A$61:$M$61</definedName>
    <definedName name="住宅交易情况">'不动产比较法-住宅'!$A$61:$M$61</definedName>
    <definedName name="住宅楼层" localSheetId="41">'不动产比较法-(商业)'!$B$86:$M$86</definedName>
    <definedName name="住宅楼层" localSheetId="8">'不动产比较法-(商业) (2)'!$B$86:$M$86</definedName>
    <definedName name="住宅楼层" localSheetId="13">'[1]不动产比较法-住宅'!$B$86:$M$86</definedName>
    <definedName name="住宅楼层">'不动产比较法-住宅'!$B$86:$M$86</definedName>
    <definedName name="住宅内部装修" localSheetId="41">'不动产比较法-(商业)'!$B$122:$M$122</definedName>
    <definedName name="住宅内部装修" localSheetId="8">'不动产比较法-(商业) (2)'!$B$122:$M$122</definedName>
    <definedName name="住宅内部装修" localSheetId="13">'[1]不动产比较法-住宅'!$B$122:$M$122</definedName>
    <definedName name="住宅内部装修">'不动产比较法-住宅'!$B$122:$M$122</definedName>
    <definedName name="住宅物业管理" localSheetId="41">'不动产比较法-(商业)'!$B$114:$M$114</definedName>
    <definedName name="住宅物业管理" localSheetId="8">'不动产比较法-(商业) (2)'!$B$114:$M$114</definedName>
    <definedName name="住宅物业管理" localSheetId="13">'[1]不动产比较法-住宅'!$B$114:$M$114</definedName>
    <definedName name="住宅物业管理">'不动产比较法-住宅'!$B$114:$M$114</definedName>
    <definedName name="住宅用途" localSheetId="41">'不动产比较法-(商业)'!$B$63:$M$63</definedName>
    <definedName name="住宅用途" localSheetId="8">'不动产比较法-(商业) (2)'!$B$63:$M$63</definedName>
    <definedName name="住宅用途" localSheetId="13">'[1]不动产比较法-住宅'!$B$63:$M$63</definedName>
    <definedName name="住宅用途">'不动产比较法-住宅'!$B$63:$M$63</definedName>
    <definedName name="住宅主力户型面积" localSheetId="41">'不动产比较法-(商业)'!$B$120:$M$120</definedName>
    <definedName name="住宅主力户型面积" localSheetId="8">'不动产比较法-(商业) (2)'!$B$120:$M$120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3" i="3" l="1"/>
  <c r="C40" i="39" l="1"/>
  <c r="C15" i="66" l="1"/>
  <c r="B15" i="66"/>
  <c r="D3" i="33"/>
  <c r="I7" i="33"/>
  <c r="G7" i="33"/>
  <c r="E7" i="33"/>
  <c r="D3" i="75"/>
  <c r="C7" i="75"/>
  <c r="D15" i="66" l="1"/>
  <c r="C145" i="75" l="1"/>
  <c r="J142" i="75"/>
  <c r="J140" i="75"/>
  <c r="K145" i="75" s="1"/>
  <c r="K139" i="75"/>
  <c r="K143" i="75" s="1"/>
  <c r="B130" i="75"/>
  <c r="B128" i="75"/>
  <c r="B126" i="75"/>
  <c r="E125" i="75"/>
  <c r="F125" i="75" s="1"/>
  <c r="G125" i="75" s="1"/>
  <c r="D125" i="75"/>
  <c r="E123" i="75"/>
  <c r="F123" i="75" s="1"/>
  <c r="G123" i="75" s="1"/>
  <c r="H123" i="75" s="1"/>
  <c r="I123" i="75" s="1"/>
  <c r="J123" i="75" s="1"/>
  <c r="K123" i="75" s="1"/>
  <c r="L123" i="75" s="1"/>
  <c r="M123" i="75" s="1"/>
  <c r="D123" i="75"/>
  <c r="E119" i="75"/>
  <c r="F119" i="75" s="1"/>
  <c r="G119" i="75" s="1"/>
  <c r="H119" i="75" s="1"/>
  <c r="I119" i="75" s="1"/>
  <c r="J119" i="75" s="1"/>
  <c r="K119" i="75" s="1"/>
  <c r="L119" i="75" s="1"/>
  <c r="M119" i="75" s="1"/>
  <c r="D119" i="75"/>
  <c r="E117" i="75"/>
  <c r="F117" i="75" s="1"/>
  <c r="G117" i="75" s="1"/>
  <c r="D117" i="75"/>
  <c r="E115" i="75"/>
  <c r="F115" i="75" s="1"/>
  <c r="G115" i="75" s="1"/>
  <c r="H115" i="75" s="1"/>
  <c r="I115" i="75" s="1"/>
  <c r="J115" i="75" s="1"/>
  <c r="K115" i="75" s="1"/>
  <c r="L115" i="75" s="1"/>
  <c r="M115" i="75" s="1"/>
  <c r="D115" i="75"/>
  <c r="D113" i="75"/>
  <c r="E113" i="75" s="1"/>
  <c r="F113" i="75" s="1"/>
  <c r="G113" i="75" s="1"/>
  <c r="H113" i="75" s="1"/>
  <c r="H111" i="75"/>
  <c r="G111" i="75"/>
  <c r="F111" i="75"/>
  <c r="E111" i="75"/>
  <c r="D111" i="75"/>
  <c r="C111" i="75"/>
  <c r="D110" i="75"/>
  <c r="E110" i="75" s="1"/>
  <c r="F110" i="75" s="1"/>
  <c r="G110" i="75" s="1"/>
  <c r="H110" i="75" s="1"/>
  <c r="I110" i="75" s="1"/>
  <c r="J110" i="75" s="1"/>
  <c r="K110" i="75" s="1"/>
  <c r="L110" i="75" s="1"/>
  <c r="M110" i="75" s="1"/>
  <c r="D108" i="75"/>
  <c r="E108" i="75" s="1"/>
  <c r="F108" i="75" s="1"/>
  <c r="G108" i="75" s="1"/>
  <c r="H108" i="75" s="1"/>
  <c r="I108" i="75" s="1"/>
  <c r="J108" i="75" s="1"/>
  <c r="K108" i="75" s="1"/>
  <c r="L108" i="75" s="1"/>
  <c r="M108" i="75" s="1"/>
  <c r="D106" i="75"/>
  <c r="E106" i="75" s="1"/>
  <c r="F106" i="75" s="1"/>
  <c r="G106" i="75" s="1"/>
  <c r="H106" i="75" s="1"/>
  <c r="I106" i="75" s="1"/>
  <c r="J106" i="75" s="1"/>
  <c r="K106" i="75" s="1"/>
  <c r="L106" i="75" s="1"/>
  <c r="M106" i="75" s="1"/>
  <c r="M102" i="75"/>
  <c r="L102" i="75"/>
  <c r="K102" i="75"/>
  <c r="J102" i="75"/>
  <c r="I102" i="75"/>
  <c r="H102" i="75"/>
  <c r="G102" i="75"/>
  <c r="F102" i="75"/>
  <c r="E102" i="75"/>
  <c r="D102" i="75"/>
  <c r="C102" i="75"/>
  <c r="E101" i="75"/>
  <c r="F101" i="75" s="1"/>
  <c r="G101" i="75" s="1"/>
  <c r="H101" i="75" s="1"/>
  <c r="I101" i="75" s="1"/>
  <c r="J101" i="75" s="1"/>
  <c r="K101" i="75" s="1"/>
  <c r="L101" i="75" s="1"/>
  <c r="M101" i="75" s="1"/>
  <c r="D101" i="75"/>
  <c r="B98" i="75"/>
  <c r="B96" i="75"/>
  <c r="B94" i="75"/>
  <c r="B92" i="75"/>
  <c r="B90" i="75"/>
  <c r="D89" i="75"/>
  <c r="E89" i="75" s="1"/>
  <c r="F89" i="75" s="1"/>
  <c r="G89" i="75" s="1"/>
  <c r="H89" i="75" s="1"/>
  <c r="I89" i="75" s="1"/>
  <c r="J89" i="75" s="1"/>
  <c r="K89" i="75" s="1"/>
  <c r="L89" i="75" s="1"/>
  <c r="M89" i="75" s="1"/>
  <c r="M87" i="75"/>
  <c r="L87" i="75"/>
  <c r="K87" i="75"/>
  <c r="J87" i="75"/>
  <c r="I87" i="75"/>
  <c r="H87" i="75"/>
  <c r="G87" i="75"/>
  <c r="F87" i="75"/>
  <c r="E87" i="75"/>
  <c r="D87" i="75"/>
  <c r="D85" i="75"/>
  <c r="E85" i="75" s="1"/>
  <c r="F85" i="75" s="1"/>
  <c r="G85" i="75" s="1"/>
  <c r="D83" i="75"/>
  <c r="E83" i="75" s="1"/>
  <c r="F83" i="75" s="1"/>
  <c r="G83" i="75" s="1"/>
  <c r="D81" i="75"/>
  <c r="E81" i="75" s="1"/>
  <c r="F81" i="75" s="1"/>
  <c r="G81" i="75" s="1"/>
  <c r="D79" i="75"/>
  <c r="E79" i="75" s="1"/>
  <c r="F79" i="75" s="1"/>
  <c r="G79" i="75" s="1"/>
  <c r="D77" i="75"/>
  <c r="E77" i="75" s="1"/>
  <c r="F77" i="75" s="1"/>
  <c r="G77" i="75" s="1"/>
  <c r="B74" i="75"/>
  <c r="B72" i="75"/>
  <c r="B70" i="75"/>
  <c r="E69" i="75"/>
  <c r="F69" i="75" s="1"/>
  <c r="G69" i="75" s="1"/>
  <c r="H69" i="75" s="1"/>
  <c r="I69" i="75" s="1"/>
  <c r="J69" i="75" s="1"/>
  <c r="K69" i="75" s="1"/>
  <c r="L69" i="75" s="1"/>
  <c r="M69" i="75" s="1"/>
  <c r="D69" i="75"/>
  <c r="M67" i="75"/>
  <c r="L67" i="75"/>
  <c r="K67" i="75"/>
  <c r="J67" i="75"/>
  <c r="I67" i="75"/>
  <c r="H67" i="75"/>
  <c r="G67" i="75"/>
  <c r="F67" i="75"/>
  <c r="E67" i="75"/>
  <c r="D67" i="75"/>
  <c r="C67" i="75"/>
  <c r="D66" i="75"/>
  <c r="E66" i="75" s="1"/>
  <c r="F66" i="75" s="1"/>
  <c r="G66" i="75" s="1"/>
  <c r="H66" i="75" s="1"/>
  <c r="I66" i="75" s="1"/>
  <c r="C63" i="75"/>
  <c r="I54" i="75"/>
  <c r="J54" i="75" s="1"/>
  <c r="G54" i="75"/>
  <c r="H54" i="75" s="1"/>
  <c r="E54" i="75"/>
  <c r="F54" i="75" s="1"/>
  <c r="P49" i="75"/>
  <c r="P48" i="75"/>
  <c r="V47" i="75"/>
  <c r="T47" i="75"/>
  <c r="R47" i="75"/>
  <c r="P47" i="75"/>
  <c r="Q46" i="75"/>
  <c r="Z46" i="75" s="1"/>
  <c r="J46" i="75"/>
  <c r="AC46" i="75" s="1"/>
  <c r="H46" i="75"/>
  <c r="AB46" i="75" s="1"/>
  <c r="F46" i="75"/>
  <c r="AA46" i="75" s="1"/>
  <c r="Z45" i="75"/>
  <c r="Q45" i="75"/>
  <c r="J45" i="75"/>
  <c r="H45" i="75"/>
  <c r="AB45" i="75" s="1"/>
  <c r="F45" i="75"/>
  <c r="AA45" i="75" s="1"/>
  <c r="Q44" i="75"/>
  <c r="Z44" i="75" s="1"/>
  <c r="J44" i="75"/>
  <c r="AC44" i="75" s="1"/>
  <c r="H44" i="75"/>
  <c r="AB44" i="75" s="1"/>
  <c r="F44" i="75"/>
  <c r="AA44" i="75" s="1"/>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AC40" i="75" s="1"/>
  <c r="H40" i="75"/>
  <c r="AB40" i="75" s="1"/>
  <c r="F40" i="75"/>
  <c r="AA40" i="75" s="1"/>
  <c r="Q39" i="75"/>
  <c r="Z39" i="75" s="1"/>
  <c r="J39" i="75"/>
  <c r="AC39" i="75" s="1"/>
  <c r="H39" i="75"/>
  <c r="AB39" i="75" s="1"/>
  <c r="F39" i="75"/>
  <c r="AA39" i="75" s="1"/>
  <c r="Q38" i="75"/>
  <c r="Z38" i="75" s="1"/>
  <c r="J38" i="75"/>
  <c r="AC38" i="75" s="1"/>
  <c r="H38" i="75"/>
  <c r="AB38" i="75" s="1"/>
  <c r="F38" i="75"/>
  <c r="AA38" i="75" s="1"/>
  <c r="Q37" i="75"/>
  <c r="Z37" i="75" s="1"/>
  <c r="J37" i="75"/>
  <c r="AC37" i="75" s="1"/>
  <c r="H37" i="75"/>
  <c r="AB37" i="75" s="1"/>
  <c r="F37" i="75"/>
  <c r="AA37" i="75" s="1"/>
  <c r="Q36" i="75"/>
  <c r="Z36" i="75" s="1"/>
  <c r="J36" i="75"/>
  <c r="AC36" i="75" s="1"/>
  <c r="H36" i="75"/>
  <c r="AB36" i="75" s="1"/>
  <c r="F36" i="75"/>
  <c r="AA36" i="75" s="1"/>
  <c r="Q35" i="75"/>
  <c r="Z35" i="75" s="1"/>
  <c r="J35" i="75"/>
  <c r="AC35" i="75" s="1"/>
  <c r="H35" i="75"/>
  <c r="AB35" i="75" s="1"/>
  <c r="F35" i="75"/>
  <c r="AA35" i="75" s="1"/>
  <c r="Q34" i="75"/>
  <c r="Z34" i="75" s="1"/>
  <c r="J34" i="75"/>
  <c r="AC34" i="75" s="1"/>
  <c r="H34" i="75"/>
  <c r="AB34" i="75" s="1"/>
  <c r="F34" i="75"/>
  <c r="AA34" i="75" s="1"/>
  <c r="Q33" i="75"/>
  <c r="Z33" i="75" s="1"/>
  <c r="J33" i="75"/>
  <c r="AC33" i="75" s="1"/>
  <c r="H33" i="75"/>
  <c r="AB33" i="75" s="1"/>
  <c r="F33" i="75"/>
  <c r="AA33" i="75" s="1"/>
  <c r="Q32" i="75"/>
  <c r="Z32" i="75" s="1"/>
  <c r="J32" i="75"/>
  <c r="AC32" i="75" s="1"/>
  <c r="H32" i="75"/>
  <c r="AB32" i="75" s="1"/>
  <c r="F32" i="75"/>
  <c r="AA32" i="75" s="1"/>
  <c r="Q31" i="75"/>
  <c r="Z31" i="75" s="1"/>
  <c r="J31" i="75"/>
  <c r="AC31" i="75" s="1"/>
  <c r="H31" i="75"/>
  <c r="AB31" i="75" s="1"/>
  <c r="F31" i="75"/>
  <c r="AA31" i="75" s="1"/>
  <c r="Q30" i="75"/>
  <c r="Z30" i="75" s="1"/>
  <c r="J30" i="75"/>
  <c r="AC30" i="75" s="1"/>
  <c r="H30" i="75"/>
  <c r="AB30" i="75" s="1"/>
  <c r="F30" i="75"/>
  <c r="AA30" i="75" s="1"/>
  <c r="Q29" i="75"/>
  <c r="Z29" i="75" s="1"/>
  <c r="J29" i="75"/>
  <c r="AC29" i="75" s="1"/>
  <c r="H29" i="75"/>
  <c r="AB29" i="75" s="1"/>
  <c r="F29" i="75"/>
  <c r="AA29" i="75" s="1"/>
  <c r="Q28" i="75"/>
  <c r="Z28" i="75" s="1"/>
  <c r="J28" i="75"/>
  <c r="AC28" i="75" s="1"/>
  <c r="H28" i="75"/>
  <c r="AB28" i="75" s="1"/>
  <c r="F28" i="75"/>
  <c r="AA28" i="75" s="1"/>
  <c r="Q27" i="75"/>
  <c r="Z27" i="75" s="1"/>
  <c r="J27" i="75"/>
  <c r="AC27" i="75" s="1"/>
  <c r="H27" i="75"/>
  <c r="AB27" i="75" s="1"/>
  <c r="F27" i="75"/>
  <c r="AA27" i="75" s="1"/>
  <c r="Q26" i="75"/>
  <c r="Z26" i="75" s="1"/>
  <c r="J26" i="75"/>
  <c r="AC26" i="75" s="1"/>
  <c r="H26" i="75"/>
  <c r="AB26" i="75" s="1"/>
  <c r="F26" i="75"/>
  <c r="Q25" i="75"/>
  <c r="Z25" i="75" s="1"/>
  <c r="J25" i="75"/>
  <c r="AC25" i="75" s="1"/>
  <c r="H25" i="75"/>
  <c r="AB25" i="75" s="1"/>
  <c r="F25" i="75"/>
  <c r="AA25" i="75" s="1"/>
  <c r="AC23" i="75"/>
  <c r="W23" i="75"/>
  <c r="Q23" i="75"/>
  <c r="Z23" i="75" s="1"/>
  <c r="J23" i="75"/>
  <c r="H23" i="75"/>
  <c r="AB23" i="75" s="1"/>
  <c r="F23" i="75"/>
  <c r="AA23" i="75" s="1"/>
  <c r="C23" i="75"/>
  <c r="Q21" i="75"/>
  <c r="Z21" i="75" s="1"/>
  <c r="J21" i="75"/>
  <c r="AC21" i="75" s="1"/>
  <c r="H21" i="75"/>
  <c r="AB21" i="75" s="1"/>
  <c r="F21" i="75"/>
  <c r="AA21" i="75" s="1"/>
  <c r="C21" i="75"/>
  <c r="AC19" i="75"/>
  <c r="W19" i="75"/>
  <c r="Q19" i="75"/>
  <c r="Z19" i="75" s="1"/>
  <c r="J19" i="75"/>
  <c r="H19" i="75"/>
  <c r="AB19" i="75" s="1"/>
  <c r="F19" i="75"/>
  <c r="AA19" i="75" s="1"/>
  <c r="C19" i="75"/>
  <c r="Q17" i="75"/>
  <c r="Z17" i="75" s="1"/>
  <c r="J17" i="75"/>
  <c r="AC17" i="75" s="1"/>
  <c r="H17" i="75"/>
  <c r="AB17" i="75" s="1"/>
  <c r="F17" i="75"/>
  <c r="AA17" i="75" s="1"/>
  <c r="C17" i="75"/>
  <c r="AC15" i="75"/>
  <c r="Q15" i="75"/>
  <c r="Z15" i="75" s="1"/>
  <c r="J15" i="75"/>
  <c r="W15" i="75" s="1"/>
  <c r="H15" i="75"/>
  <c r="AB15" i="75" s="1"/>
  <c r="F15" i="75"/>
  <c r="AA15" i="75" s="1"/>
  <c r="C15" i="75"/>
  <c r="Q14" i="75"/>
  <c r="Z14" i="75" s="1"/>
  <c r="J14" i="75"/>
  <c r="AC14" i="75" s="1"/>
  <c r="H14" i="75"/>
  <c r="AB14" i="75" s="1"/>
  <c r="F14" i="75"/>
  <c r="AA14" i="75" s="1"/>
  <c r="Q13" i="75"/>
  <c r="Z13" i="75" s="1"/>
  <c r="J13" i="75"/>
  <c r="AC13" i="75" s="1"/>
  <c r="H13" i="75"/>
  <c r="AB13" i="75" s="1"/>
  <c r="F13" i="75"/>
  <c r="AA13" i="75" s="1"/>
  <c r="Q12" i="75"/>
  <c r="Z12" i="75" s="1"/>
  <c r="J12" i="75"/>
  <c r="AC12" i="75" s="1"/>
  <c r="H12" i="75"/>
  <c r="AB12" i="75" s="1"/>
  <c r="F12" i="75"/>
  <c r="AA12" i="75" s="1"/>
  <c r="Q11" i="75"/>
  <c r="Z11" i="75" s="1"/>
  <c r="Q10" i="75"/>
  <c r="Z10" i="75" s="1"/>
  <c r="J10" i="75"/>
  <c r="AC10" i="75" s="1"/>
  <c r="H10" i="75"/>
  <c r="AB10" i="75" s="1"/>
  <c r="F10" i="75"/>
  <c r="AA10" i="75" s="1"/>
  <c r="Q9" i="75"/>
  <c r="Z9" i="75" s="1"/>
  <c r="J9" i="75"/>
  <c r="AC9" i="75" s="1"/>
  <c r="H9" i="75"/>
  <c r="AB9" i="75" s="1"/>
  <c r="F9" i="75"/>
  <c r="AA9" i="75" s="1"/>
  <c r="U8" i="75"/>
  <c r="J8" i="75"/>
  <c r="AC8" i="75" s="1"/>
  <c r="H8" i="75"/>
  <c r="AB8" i="75" s="1"/>
  <c r="F8" i="75"/>
  <c r="AA8" i="75" s="1"/>
  <c r="C58" i="75"/>
  <c r="D58" i="75" s="1"/>
  <c r="E58" i="75" s="1"/>
  <c r="F58" i="75" s="1"/>
  <c r="G58" i="75" s="1"/>
  <c r="H58" i="75" s="1"/>
  <c r="I58" i="75" s="1"/>
  <c r="J58" i="75" s="1"/>
  <c r="K58" i="75" s="1"/>
  <c r="L58" i="75" s="1"/>
  <c r="M58" i="75" s="1"/>
  <c r="N58" i="75" s="1"/>
  <c r="O58" i="75" s="1"/>
  <c r="C145" i="74"/>
  <c r="J142" i="74"/>
  <c r="J140" i="74"/>
  <c r="K145" i="74" s="1"/>
  <c r="K139" i="74"/>
  <c r="K143" i="74" s="1"/>
  <c r="B130" i="74"/>
  <c r="B128" i="74"/>
  <c r="B126" i="74"/>
  <c r="E125" i="74"/>
  <c r="F125" i="74" s="1"/>
  <c r="G125" i="74" s="1"/>
  <c r="D125" i="74"/>
  <c r="E123" i="74"/>
  <c r="F123" i="74" s="1"/>
  <c r="G123" i="74" s="1"/>
  <c r="H123" i="74" s="1"/>
  <c r="I123" i="74" s="1"/>
  <c r="J123" i="74" s="1"/>
  <c r="K123" i="74" s="1"/>
  <c r="L123" i="74" s="1"/>
  <c r="M123" i="74" s="1"/>
  <c r="D123" i="74"/>
  <c r="E119" i="74"/>
  <c r="F119" i="74" s="1"/>
  <c r="G119" i="74" s="1"/>
  <c r="H119" i="74" s="1"/>
  <c r="I119" i="74" s="1"/>
  <c r="J119" i="74" s="1"/>
  <c r="K119" i="74" s="1"/>
  <c r="L119" i="74" s="1"/>
  <c r="M119" i="74" s="1"/>
  <c r="D119" i="74"/>
  <c r="E117" i="74"/>
  <c r="F117" i="74" s="1"/>
  <c r="G117" i="74" s="1"/>
  <c r="D117" i="74"/>
  <c r="E115" i="74"/>
  <c r="F115" i="74" s="1"/>
  <c r="G115" i="74" s="1"/>
  <c r="H115" i="74" s="1"/>
  <c r="I115" i="74" s="1"/>
  <c r="J115" i="74" s="1"/>
  <c r="K115" i="74" s="1"/>
  <c r="L115" i="74" s="1"/>
  <c r="M115" i="74" s="1"/>
  <c r="D115" i="74"/>
  <c r="D113" i="74"/>
  <c r="E113" i="74" s="1"/>
  <c r="F113" i="74" s="1"/>
  <c r="G113" i="74" s="1"/>
  <c r="H113" i="74" s="1"/>
  <c r="H111" i="74"/>
  <c r="G111" i="74"/>
  <c r="F111" i="74"/>
  <c r="E111" i="74"/>
  <c r="D111" i="74"/>
  <c r="C111" i="74"/>
  <c r="D110" i="74"/>
  <c r="E110" i="74" s="1"/>
  <c r="F110" i="74" s="1"/>
  <c r="G110" i="74" s="1"/>
  <c r="H110" i="74" s="1"/>
  <c r="I110" i="74" s="1"/>
  <c r="J110" i="74" s="1"/>
  <c r="K110" i="74" s="1"/>
  <c r="L110" i="74" s="1"/>
  <c r="M110" i="74" s="1"/>
  <c r="D108" i="74"/>
  <c r="E108" i="74" s="1"/>
  <c r="F108" i="74" s="1"/>
  <c r="G108" i="74" s="1"/>
  <c r="H108" i="74" s="1"/>
  <c r="I108" i="74" s="1"/>
  <c r="J108" i="74" s="1"/>
  <c r="K108" i="74" s="1"/>
  <c r="L108" i="74" s="1"/>
  <c r="M108" i="74" s="1"/>
  <c r="D106" i="74"/>
  <c r="E106" i="74" s="1"/>
  <c r="F106" i="74" s="1"/>
  <c r="G106" i="74" s="1"/>
  <c r="H106" i="74" s="1"/>
  <c r="I106" i="74" s="1"/>
  <c r="J106" i="74" s="1"/>
  <c r="K106" i="74" s="1"/>
  <c r="L106" i="74" s="1"/>
  <c r="M106" i="74" s="1"/>
  <c r="M102" i="74"/>
  <c r="L102" i="74"/>
  <c r="K102" i="74"/>
  <c r="J102" i="74"/>
  <c r="I102" i="74"/>
  <c r="H102" i="74"/>
  <c r="G102" i="74"/>
  <c r="F102" i="74"/>
  <c r="E102" i="74"/>
  <c r="D102" i="74"/>
  <c r="C102" i="74"/>
  <c r="D101" i="74"/>
  <c r="E101" i="74" s="1"/>
  <c r="F101" i="74" s="1"/>
  <c r="G101" i="74" s="1"/>
  <c r="H101" i="74" s="1"/>
  <c r="I101" i="74" s="1"/>
  <c r="J101" i="74" s="1"/>
  <c r="K101" i="74" s="1"/>
  <c r="L101" i="74" s="1"/>
  <c r="M101" i="74" s="1"/>
  <c r="B98" i="74"/>
  <c r="B96" i="74"/>
  <c r="B94" i="74"/>
  <c r="B92" i="74"/>
  <c r="B90" i="74"/>
  <c r="D89" i="74"/>
  <c r="E89" i="74" s="1"/>
  <c r="F89" i="74" s="1"/>
  <c r="G89" i="74" s="1"/>
  <c r="H89" i="74" s="1"/>
  <c r="I89" i="74" s="1"/>
  <c r="J89" i="74" s="1"/>
  <c r="K89" i="74" s="1"/>
  <c r="L89" i="74" s="1"/>
  <c r="M89" i="74" s="1"/>
  <c r="M87" i="74"/>
  <c r="L87" i="74"/>
  <c r="K87" i="74"/>
  <c r="J87" i="74"/>
  <c r="I87" i="74"/>
  <c r="H87" i="74"/>
  <c r="G87" i="74"/>
  <c r="F87" i="74"/>
  <c r="E87" i="74"/>
  <c r="D87" i="74"/>
  <c r="D85" i="74"/>
  <c r="E85" i="74" s="1"/>
  <c r="F85" i="74" s="1"/>
  <c r="G85" i="74" s="1"/>
  <c r="D83" i="74"/>
  <c r="E83" i="74" s="1"/>
  <c r="F83" i="74" s="1"/>
  <c r="G83" i="74" s="1"/>
  <c r="D81" i="74"/>
  <c r="E81" i="74" s="1"/>
  <c r="F81" i="74" s="1"/>
  <c r="G81" i="74" s="1"/>
  <c r="D79" i="74"/>
  <c r="E79" i="74" s="1"/>
  <c r="F79" i="74" s="1"/>
  <c r="G79" i="74" s="1"/>
  <c r="D77" i="74"/>
  <c r="E77" i="74" s="1"/>
  <c r="F77" i="74" s="1"/>
  <c r="G77" i="74" s="1"/>
  <c r="B74" i="74"/>
  <c r="B72" i="74"/>
  <c r="B70" i="74"/>
  <c r="D69" i="74"/>
  <c r="E69" i="74" s="1"/>
  <c r="F69" i="74" s="1"/>
  <c r="G69" i="74" s="1"/>
  <c r="H69" i="74" s="1"/>
  <c r="I69" i="74" s="1"/>
  <c r="J69" i="74" s="1"/>
  <c r="K69" i="74" s="1"/>
  <c r="L69" i="74" s="1"/>
  <c r="M69" i="74" s="1"/>
  <c r="M67" i="74"/>
  <c r="L67" i="74"/>
  <c r="K67" i="74"/>
  <c r="J67" i="74"/>
  <c r="I67" i="74"/>
  <c r="H67" i="74"/>
  <c r="G67" i="74"/>
  <c r="F67" i="74"/>
  <c r="E67" i="74"/>
  <c r="D67" i="74"/>
  <c r="C67" i="74"/>
  <c r="D66" i="74"/>
  <c r="E66" i="74" s="1"/>
  <c r="F66" i="74" s="1"/>
  <c r="G66" i="74" s="1"/>
  <c r="H66" i="74" s="1"/>
  <c r="I66" i="74" s="1"/>
  <c r="C63" i="74"/>
  <c r="I54" i="74"/>
  <c r="J54" i="74" s="1"/>
  <c r="G54" i="74"/>
  <c r="H54" i="74" s="1"/>
  <c r="E54" i="74"/>
  <c r="F54" i="74" s="1"/>
  <c r="P49" i="74"/>
  <c r="P48" i="74"/>
  <c r="V47" i="74"/>
  <c r="T47" i="74"/>
  <c r="R47" i="74"/>
  <c r="P47" i="74"/>
  <c r="Q46" i="74"/>
  <c r="Z46" i="74" s="1"/>
  <c r="J46" i="74"/>
  <c r="AC46" i="74" s="1"/>
  <c r="H46" i="74"/>
  <c r="AB46" i="74" s="1"/>
  <c r="F46" i="74"/>
  <c r="AA46" i="74" s="1"/>
  <c r="Z45" i="74"/>
  <c r="Q45" i="74"/>
  <c r="J45" i="74"/>
  <c r="H45" i="74"/>
  <c r="AB45" i="74" s="1"/>
  <c r="F45" i="74"/>
  <c r="AA45" i="74" s="1"/>
  <c r="Q44" i="74"/>
  <c r="Z44" i="74" s="1"/>
  <c r="J44" i="74"/>
  <c r="AC44" i="74" s="1"/>
  <c r="H44" i="74"/>
  <c r="AB44" i="74" s="1"/>
  <c r="F44" i="74"/>
  <c r="AA44" i="74" s="1"/>
  <c r="Q43" i="74"/>
  <c r="Z43" i="74" s="1"/>
  <c r="J43" i="74"/>
  <c r="AC43" i="74" s="1"/>
  <c r="H43" i="74"/>
  <c r="AB43" i="74" s="1"/>
  <c r="F43" i="74"/>
  <c r="AA43" i="74" s="1"/>
  <c r="Q42" i="74"/>
  <c r="Z42" i="74" s="1"/>
  <c r="J42" i="74"/>
  <c r="AC42" i="74" s="1"/>
  <c r="H42" i="74"/>
  <c r="AB42" i="74" s="1"/>
  <c r="F42" i="74"/>
  <c r="AA42" i="74" s="1"/>
  <c r="Q41" i="74"/>
  <c r="Z41" i="74" s="1"/>
  <c r="J41" i="74"/>
  <c r="AC41" i="74" s="1"/>
  <c r="H41" i="74"/>
  <c r="AB41" i="74" s="1"/>
  <c r="F41" i="74"/>
  <c r="AA41" i="74" s="1"/>
  <c r="Q40" i="74"/>
  <c r="Z40" i="74" s="1"/>
  <c r="J40" i="74"/>
  <c r="AC40" i="74" s="1"/>
  <c r="H40" i="74"/>
  <c r="AB40" i="74" s="1"/>
  <c r="F40" i="74"/>
  <c r="AA40" i="74" s="1"/>
  <c r="Q39" i="74"/>
  <c r="Z39" i="74" s="1"/>
  <c r="J39" i="74"/>
  <c r="AC39" i="74" s="1"/>
  <c r="H39" i="74"/>
  <c r="AB39" i="74" s="1"/>
  <c r="F39" i="74"/>
  <c r="AA39" i="74" s="1"/>
  <c r="Q38" i="74"/>
  <c r="Z38" i="74" s="1"/>
  <c r="J38" i="74"/>
  <c r="AC38" i="74" s="1"/>
  <c r="H38" i="74"/>
  <c r="AB38" i="74" s="1"/>
  <c r="F38" i="74"/>
  <c r="AA38" i="74" s="1"/>
  <c r="Q37" i="74"/>
  <c r="Z37" i="74" s="1"/>
  <c r="J37" i="74"/>
  <c r="AC37" i="74" s="1"/>
  <c r="H37" i="74"/>
  <c r="AB37" i="74" s="1"/>
  <c r="F37" i="74"/>
  <c r="AA37" i="74" s="1"/>
  <c r="Q36" i="74"/>
  <c r="Z36" i="74" s="1"/>
  <c r="J36" i="74"/>
  <c r="AC36" i="74" s="1"/>
  <c r="H36" i="74"/>
  <c r="AB36" i="74" s="1"/>
  <c r="F36" i="74"/>
  <c r="AA36" i="74" s="1"/>
  <c r="Q35" i="74"/>
  <c r="Z35" i="74" s="1"/>
  <c r="J35" i="74"/>
  <c r="AC35" i="74" s="1"/>
  <c r="H35" i="74"/>
  <c r="AB35" i="74" s="1"/>
  <c r="F35" i="74"/>
  <c r="AA35" i="74" s="1"/>
  <c r="Q34" i="74"/>
  <c r="Z34" i="74" s="1"/>
  <c r="J34" i="74"/>
  <c r="AC34" i="74" s="1"/>
  <c r="H34" i="74"/>
  <c r="AB34" i="74" s="1"/>
  <c r="F34" i="74"/>
  <c r="AA34" i="74" s="1"/>
  <c r="Q33" i="74"/>
  <c r="Z33" i="74" s="1"/>
  <c r="J33" i="74"/>
  <c r="AC33" i="74" s="1"/>
  <c r="H33" i="74"/>
  <c r="AB33" i="74" s="1"/>
  <c r="F33" i="74"/>
  <c r="AA33" i="74" s="1"/>
  <c r="Q32" i="74"/>
  <c r="Z32" i="74" s="1"/>
  <c r="J32" i="74"/>
  <c r="AC32" i="74" s="1"/>
  <c r="H32" i="74"/>
  <c r="AB32" i="74" s="1"/>
  <c r="F32" i="74"/>
  <c r="AA32" i="74" s="1"/>
  <c r="Q31" i="74"/>
  <c r="Z31" i="74" s="1"/>
  <c r="J31" i="74"/>
  <c r="AC31" i="74" s="1"/>
  <c r="H31" i="74"/>
  <c r="AB31" i="74" s="1"/>
  <c r="F31" i="74"/>
  <c r="AA31" i="74" s="1"/>
  <c r="Q30" i="74"/>
  <c r="Z30" i="74" s="1"/>
  <c r="J30" i="74"/>
  <c r="AC30" i="74" s="1"/>
  <c r="H30" i="74"/>
  <c r="AB30" i="74" s="1"/>
  <c r="F30" i="74"/>
  <c r="AA30" i="74" s="1"/>
  <c r="Q29" i="74"/>
  <c r="Z29" i="74" s="1"/>
  <c r="J29" i="74"/>
  <c r="AC29" i="74" s="1"/>
  <c r="H29" i="74"/>
  <c r="AB29" i="74" s="1"/>
  <c r="F29" i="74"/>
  <c r="AA29" i="74" s="1"/>
  <c r="Q28" i="74"/>
  <c r="Z28" i="74" s="1"/>
  <c r="J28" i="74"/>
  <c r="AC28" i="74" s="1"/>
  <c r="H28" i="74"/>
  <c r="AB28" i="74" s="1"/>
  <c r="F28" i="74"/>
  <c r="AA28" i="74" s="1"/>
  <c r="Q27" i="74"/>
  <c r="Z27" i="74" s="1"/>
  <c r="J27" i="74"/>
  <c r="AC27" i="74" s="1"/>
  <c r="H27" i="74"/>
  <c r="AB27" i="74" s="1"/>
  <c r="F27" i="74"/>
  <c r="AA27" i="74" s="1"/>
  <c r="Q26" i="74"/>
  <c r="Z26" i="74" s="1"/>
  <c r="J26" i="74"/>
  <c r="AC26" i="74" s="1"/>
  <c r="H26" i="74"/>
  <c r="AB26" i="74" s="1"/>
  <c r="F26" i="74"/>
  <c r="AA26" i="74" s="1"/>
  <c r="Q25" i="74"/>
  <c r="Z25" i="74" s="1"/>
  <c r="J25" i="74"/>
  <c r="AC25" i="74" s="1"/>
  <c r="H25" i="74"/>
  <c r="AB25" i="74" s="1"/>
  <c r="F25" i="74"/>
  <c r="AA25" i="74" s="1"/>
  <c r="Q23" i="74"/>
  <c r="Z23" i="74" s="1"/>
  <c r="J23" i="74"/>
  <c r="AC23" i="74" s="1"/>
  <c r="H23" i="74"/>
  <c r="AB23" i="74" s="1"/>
  <c r="F23" i="74"/>
  <c r="AA23" i="74" s="1"/>
  <c r="C23" i="74"/>
  <c r="Q21" i="74"/>
  <c r="Z21" i="74" s="1"/>
  <c r="J21" i="74"/>
  <c r="AC21" i="74" s="1"/>
  <c r="H21" i="74"/>
  <c r="AB21" i="74" s="1"/>
  <c r="F21" i="74"/>
  <c r="AA21" i="74" s="1"/>
  <c r="C21" i="74"/>
  <c r="Q19" i="74"/>
  <c r="Z19" i="74" s="1"/>
  <c r="J19" i="74"/>
  <c r="AC19" i="74" s="1"/>
  <c r="H19" i="74"/>
  <c r="AB19" i="74" s="1"/>
  <c r="F19" i="74"/>
  <c r="C19" i="74"/>
  <c r="Q17" i="74"/>
  <c r="Z17" i="74" s="1"/>
  <c r="J17" i="74"/>
  <c r="AC17" i="74" s="1"/>
  <c r="H17" i="74"/>
  <c r="AB17" i="74" s="1"/>
  <c r="F17" i="74"/>
  <c r="AA17" i="74" s="1"/>
  <c r="C17" i="74"/>
  <c r="AC15" i="74"/>
  <c r="Q15" i="74"/>
  <c r="Z15" i="74" s="1"/>
  <c r="J15" i="74"/>
  <c r="W15" i="74" s="1"/>
  <c r="H15" i="74"/>
  <c r="AB15" i="74" s="1"/>
  <c r="F15" i="74"/>
  <c r="AA15" i="74" s="1"/>
  <c r="C15" i="74"/>
  <c r="Q14" i="74"/>
  <c r="Z14" i="74" s="1"/>
  <c r="J14" i="74"/>
  <c r="AC14" i="74" s="1"/>
  <c r="H14" i="74"/>
  <c r="AB14" i="74" s="1"/>
  <c r="F14" i="74"/>
  <c r="AA14" i="74" s="1"/>
  <c r="Q13" i="74"/>
  <c r="Z13" i="74" s="1"/>
  <c r="J13" i="74"/>
  <c r="AC13" i="74" s="1"/>
  <c r="H13" i="74"/>
  <c r="AB13" i="74" s="1"/>
  <c r="F13" i="74"/>
  <c r="AA13" i="74" s="1"/>
  <c r="Q12" i="74"/>
  <c r="Z12" i="74" s="1"/>
  <c r="J12" i="74"/>
  <c r="AC12" i="74" s="1"/>
  <c r="H12" i="74"/>
  <c r="AB12" i="74" s="1"/>
  <c r="F12" i="74"/>
  <c r="AA12" i="74" s="1"/>
  <c r="Q11" i="74"/>
  <c r="Z11" i="74" s="1"/>
  <c r="C11" i="74"/>
  <c r="H11" i="74" s="1"/>
  <c r="Q10" i="74"/>
  <c r="Z10" i="74" s="1"/>
  <c r="J10" i="74"/>
  <c r="AC10" i="74" s="1"/>
  <c r="H10" i="74"/>
  <c r="AB10" i="74" s="1"/>
  <c r="F10" i="74"/>
  <c r="AA10" i="74" s="1"/>
  <c r="Q9" i="74"/>
  <c r="Z9" i="74" s="1"/>
  <c r="J9" i="74"/>
  <c r="AC9" i="74" s="1"/>
  <c r="H9" i="74"/>
  <c r="AB9" i="74" s="1"/>
  <c r="F9" i="74"/>
  <c r="AA9" i="74" s="1"/>
  <c r="J8" i="74"/>
  <c r="W8" i="74" s="1"/>
  <c r="H8" i="74"/>
  <c r="AB8" i="74" s="1"/>
  <c r="F8" i="74"/>
  <c r="S8" i="74" s="1"/>
  <c r="C7" i="74"/>
  <c r="C58" i="74" s="1"/>
  <c r="D58" i="74" s="1"/>
  <c r="E58" i="74" s="1"/>
  <c r="F58" i="74" s="1"/>
  <c r="G58" i="74" s="1"/>
  <c r="H58" i="74" s="1"/>
  <c r="I58" i="74" s="1"/>
  <c r="J58" i="74" s="1"/>
  <c r="K58" i="74" s="1"/>
  <c r="L58" i="74" s="1"/>
  <c r="M58" i="74" s="1"/>
  <c r="N58" i="74" s="1"/>
  <c r="O58" i="74" s="1"/>
  <c r="D3" i="74"/>
  <c r="I7" i="74" l="1"/>
  <c r="J7" i="74" s="1"/>
  <c r="E7" i="74"/>
  <c r="F7" i="74" s="1"/>
  <c r="G7" i="75"/>
  <c r="H7" i="75" s="1"/>
  <c r="G7" i="74"/>
  <c r="H7" i="74" s="1"/>
  <c r="U7" i="74" s="1"/>
  <c r="E7" i="75"/>
  <c r="F7" i="75" s="1"/>
  <c r="AA7" i="75" s="1"/>
  <c r="I7" i="75"/>
  <c r="J7" i="75" s="1"/>
  <c r="W7" i="75"/>
  <c r="AC7" i="75"/>
  <c r="AB7" i="75"/>
  <c r="U7" i="75"/>
  <c r="S8" i="75"/>
  <c r="W8" i="75"/>
  <c r="S9" i="75"/>
  <c r="W9" i="75"/>
  <c r="U10" i="75"/>
  <c r="S12" i="75"/>
  <c r="W12" i="75"/>
  <c r="U13" i="75"/>
  <c r="S14" i="75"/>
  <c r="W14" i="75"/>
  <c r="S15" i="75"/>
  <c r="W17" i="75"/>
  <c r="S19" i="75"/>
  <c r="W21" i="75"/>
  <c r="S23" i="75"/>
  <c r="U25" i="75"/>
  <c r="U9" i="75"/>
  <c r="S10" i="75"/>
  <c r="W10" i="75"/>
  <c r="U12" i="75"/>
  <c r="S13" i="75"/>
  <c r="W13" i="75"/>
  <c r="U14" i="75"/>
  <c r="U15" i="75"/>
  <c r="S17" i="75"/>
  <c r="S21" i="75"/>
  <c r="AA26" i="75"/>
  <c r="S26" i="75"/>
  <c r="U17" i="75"/>
  <c r="U19" i="75"/>
  <c r="U21" i="75"/>
  <c r="U23" i="75"/>
  <c r="S25" i="75"/>
  <c r="W25" i="75"/>
  <c r="U26" i="75"/>
  <c r="S27" i="75"/>
  <c r="W27" i="75"/>
  <c r="U28" i="75"/>
  <c r="S29" i="75"/>
  <c r="W29" i="75"/>
  <c r="U30" i="75"/>
  <c r="S31" i="75"/>
  <c r="W31" i="75"/>
  <c r="U32" i="75"/>
  <c r="S33" i="75"/>
  <c r="W33" i="75"/>
  <c r="U34" i="75"/>
  <c r="S35" i="75"/>
  <c r="W35" i="75"/>
  <c r="U36" i="75"/>
  <c r="S37" i="75"/>
  <c r="W37" i="75"/>
  <c r="U38" i="75"/>
  <c r="S39" i="75"/>
  <c r="W39" i="75"/>
  <c r="U40" i="75"/>
  <c r="S41" i="75"/>
  <c r="W41" i="75"/>
  <c r="U42" i="75"/>
  <c r="S43" i="75"/>
  <c r="W43" i="75"/>
  <c r="U44" i="75"/>
  <c r="AC45" i="75"/>
  <c r="W45" i="75"/>
  <c r="S45" i="75"/>
  <c r="W26" i="75"/>
  <c r="U27" i="75"/>
  <c r="S28" i="75"/>
  <c r="W28" i="75"/>
  <c r="U29" i="75"/>
  <c r="S30" i="75"/>
  <c r="W30" i="75"/>
  <c r="U31" i="75"/>
  <c r="S32" i="75"/>
  <c r="W32" i="75"/>
  <c r="U33" i="75"/>
  <c r="S34" i="75"/>
  <c r="W34" i="75"/>
  <c r="U35" i="75"/>
  <c r="S36" i="75"/>
  <c r="W36" i="75"/>
  <c r="U37" i="75"/>
  <c r="S38" i="75"/>
  <c r="W38" i="75"/>
  <c r="U39" i="75"/>
  <c r="S40" i="75"/>
  <c r="W40" i="75"/>
  <c r="U41" i="75"/>
  <c r="S42" i="75"/>
  <c r="W42" i="75"/>
  <c r="U43" i="75"/>
  <c r="S44" i="75"/>
  <c r="W44" i="75"/>
  <c r="U45" i="75"/>
  <c r="S46" i="75"/>
  <c r="W46" i="75"/>
  <c r="K141" i="75"/>
  <c r="U46" i="75"/>
  <c r="K144" i="75"/>
  <c r="AB7" i="74"/>
  <c r="AA7" i="74"/>
  <c r="S7" i="74"/>
  <c r="AC7" i="74"/>
  <c r="W7" i="74"/>
  <c r="AB11" i="74"/>
  <c r="T48" i="74" s="1"/>
  <c r="G48" i="74" s="1"/>
  <c r="U11" i="74"/>
  <c r="U8" i="74"/>
  <c r="AA8" i="74"/>
  <c r="AC8" i="74"/>
  <c r="U9" i="74"/>
  <c r="S10" i="74"/>
  <c r="W10" i="74"/>
  <c r="F11" i="74"/>
  <c r="J11" i="74"/>
  <c r="U12" i="74"/>
  <c r="S13" i="74"/>
  <c r="W13" i="74"/>
  <c r="U14" i="74"/>
  <c r="U15" i="74"/>
  <c r="S17" i="74"/>
  <c r="S9" i="74"/>
  <c r="W9" i="74"/>
  <c r="U10" i="74"/>
  <c r="S12" i="74"/>
  <c r="W12" i="74"/>
  <c r="U13" i="74"/>
  <c r="S14" i="74"/>
  <c r="W14" i="74"/>
  <c r="S15" i="74"/>
  <c r="W17" i="74"/>
  <c r="AA19" i="74"/>
  <c r="S19" i="74"/>
  <c r="U17" i="74"/>
  <c r="U19" i="74"/>
  <c r="U21" i="74"/>
  <c r="U23" i="74"/>
  <c r="S25" i="74"/>
  <c r="W25" i="74"/>
  <c r="U26" i="74"/>
  <c r="S27" i="74"/>
  <c r="W27" i="74"/>
  <c r="U28" i="74"/>
  <c r="S29" i="74"/>
  <c r="W29" i="74"/>
  <c r="U30" i="74"/>
  <c r="S31" i="74"/>
  <c r="W31" i="74"/>
  <c r="U32" i="74"/>
  <c r="S33" i="74"/>
  <c r="W33" i="74"/>
  <c r="U34" i="74"/>
  <c r="S35" i="74"/>
  <c r="W35" i="74"/>
  <c r="U36" i="74"/>
  <c r="S37" i="74"/>
  <c r="W37" i="74"/>
  <c r="U38" i="74"/>
  <c r="S39" i="74"/>
  <c r="W39" i="74"/>
  <c r="U40" i="74"/>
  <c r="S41" i="74"/>
  <c r="W41" i="74"/>
  <c r="U42" i="74"/>
  <c r="S43" i="74"/>
  <c r="W43" i="74"/>
  <c r="U44" i="74"/>
  <c r="AC45" i="74"/>
  <c r="W45" i="74"/>
  <c r="S45" i="74"/>
  <c r="W19" i="74"/>
  <c r="S21" i="74"/>
  <c r="W21" i="74"/>
  <c r="S23" i="74"/>
  <c r="W23" i="74"/>
  <c r="U25" i="74"/>
  <c r="S26" i="74"/>
  <c r="W26" i="74"/>
  <c r="U27" i="74"/>
  <c r="S28" i="74"/>
  <c r="W28" i="74"/>
  <c r="U29" i="74"/>
  <c r="S30" i="74"/>
  <c r="W30" i="74"/>
  <c r="U31" i="74"/>
  <c r="S32" i="74"/>
  <c r="W32" i="74"/>
  <c r="U33" i="74"/>
  <c r="S34" i="74"/>
  <c r="W34" i="74"/>
  <c r="U35" i="74"/>
  <c r="S36" i="74"/>
  <c r="W36" i="74"/>
  <c r="U37" i="74"/>
  <c r="S38" i="74"/>
  <c r="W38" i="74"/>
  <c r="U39" i="74"/>
  <c r="S40" i="74"/>
  <c r="W40" i="74"/>
  <c r="U41" i="74"/>
  <c r="S42" i="74"/>
  <c r="W42" i="74"/>
  <c r="U43" i="74"/>
  <c r="S44" i="74"/>
  <c r="W44" i="74"/>
  <c r="U45" i="74"/>
  <c r="S46" i="74"/>
  <c r="W46" i="74"/>
  <c r="K141" i="74"/>
  <c r="U46" i="74"/>
  <c r="K144" i="74"/>
  <c r="S7" i="75" l="1"/>
  <c r="G52" i="74"/>
  <c r="H52" i="74" s="1"/>
  <c r="AC11" i="74"/>
  <c r="V48" i="74" s="1"/>
  <c r="I48" i="74" s="1"/>
  <c r="W11" i="74"/>
  <c r="AA11" i="74"/>
  <c r="R48" i="74" s="1"/>
  <c r="S11" i="74"/>
  <c r="R49" i="74" l="1"/>
  <c r="E48" i="74"/>
  <c r="I53" i="74" s="1"/>
  <c r="J53" i="74" s="1"/>
  <c r="I52" i="74"/>
  <c r="J52" i="74" s="1"/>
  <c r="G53" i="74"/>
  <c r="H53" i="74" s="1"/>
  <c r="E53" i="74" l="1"/>
  <c r="F53" i="74" s="1"/>
  <c r="E52" i="74"/>
  <c r="F52" i="74" s="1"/>
  <c r="C49" i="74"/>
  <c r="B3" i="74" s="1"/>
  <c r="B2" i="74" s="1"/>
  <c r="C48" i="74"/>
  <c r="L3" i="69" l="1"/>
  <c r="L4" i="69"/>
  <c r="L5" i="69"/>
  <c r="L6" i="69"/>
  <c r="L7" i="69"/>
  <c r="L8" i="69"/>
  <c r="L9" i="69"/>
  <c r="L10" i="69"/>
  <c r="L11" i="69"/>
  <c r="L12" i="69"/>
  <c r="L13" i="69"/>
  <c r="L14" i="69"/>
  <c r="L15" i="69"/>
  <c r="L16" i="69"/>
  <c r="L17" i="69"/>
  <c r="L18" i="69"/>
  <c r="L19" i="69"/>
  <c r="L20" i="69"/>
  <c r="L21" i="69"/>
  <c r="L22" i="69"/>
  <c r="L23" i="69"/>
  <c r="L24" i="69"/>
  <c r="L2" i="69"/>
  <c r="M2" i="69"/>
  <c r="M3" i="69"/>
  <c r="M4" i="69"/>
  <c r="M5" i="69"/>
  <c r="M6" i="69"/>
  <c r="M7" i="69"/>
  <c r="M8" i="69"/>
  <c r="M9" i="69"/>
  <c r="M10" i="69"/>
  <c r="M11" i="69"/>
  <c r="M12" i="69"/>
  <c r="M13" i="69"/>
  <c r="M14" i="69"/>
  <c r="M15" i="69"/>
  <c r="M16" i="69"/>
  <c r="M17" i="69"/>
  <c r="M18" i="69"/>
  <c r="M19" i="69"/>
  <c r="M20" i="69"/>
  <c r="M21" i="69"/>
  <c r="M22" i="69"/>
  <c r="M23" i="69"/>
  <c r="M24" i="69"/>
  <c r="D4" i="71" l="1"/>
  <c r="D2" i="71"/>
  <c r="C106" i="9" l="1"/>
  <c r="T192" i="70" l="1"/>
  <c r="U195" i="70" s="1"/>
  <c r="I177" i="70"/>
  <c r="R177" i="70" s="1"/>
  <c r="R176" i="70"/>
  <c r="I176" i="70"/>
  <c r="I178" i="70" s="1"/>
  <c r="J175" i="70"/>
  <c r="I175" i="70"/>
  <c r="R172" i="70" s="1"/>
  <c r="F171" i="70"/>
  <c r="I170" i="70"/>
  <c r="H170" i="70"/>
  <c r="J170" i="70" s="1"/>
  <c r="I169" i="70"/>
  <c r="H169" i="70"/>
  <c r="J169" i="70" s="1"/>
  <c r="N168" i="70"/>
  <c r="N171" i="70" s="1"/>
  <c r="I168" i="70"/>
  <c r="H168" i="70"/>
  <c r="J168" i="70" s="1"/>
  <c r="I167" i="70"/>
  <c r="H167" i="70"/>
  <c r="J167" i="70" s="1"/>
  <c r="I166" i="70"/>
  <c r="H166" i="70"/>
  <c r="J166" i="70" s="1"/>
  <c r="I165" i="70"/>
  <c r="H165" i="70"/>
  <c r="J165" i="70" s="1"/>
  <c r="I164" i="70"/>
  <c r="H164" i="70"/>
  <c r="J164" i="70" s="1"/>
  <c r="J163" i="70"/>
  <c r="I163" i="70"/>
  <c r="R159" i="70" s="1"/>
  <c r="I162" i="70"/>
  <c r="L161" i="70"/>
  <c r="I161" i="70"/>
  <c r="H161" i="70"/>
  <c r="J161" i="70" s="1"/>
  <c r="J160" i="70"/>
  <c r="I160" i="70"/>
  <c r="R161" i="70" s="1"/>
  <c r="L159" i="70"/>
  <c r="I159" i="70"/>
  <c r="R160" i="70" s="1"/>
  <c r="H159" i="70"/>
  <c r="J159" i="70" s="1"/>
  <c r="J171" i="70" s="1"/>
  <c r="F158" i="70"/>
  <c r="I157" i="70"/>
  <c r="H157" i="70"/>
  <c r="J157" i="70" s="1"/>
  <c r="N156" i="70"/>
  <c r="N158" i="70" s="1"/>
  <c r="I156" i="70"/>
  <c r="H156" i="70"/>
  <c r="J156" i="70" s="1"/>
  <c r="I155" i="70"/>
  <c r="H155" i="70"/>
  <c r="J155" i="70" s="1"/>
  <c r="I154" i="70"/>
  <c r="H154" i="70"/>
  <c r="J154" i="70" s="1"/>
  <c r="I153" i="70"/>
  <c r="H153" i="70"/>
  <c r="J153" i="70" s="1"/>
  <c r="J158" i="70" s="1"/>
  <c r="F152" i="70"/>
  <c r="I151" i="70"/>
  <c r="H151" i="70"/>
  <c r="J151" i="70" s="1"/>
  <c r="N150" i="70"/>
  <c r="N152" i="70" s="1"/>
  <c r="I150" i="70"/>
  <c r="H150" i="70"/>
  <c r="J150" i="70" s="1"/>
  <c r="I149" i="70"/>
  <c r="H149" i="70"/>
  <c r="J149" i="70" s="1"/>
  <c r="I148" i="70"/>
  <c r="H148" i="70"/>
  <c r="J148" i="70" s="1"/>
  <c r="I147" i="70"/>
  <c r="H147" i="70"/>
  <c r="J147" i="70" s="1"/>
  <c r="J152" i="70" s="1"/>
  <c r="F146" i="70"/>
  <c r="I145" i="70"/>
  <c r="H145" i="70"/>
  <c r="J145" i="70" s="1"/>
  <c r="N144" i="70"/>
  <c r="N146" i="70" s="1"/>
  <c r="I144" i="70"/>
  <c r="H144" i="70"/>
  <c r="J144" i="70" s="1"/>
  <c r="I143" i="70"/>
  <c r="H143" i="70"/>
  <c r="J143" i="70" s="1"/>
  <c r="I142" i="70"/>
  <c r="H142" i="70"/>
  <c r="J142" i="70" s="1"/>
  <c r="I141" i="70"/>
  <c r="H141" i="70"/>
  <c r="J141" i="70" s="1"/>
  <c r="J146" i="70" s="1"/>
  <c r="F140" i="70"/>
  <c r="J139" i="70"/>
  <c r="I139" i="70"/>
  <c r="H139" i="70"/>
  <c r="J138" i="70"/>
  <c r="I138" i="70"/>
  <c r="H138" i="70"/>
  <c r="J137" i="70"/>
  <c r="J140" i="70" s="1"/>
  <c r="I137" i="70"/>
  <c r="H137" i="70"/>
  <c r="F136" i="70"/>
  <c r="I135" i="70"/>
  <c r="H135" i="70"/>
  <c r="J135" i="70" s="1"/>
  <c r="J134" i="70"/>
  <c r="I134" i="70"/>
  <c r="N133" i="70"/>
  <c r="N136" i="70" s="1"/>
  <c r="I133" i="70"/>
  <c r="H133" i="70"/>
  <c r="J133" i="70" s="1"/>
  <c r="J132" i="70"/>
  <c r="I132" i="70"/>
  <c r="I131" i="70"/>
  <c r="H131" i="70"/>
  <c r="J131" i="70" s="1"/>
  <c r="J130" i="70"/>
  <c r="I130" i="70"/>
  <c r="J129" i="70"/>
  <c r="I129" i="70"/>
  <c r="J128" i="70"/>
  <c r="I128" i="70"/>
  <c r="R125" i="70" s="1"/>
  <c r="I127" i="70"/>
  <c r="H127" i="70"/>
  <c r="J127" i="70" s="1"/>
  <c r="J126" i="70"/>
  <c r="I126" i="70"/>
  <c r="R127" i="70" s="1"/>
  <c r="L125" i="70"/>
  <c r="I125" i="70"/>
  <c r="H125" i="70"/>
  <c r="J125" i="70" s="1"/>
  <c r="J136" i="70" s="1"/>
  <c r="F124" i="70"/>
  <c r="I123" i="70"/>
  <c r="H123" i="70"/>
  <c r="J123" i="70" s="1"/>
  <c r="J122" i="70"/>
  <c r="I122" i="70"/>
  <c r="N121" i="70"/>
  <c r="N124" i="70" s="1"/>
  <c r="I121" i="70"/>
  <c r="H121" i="70"/>
  <c r="J121" i="70" s="1"/>
  <c r="J120" i="70"/>
  <c r="I120" i="70"/>
  <c r="I119" i="70"/>
  <c r="H119" i="70"/>
  <c r="J119" i="70" s="1"/>
  <c r="J118" i="70"/>
  <c r="I118" i="70"/>
  <c r="I117" i="70"/>
  <c r="H117" i="70"/>
  <c r="J117" i="70" s="1"/>
  <c r="J116" i="70"/>
  <c r="I116" i="70"/>
  <c r="R113" i="70" s="1"/>
  <c r="J115" i="70"/>
  <c r="I115" i="70"/>
  <c r="L115" i="70" s="1"/>
  <c r="I114" i="70"/>
  <c r="H114" i="70"/>
  <c r="J114" i="70" s="1"/>
  <c r="I113" i="70"/>
  <c r="L114" i="70" s="1"/>
  <c r="H113" i="70"/>
  <c r="J113" i="70" s="1"/>
  <c r="F112" i="70"/>
  <c r="I111" i="70"/>
  <c r="H111" i="70"/>
  <c r="J111" i="70" s="1"/>
  <c r="J110" i="70"/>
  <c r="I110" i="70"/>
  <c r="L101" i="70" s="1"/>
  <c r="N109" i="70"/>
  <c r="N112" i="70" s="1"/>
  <c r="I109" i="70"/>
  <c r="H109" i="70"/>
  <c r="J109" i="70" s="1"/>
  <c r="J108" i="70"/>
  <c r="I108" i="70"/>
  <c r="I107" i="70"/>
  <c r="H107" i="70"/>
  <c r="J107" i="70" s="1"/>
  <c r="J106" i="70"/>
  <c r="I106" i="70"/>
  <c r="I105" i="70"/>
  <c r="H105" i="70"/>
  <c r="J105" i="70" s="1"/>
  <c r="J104" i="70"/>
  <c r="I104" i="70"/>
  <c r="I103" i="70"/>
  <c r="R103" i="70" s="1"/>
  <c r="H103" i="70"/>
  <c r="J103" i="70" s="1"/>
  <c r="J102" i="70"/>
  <c r="I102" i="70"/>
  <c r="R101" i="70"/>
  <c r="I101" i="70"/>
  <c r="R102" i="70" s="1"/>
  <c r="H101" i="70"/>
  <c r="J101" i="70" s="1"/>
  <c r="F100" i="70"/>
  <c r="I99" i="70"/>
  <c r="H99" i="70"/>
  <c r="J99" i="70" s="1"/>
  <c r="N98" i="70"/>
  <c r="N100" i="70" s="1"/>
  <c r="I98" i="70"/>
  <c r="H98" i="70"/>
  <c r="J98" i="70" s="1"/>
  <c r="I97" i="70"/>
  <c r="H97" i="70"/>
  <c r="J97" i="70" s="1"/>
  <c r="I96" i="70"/>
  <c r="H96" i="70"/>
  <c r="J96" i="70" s="1"/>
  <c r="I95" i="70"/>
  <c r="I100" i="70" s="1"/>
  <c r="H95" i="70"/>
  <c r="J95" i="70" s="1"/>
  <c r="F94" i="70"/>
  <c r="I93" i="70"/>
  <c r="H93" i="70"/>
  <c r="J93" i="70" s="1"/>
  <c r="N92" i="70"/>
  <c r="N94" i="70" s="1"/>
  <c r="I92" i="70"/>
  <c r="H92" i="70"/>
  <c r="J92" i="70" s="1"/>
  <c r="I91" i="70"/>
  <c r="H91" i="70"/>
  <c r="J91" i="70" s="1"/>
  <c r="I90" i="70"/>
  <c r="H90" i="70"/>
  <c r="J90" i="70" s="1"/>
  <c r="I89" i="70"/>
  <c r="I94" i="70" s="1"/>
  <c r="H89" i="70"/>
  <c r="J89" i="70" s="1"/>
  <c r="F88" i="70"/>
  <c r="I87" i="70"/>
  <c r="H87" i="70"/>
  <c r="J87" i="70" s="1"/>
  <c r="J86" i="70"/>
  <c r="I86" i="70"/>
  <c r="L77" i="70" s="1"/>
  <c r="N85" i="70"/>
  <c r="N88" i="70" s="1"/>
  <c r="I85" i="70"/>
  <c r="H85" i="70"/>
  <c r="J85" i="70" s="1"/>
  <c r="J84" i="70"/>
  <c r="I84" i="70"/>
  <c r="I83" i="70"/>
  <c r="H83" i="70"/>
  <c r="J83" i="70" s="1"/>
  <c r="J82" i="70"/>
  <c r="I82" i="70"/>
  <c r="I81" i="70"/>
  <c r="H81" i="70"/>
  <c r="J81" i="70" s="1"/>
  <c r="J80" i="70"/>
  <c r="I80" i="70"/>
  <c r="I79" i="70"/>
  <c r="R79" i="70" s="1"/>
  <c r="H79" i="70"/>
  <c r="J79" i="70" s="1"/>
  <c r="J78" i="70"/>
  <c r="I78" i="70"/>
  <c r="R77" i="70"/>
  <c r="I77" i="70"/>
  <c r="R78" i="70" s="1"/>
  <c r="H77" i="70"/>
  <c r="J77" i="70" s="1"/>
  <c r="F76" i="70"/>
  <c r="I75" i="70"/>
  <c r="H75" i="70"/>
  <c r="J75" i="70" s="1"/>
  <c r="J74" i="70"/>
  <c r="I74" i="70"/>
  <c r="L66" i="70" s="1"/>
  <c r="N73" i="70"/>
  <c r="N76" i="70" s="1"/>
  <c r="I73" i="70"/>
  <c r="H73" i="70"/>
  <c r="J73" i="70" s="1"/>
  <c r="J72" i="70"/>
  <c r="I72" i="70"/>
  <c r="I71" i="70"/>
  <c r="H71" i="70"/>
  <c r="J71" i="70" s="1"/>
  <c r="J70" i="70"/>
  <c r="I70" i="70"/>
  <c r="I69" i="70"/>
  <c r="H69" i="70"/>
  <c r="J69" i="70" s="1"/>
  <c r="J68" i="70"/>
  <c r="I68" i="70"/>
  <c r="J67" i="70"/>
  <c r="I67" i="70"/>
  <c r="R66" i="70"/>
  <c r="I66" i="70"/>
  <c r="I76" i="70" s="1"/>
  <c r="H66" i="70"/>
  <c r="J66" i="70" s="1"/>
  <c r="F65" i="70"/>
  <c r="I64" i="70"/>
  <c r="H64" i="70"/>
  <c r="J64" i="70" s="1"/>
  <c r="N63" i="70"/>
  <c r="N65" i="70" s="1"/>
  <c r="I63" i="70"/>
  <c r="H63" i="70"/>
  <c r="J63" i="70" s="1"/>
  <c r="I62" i="70"/>
  <c r="H62" i="70"/>
  <c r="J62" i="70" s="1"/>
  <c r="I61" i="70"/>
  <c r="H61" i="70"/>
  <c r="J61" i="70" s="1"/>
  <c r="R60" i="70"/>
  <c r="I60" i="70"/>
  <c r="H60" i="70"/>
  <c r="J60" i="70" s="1"/>
  <c r="J65" i="70" s="1"/>
  <c r="F59" i="70"/>
  <c r="I58" i="70"/>
  <c r="H58" i="70"/>
  <c r="J58" i="70" s="1"/>
  <c r="J57" i="70"/>
  <c r="I57" i="70"/>
  <c r="N56" i="70"/>
  <c r="N59" i="70" s="1"/>
  <c r="I56" i="70"/>
  <c r="H56" i="70"/>
  <c r="J56" i="70" s="1"/>
  <c r="J55" i="70"/>
  <c r="I55" i="70"/>
  <c r="I54" i="70"/>
  <c r="H54" i="70"/>
  <c r="J54" i="70" s="1"/>
  <c r="J53" i="70"/>
  <c r="I53" i="70"/>
  <c r="I52" i="70"/>
  <c r="H52" i="70"/>
  <c r="J52" i="70" s="1"/>
  <c r="J51" i="70"/>
  <c r="I51" i="70"/>
  <c r="I50" i="70"/>
  <c r="H50" i="70"/>
  <c r="J50" i="70" s="1"/>
  <c r="J49" i="70"/>
  <c r="I49" i="70"/>
  <c r="R48" i="70" s="1"/>
  <c r="L48" i="70"/>
  <c r="I48" i="70"/>
  <c r="H48" i="70"/>
  <c r="J48" i="70" s="1"/>
  <c r="J59" i="70" s="1"/>
  <c r="F47" i="70"/>
  <c r="I46" i="70"/>
  <c r="H46" i="70"/>
  <c r="J46" i="70" s="1"/>
  <c r="J45" i="70"/>
  <c r="I45" i="70"/>
  <c r="N44" i="70"/>
  <c r="N47" i="70" s="1"/>
  <c r="I44" i="70"/>
  <c r="H44" i="70"/>
  <c r="J44" i="70" s="1"/>
  <c r="J43" i="70"/>
  <c r="I43" i="70"/>
  <c r="I42" i="70"/>
  <c r="H42" i="70"/>
  <c r="J42" i="70" s="1"/>
  <c r="J41" i="70"/>
  <c r="I41" i="70"/>
  <c r="I40" i="70"/>
  <c r="H40" i="70"/>
  <c r="J40" i="70" s="1"/>
  <c r="J39" i="70"/>
  <c r="I39" i="70"/>
  <c r="I38" i="70"/>
  <c r="H38" i="70"/>
  <c r="J38" i="70" s="1"/>
  <c r="J37" i="70"/>
  <c r="I37" i="70"/>
  <c r="R36" i="70" s="1"/>
  <c r="L36" i="70"/>
  <c r="I36" i="70"/>
  <c r="H36" i="70"/>
  <c r="J36" i="70" s="1"/>
  <c r="J47" i="70" s="1"/>
  <c r="F35" i="70"/>
  <c r="I34" i="70"/>
  <c r="H34" i="70"/>
  <c r="J34" i="70" s="1"/>
  <c r="J33" i="70"/>
  <c r="I33" i="70"/>
  <c r="I32" i="70"/>
  <c r="H32" i="70"/>
  <c r="J32" i="70" s="1"/>
  <c r="N31" i="70"/>
  <c r="N35" i="70" s="1"/>
  <c r="H31" i="70"/>
  <c r="I31" i="70" s="1"/>
  <c r="I30" i="70"/>
  <c r="H30" i="70"/>
  <c r="J30" i="70" s="1"/>
  <c r="J29" i="70"/>
  <c r="I29" i="70"/>
  <c r="L28" i="70"/>
  <c r="J28" i="70"/>
  <c r="I28" i="70"/>
  <c r="L27" i="70"/>
  <c r="I27" i="70"/>
  <c r="R28" i="70" s="1"/>
  <c r="H27" i="70"/>
  <c r="J27" i="70" s="1"/>
  <c r="L26" i="70"/>
  <c r="I26" i="70"/>
  <c r="H26" i="70"/>
  <c r="J26" i="70" s="1"/>
  <c r="F25" i="70"/>
  <c r="I24" i="70"/>
  <c r="H24" i="70"/>
  <c r="J24" i="70" s="1"/>
  <c r="N23" i="70"/>
  <c r="N25" i="70" s="1"/>
  <c r="I23" i="70"/>
  <c r="H23" i="70"/>
  <c r="J23" i="70" s="1"/>
  <c r="I22" i="70"/>
  <c r="H22" i="70"/>
  <c r="J22" i="70" s="1"/>
  <c r="I21" i="70"/>
  <c r="H21" i="70"/>
  <c r="J21" i="70" s="1"/>
  <c r="I20" i="70"/>
  <c r="I25" i="70" s="1"/>
  <c r="L20" i="70" s="1"/>
  <c r="H20" i="70"/>
  <c r="J20" i="70" s="1"/>
  <c r="F19" i="70"/>
  <c r="I18" i="70"/>
  <c r="H18" i="70"/>
  <c r="J18" i="70" s="1"/>
  <c r="I17" i="70"/>
  <c r="H17" i="70"/>
  <c r="J17" i="70" s="1"/>
  <c r="I16" i="70"/>
  <c r="H16" i="70"/>
  <c r="J16" i="70" s="1"/>
  <c r="N15" i="70"/>
  <c r="I15" i="70"/>
  <c r="H15" i="70"/>
  <c r="J15" i="70" s="1"/>
  <c r="I14" i="70"/>
  <c r="H14" i="70"/>
  <c r="J14" i="70" s="1"/>
  <c r="I13" i="70"/>
  <c r="H13" i="70"/>
  <c r="J13" i="70" s="1"/>
  <c r="J12" i="70"/>
  <c r="I12" i="70"/>
  <c r="H12" i="70"/>
  <c r="I11" i="70"/>
  <c r="H11" i="70"/>
  <c r="J11" i="70" s="1"/>
  <c r="J10" i="70"/>
  <c r="I10" i="70"/>
  <c r="J9" i="70"/>
  <c r="I9" i="70"/>
  <c r="L5" i="70" s="1"/>
  <c r="J8" i="70"/>
  <c r="I8" i="70"/>
  <c r="J7" i="70"/>
  <c r="I7" i="70"/>
  <c r="R7" i="70" s="1"/>
  <c r="R217" i="70" s="1"/>
  <c r="H7" i="70"/>
  <c r="I6" i="70"/>
  <c r="L7" i="70" s="1"/>
  <c r="H6" i="70"/>
  <c r="J6" i="70" s="1"/>
  <c r="R5" i="70"/>
  <c r="I5" i="70"/>
  <c r="L6" i="70" s="1"/>
  <c r="H5" i="70"/>
  <c r="J5" i="70" s="1"/>
  <c r="R68" i="70" l="1"/>
  <c r="R20" i="70"/>
  <c r="I35" i="70"/>
  <c r="R26" i="70"/>
  <c r="R210" i="70" s="1"/>
  <c r="I47" i="70"/>
  <c r="R38" i="70"/>
  <c r="R212" i="70" s="1"/>
  <c r="I59" i="70"/>
  <c r="R50" i="70"/>
  <c r="I65" i="70"/>
  <c r="L60" i="70" s="1"/>
  <c r="J76" i="70"/>
  <c r="R115" i="70"/>
  <c r="I136" i="70"/>
  <c r="I140" i="70"/>
  <c r="R137" i="70" s="1"/>
  <c r="R219" i="70" s="1"/>
  <c r="I146" i="70"/>
  <c r="I152" i="70"/>
  <c r="R147" i="70" s="1"/>
  <c r="I158" i="70"/>
  <c r="R27" i="70"/>
  <c r="J19" i="70"/>
  <c r="J25" i="70"/>
  <c r="R8" i="70"/>
  <c r="R218" i="70" s="1"/>
  <c r="J31" i="70"/>
  <c r="J35" i="70" s="1"/>
  <c r="O28" i="70" s="1"/>
  <c r="R37" i="70"/>
  <c r="R49" i="70"/>
  <c r="R67" i="70"/>
  <c r="R89" i="70"/>
  <c r="L89" i="70"/>
  <c r="R95" i="70"/>
  <c r="L95" i="70"/>
  <c r="U211" i="70"/>
  <c r="U216" i="70" s="1"/>
  <c r="R6" i="70"/>
  <c r="I19" i="70"/>
  <c r="O8" i="70" s="1"/>
  <c r="N19" i="70"/>
  <c r="N181" i="70" s="1"/>
  <c r="L37" i="70"/>
  <c r="L49" i="70"/>
  <c r="L67" i="70"/>
  <c r="J88" i="70"/>
  <c r="J94" i="70"/>
  <c r="J100" i="70"/>
  <c r="J112" i="70"/>
  <c r="J124" i="70"/>
  <c r="O126" i="70"/>
  <c r="R141" i="70"/>
  <c r="L141" i="70"/>
  <c r="L147" i="70"/>
  <c r="R153" i="70"/>
  <c r="L153" i="70"/>
  <c r="L78" i="70"/>
  <c r="I88" i="70"/>
  <c r="L102" i="70"/>
  <c r="I112" i="70"/>
  <c r="L113" i="70"/>
  <c r="R114" i="70"/>
  <c r="I124" i="70"/>
  <c r="L126" i="70"/>
  <c r="R126" i="70"/>
  <c r="L127" i="70"/>
  <c r="L160" i="70"/>
  <c r="I171" i="70"/>
  <c r="O162" i="70" s="1"/>
  <c r="U210" i="70"/>
  <c r="U215" i="70" s="1"/>
  <c r="I40" i="39"/>
  <c r="G40" i="39"/>
  <c r="E40" i="39"/>
  <c r="I48" i="39"/>
  <c r="G48" i="39"/>
  <c r="E48" i="39"/>
  <c r="I9" i="39"/>
  <c r="G9" i="39"/>
  <c r="I7" i="39"/>
  <c r="G7" i="39"/>
  <c r="E9" i="39"/>
  <c r="E7" i="39"/>
  <c r="Q73" i="68"/>
  <c r="Q60" i="68"/>
  <c r="D60" i="68"/>
  <c r="Q59" i="68"/>
  <c r="K59" i="68"/>
  <c r="P75" i="68" s="1"/>
  <c r="F58" i="68"/>
  <c r="Q52" i="68"/>
  <c r="J50" i="68"/>
  <c r="M47" i="68"/>
  <c r="F33" i="68"/>
  <c r="F60" i="68" s="1"/>
  <c r="F31" i="68"/>
  <c r="F23" i="68"/>
  <c r="D23" i="68" s="1"/>
  <c r="F21" i="68"/>
  <c r="F20" i="68"/>
  <c r="M19" i="68"/>
  <c r="F18" i="68"/>
  <c r="M17" i="68"/>
  <c r="F17" i="68"/>
  <c r="F15" i="68"/>
  <c r="G21" i="6"/>
  <c r="F20" i="6"/>
  <c r="F19" i="6"/>
  <c r="AL13" i="3"/>
  <c r="I7" i="6"/>
  <c r="D3" i="4"/>
  <c r="C13" i="39" l="1"/>
  <c r="C11" i="75"/>
  <c r="C11" i="21"/>
  <c r="R215" i="70"/>
  <c r="I179" i="70"/>
  <c r="R216" i="70"/>
  <c r="J181" i="70"/>
  <c r="O115" i="70"/>
  <c r="O179" i="70" s="1"/>
  <c r="I181" i="70"/>
  <c r="I184" i="70"/>
  <c r="N179" i="70"/>
  <c r="J179" i="70"/>
  <c r="P179" i="70" s="1"/>
  <c r="O178" i="70" s="1"/>
  <c r="P177" i="70" s="1"/>
  <c r="R211" i="70"/>
  <c r="D24" i="68"/>
  <c r="D22" i="68"/>
  <c r="P62" i="68"/>
  <c r="AH5" i="59"/>
  <c r="AG5" i="59"/>
  <c r="AE5" i="59"/>
  <c r="AF5" i="59" s="1"/>
  <c r="AD5" i="59"/>
  <c r="Q5" i="59"/>
  <c r="P5" i="59"/>
  <c r="O5" i="59"/>
  <c r="N5" i="59"/>
  <c r="F11" i="75" l="1"/>
  <c r="J11" i="75"/>
  <c r="H11" i="75"/>
  <c r="U218" i="70"/>
  <c r="U213" i="70"/>
  <c r="U221" i="70" s="1"/>
  <c r="T222" i="70"/>
  <c r="F25" i="12"/>
  <c r="AC11" i="75" l="1"/>
  <c r="V48" i="75" s="1"/>
  <c r="I48" i="75" s="1"/>
  <c r="I52" i="75" s="1"/>
  <c r="J52" i="75" s="1"/>
  <c r="W11" i="75"/>
  <c r="AB11" i="75"/>
  <c r="T48" i="75" s="1"/>
  <c r="G48" i="75" s="1"/>
  <c r="U11" i="75"/>
  <c r="AA11" i="75"/>
  <c r="R48" i="75" s="1"/>
  <c r="S11" i="75"/>
  <c r="AH6" i="59"/>
  <c r="AG6" i="59"/>
  <c r="AE6" i="59"/>
  <c r="AF6" i="59" s="1"/>
  <c r="AD6" i="59"/>
  <c r="Q6" i="59"/>
  <c r="P6" i="59"/>
  <c r="O6" i="59"/>
  <c r="N6" i="59"/>
  <c r="E48" i="75" l="1"/>
  <c r="R49" i="75"/>
  <c r="G52" i="75"/>
  <c r="H52" i="75" s="1"/>
  <c r="G53" i="75"/>
  <c r="H53" i="75" s="1"/>
  <c r="M15" i="49"/>
  <c r="L15" i="49"/>
  <c r="K15" i="49"/>
  <c r="J15" i="49"/>
  <c r="I15" i="49"/>
  <c r="H15" i="49"/>
  <c r="G15" i="49"/>
  <c r="F15" i="49"/>
  <c r="E15" i="49"/>
  <c r="D15" i="49"/>
  <c r="C15" i="49"/>
  <c r="B15" i="49"/>
  <c r="C48" i="75" l="1"/>
  <c r="C49" i="75"/>
  <c r="B3" i="75" s="1"/>
  <c r="B2" i="75" s="1"/>
  <c r="I53" i="75"/>
  <c r="J53" i="75" s="1"/>
  <c r="E53" i="75"/>
  <c r="F53" i="75" s="1"/>
  <c r="E52" i="75"/>
  <c r="F52" i="75" s="1"/>
  <c r="AH7" i="59"/>
  <c r="AG7" i="59"/>
  <c r="AE7" i="59"/>
  <c r="AF7" i="59" s="1"/>
  <c r="AD7" i="59"/>
  <c r="Q7" i="59"/>
  <c r="P7" i="59"/>
  <c r="O7" i="59"/>
  <c r="N7" i="59"/>
  <c r="L3" i="59" l="1"/>
  <c r="AH3" i="59" s="1"/>
  <c r="K3" i="59"/>
  <c r="AG3" i="59" s="1"/>
  <c r="J3" i="59"/>
  <c r="AE3" i="59" s="1"/>
  <c r="AF3" i="59" s="1"/>
  <c r="I3" i="59"/>
  <c r="AD3" i="59" s="1"/>
  <c r="AH8" i="59"/>
  <c r="AG8" i="59"/>
  <c r="AE8" i="59"/>
  <c r="AF8" i="59" s="1"/>
  <c r="AD8" i="59"/>
  <c r="Q8" i="59"/>
  <c r="Q9" i="59"/>
  <c r="AB3" i="59" s="1"/>
  <c r="P8" i="59"/>
  <c r="P9" i="59"/>
  <c r="O8" i="59"/>
  <c r="O9" i="59"/>
  <c r="Y3" i="59" s="1"/>
  <c r="Z3" i="59" s="1"/>
  <c r="N8" i="59"/>
  <c r="N9" i="59"/>
  <c r="AH9" i="59"/>
  <c r="AG9" i="59"/>
  <c r="AE9" i="59"/>
  <c r="AF9" i="59" s="1"/>
  <c r="AD9" i="59"/>
  <c r="Q10" i="59"/>
  <c r="P10" i="59"/>
  <c r="O10" i="59"/>
  <c r="N10" i="59"/>
  <c r="M19" i="46"/>
  <c r="J50" i="15"/>
  <c r="J51" i="15" s="1"/>
  <c r="D12" i="59"/>
  <c r="AH10" i="59"/>
  <c r="AG10" i="59"/>
  <c r="AE10" i="59"/>
  <c r="AF10" i="59" s="1"/>
  <c r="AD10" i="59"/>
  <c r="AE11" i="59"/>
  <c r="AF11" i="59" s="1"/>
  <c r="AG11" i="59"/>
  <c r="AH11" i="59"/>
  <c r="AD11" i="59"/>
  <c r="Q11" i="59"/>
  <c r="P11" i="59"/>
  <c r="O11" i="59"/>
  <c r="N11" i="59"/>
  <c r="N12" i="59"/>
  <c r="Q12" i="59"/>
  <c r="P12" i="59"/>
  <c r="O12" i="59"/>
  <c r="K59" i="15"/>
  <c r="P62" i="15" s="1"/>
  <c r="Q74" i="44"/>
  <c r="Q61" i="44"/>
  <c r="Q60" i="44"/>
  <c r="Q53" i="44"/>
  <c r="J51" i="44"/>
  <c r="J52" i="44"/>
  <c r="M48" i="44"/>
  <c r="A16" i="55"/>
  <c r="B67" i="63" s="1"/>
  <c r="A15" i="55"/>
  <c r="B66" i="63" s="1"/>
  <c r="A10" i="55"/>
  <c r="B61" i="63" s="1"/>
  <c r="A9" i="55"/>
  <c r="B60" i="63" s="1"/>
  <c r="A8" i="55"/>
  <c r="B59" i="63" s="1"/>
  <c r="A6" i="54"/>
  <c r="A8" i="54"/>
  <c r="A7" i="54"/>
  <c r="A27" i="51"/>
  <c r="B20" i="63" s="1"/>
  <c r="Q13" i="59"/>
  <c r="O13" i="59"/>
  <c r="N14" i="59"/>
  <c r="O14" i="59"/>
  <c r="P14" i="59"/>
  <c r="Q14" i="59"/>
  <c r="N13" i="59"/>
  <c r="P13" i="59"/>
  <c r="E15" i="59"/>
  <c r="E14" i="59" s="1"/>
  <c r="E13" i="59" s="1"/>
  <c r="K75" i="9"/>
  <c r="K6" i="4"/>
  <c r="O76" i="9" s="1"/>
  <c r="L76" i="9"/>
  <c r="B22" i="31"/>
  <c r="E15" i="66"/>
  <c r="F15" i="66"/>
  <c r="E16" i="66"/>
  <c r="F16" i="66"/>
  <c r="E17" i="66"/>
  <c r="F17" i="66"/>
  <c r="E18" i="66"/>
  <c r="F18" i="66"/>
  <c r="E19" i="66"/>
  <c r="F19" i="66"/>
  <c r="E20" i="66"/>
  <c r="F20" i="66"/>
  <c r="E21" i="66"/>
  <c r="F21" i="66"/>
  <c r="E22" i="66"/>
  <c r="F22" i="66"/>
  <c r="E23" i="66"/>
  <c r="F23" i="66"/>
  <c r="B3" i="66"/>
  <c r="U15" i="59"/>
  <c r="E11" i="59"/>
  <c r="F11" i="59"/>
  <c r="V11" i="59" s="1"/>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H26" i="59"/>
  <c r="AG26" i="59"/>
  <c r="AE26" i="59"/>
  <c r="AF26" i="59"/>
  <c r="AD26" i="59"/>
  <c r="AD27" i="59"/>
  <c r="AE27" i="59"/>
  <c r="AF27" i="59"/>
  <c r="AG27" i="59"/>
  <c r="AH27" i="59"/>
  <c r="Y18" i="59"/>
  <c r="Z18" i="59" s="1"/>
  <c r="S2" i="31"/>
  <c r="M2" i="31"/>
  <c r="N2" i="31"/>
  <c r="O2" i="31"/>
  <c r="P2" i="31"/>
  <c r="Q2" i="31"/>
  <c r="R2" i="31"/>
  <c r="C11" i="59"/>
  <c r="C3" i="65"/>
  <c r="C1" i="65"/>
  <c r="N1" i="65" s="1"/>
  <c r="D11"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10" i="63"/>
  <c r="B51" i="10"/>
  <c r="B17" i="63"/>
  <c r="A15" i="51"/>
  <c r="B12" i="63"/>
  <c r="A14" i="51"/>
  <c r="B11" i="63"/>
  <c r="A4" i="55"/>
  <c r="B57" i="63"/>
  <c r="G5" i="54"/>
  <c r="B34" i="63" s="1"/>
  <c r="E5" i="54"/>
  <c r="B32" i="63" s="1"/>
  <c r="R2" i="54"/>
  <c r="B24" i="63" s="1"/>
  <c r="B19" i="63"/>
  <c r="B49" i="50"/>
  <c r="B5" i="63" s="1"/>
  <c r="B40" i="50"/>
  <c r="B3" i="63" s="1"/>
  <c r="I19" i="46"/>
  <c r="Q15" i="59"/>
  <c r="F15" i="59" s="1"/>
  <c r="V15" i="59" s="1"/>
  <c r="P15" i="59"/>
  <c r="O15" i="59"/>
  <c r="C15" i="59" s="1"/>
  <c r="N15" i="59"/>
  <c r="B15" i="59" s="1"/>
  <c r="D76" i="59"/>
  <c r="F75" i="59"/>
  <c r="E75" i="59"/>
  <c r="E74" i="59" s="1"/>
  <c r="E73" i="59"/>
  <c r="C75" i="59"/>
  <c r="D75" i="59"/>
  <c r="B75" i="59"/>
  <c r="F74" i="59"/>
  <c r="F73" i="59" s="1"/>
  <c r="B74" i="59"/>
  <c r="B73" i="59" s="1"/>
  <c r="D72" i="59"/>
  <c r="F71" i="59"/>
  <c r="E71" i="59"/>
  <c r="E70" i="59" s="1"/>
  <c r="E69" i="59" s="1"/>
  <c r="C71" i="59"/>
  <c r="D71" i="59"/>
  <c r="B71" i="59"/>
  <c r="F70" i="59"/>
  <c r="F69" i="59" s="1"/>
  <c r="B70" i="59"/>
  <c r="B69" i="59" s="1"/>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s="1"/>
  <c r="E63" i="59"/>
  <c r="C63" i="59"/>
  <c r="T63" i="59" s="1"/>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s="1"/>
  <c r="E55" i="59"/>
  <c r="C55" i="59"/>
  <c r="B55" i="59"/>
  <c r="F54" i="59"/>
  <c r="F53" i="59" s="1"/>
  <c r="D52" i="59"/>
  <c r="Q51" i="59"/>
  <c r="P51" i="59"/>
  <c r="O51" i="59"/>
  <c r="N51" i="59"/>
  <c r="Q50" i="59"/>
  <c r="P50" i="59"/>
  <c r="O50" i="59"/>
  <c r="N50" i="59"/>
  <c r="Q49" i="59"/>
  <c r="P49" i="59"/>
  <c r="O49" i="59"/>
  <c r="C50" i="59" s="1"/>
  <c r="D50" i="59" s="1"/>
  <c r="N49" i="59"/>
  <c r="Q48" i="59"/>
  <c r="F49" i="59" s="1"/>
  <c r="F50" i="59" s="1"/>
  <c r="P48" i="59"/>
  <c r="E49" i="59" s="1"/>
  <c r="E50" i="59"/>
  <c r="E51" i="59" s="1"/>
  <c r="U51" i="59" s="1"/>
  <c r="O48" i="59"/>
  <c r="C49" i="59"/>
  <c r="N48" i="59"/>
  <c r="B49" i="59"/>
  <c r="B50" i="59" s="1"/>
  <c r="B51" i="59"/>
  <c r="S51" i="59" s="1"/>
  <c r="D48" i="59"/>
  <c r="Q47" i="59"/>
  <c r="P47" i="59"/>
  <c r="O47" i="59"/>
  <c r="N47" i="59"/>
  <c r="Q46" i="59"/>
  <c r="P46" i="59"/>
  <c r="O46" i="59"/>
  <c r="N46" i="59"/>
  <c r="Q45" i="59"/>
  <c r="P45" i="59"/>
  <c r="O45" i="59"/>
  <c r="N45" i="59"/>
  <c r="Q44" i="59"/>
  <c r="F45" i="59" s="1"/>
  <c r="P44" i="59"/>
  <c r="E45" i="59" s="1"/>
  <c r="E46" i="59"/>
  <c r="E47" i="59" s="1"/>
  <c r="U47" i="59" s="1"/>
  <c r="O44" i="59"/>
  <c r="C45" i="59"/>
  <c r="N44" i="59"/>
  <c r="B45" i="59"/>
  <c r="B46" i="59" s="1"/>
  <c r="B47" i="59"/>
  <c r="S47" i="59" s="1"/>
  <c r="D44" i="59"/>
  <c r="Q43" i="59"/>
  <c r="P43" i="59"/>
  <c r="O43" i="59"/>
  <c r="N43" i="59"/>
  <c r="Q42" i="59"/>
  <c r="P42" i="59"/>
  <c r="O42" i="59"/>
  <c r="N42" i="59"/>
  <c r="Q41" i="59"/>
  <c r="P41" i="59"/>
  <c r="O41" i="59"/>
  <c r="N41" i="59"/>
  <c r="Q40" i="59"/>
  <c r="F41" i="59"/>
  <c r="F42" i="59" s="1"/>
  <c r="P40" i="59"/>
  <c r="E41" i="59"/>
  <c r="E42" i="59" s="1"/>
  <c r="E43" i="59"/>
  <c r="U43" i="59" s="1"/>
  <c r="O40" i="59"/>
  <c r="C41" i="59" s="1"/>
  <c r="C42" i="59" s="1"/>
  <c r="D42"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c r="P36" i="59"/>
  <c r="E37" i="59"/>
  <c r="E38" i="59" s="1"/>
  <c r="E39" i="59" s="1"/>
  <c r="U39" i="59" s="1"/>
  <c r="O36" i="59"/>
  <c r="C37" i="59"/>
  <c r="C38" i="59" s="1"/>
  <c r="D38" i="59" s="1"/>
  <c r="N36" i="59"/>
  <c r="B37" i="59"/>
  <c r="B38" i="59" s="1"/>
  <c r="D36" i="59"/>
  <c r="T35" i="59"/>
  <c r="Q35" i="59"/>
  <c r="P35" i="59"/>
  <c r="O35" i="59"/>
  <c r="N35" i="59"/>
  <c r="D35" i="59"/>
  <c r="Q34" i="59"/>
  <c r="P34" i="59"/>
  <c r="O34" i="59"/>
  <c r="N34" i="59"/>
  <c r="Q33" i="59"/>
  <c r="P33" i="59"/>
  <c r="O33" i="59"/>
  <c r="C34" i="59" s="1"/>
  <c r="D34" i="59" s="1"/>
  <c r="N33" i="59"/>
  <c r="Q32" i="59"/>
  <c r="F33" i="59" s="1"/>
  <c r="F34" i="59" s="1"/>
  <c r="F35" i="59" s="1"/>
  <c r="V35" i="59" s="1"/>
  <c r="P32" i="59"/>
  <c r="E33" i="59" s="1"/>
  <c r="E34" i="59"/>
  <c r="E35" i="59" s="1"/>
  <c r="U35" i="59" s="1"/>
  <c r="O32" i="59"/>
  <c r="C33" i="59"/>
  <c r="N32" i="59"/>
  <c r="B33" i="59"/>
  <c r="B34" i="59" s="1"/>
  <c r="B35" i="59"/>
  <c r="S35" i="59" s="1"/>
  <c r="D32" i="59"/>
  <c r="Q31" i="59"/>
  <c r="P31" i="59"/>
  <c r="O31" i="59"/>
  <c r="N31" i="59"/>
  <c r="Q30" i="59"/>
  <c r="P30" i="59"/>
  <c r="O30" i="59"/>
  <c r="N30" i="59"/>
  <c r="Q29" i="59"/>
  <c r="P29" i="59"/>
  <c r="O29" i="59"/>
  <c r="N29" i="59"/>
  <c r="Q28" i="59"/>
  <c r="F29" i="59"/>
  <c r="F30" i="59" s="1"/>
  <c r="P28" i="59"/>
  <c r="E29" i="59"/>
  <c r="E30" i="59" s="1"/>
  <c r="E31" i="59"/>
  <c r="U31" i="59" s="1"/>
  <c r="O28" i="59"/>
  <c r="C29" i="59" s="1"/>
  <c r="D29" i="59" s="1"/>
  <c r="N28" i="59"/>
  <c r="B29" i="59" s="1"/>
  <c r="B30" i="59" s="1"/>
  <c r="B31" i="59" s="1"/>
  <c r="S31" i="59"/>
  <c r="D28" i="59"/>
  <c r="Q27" i="59"/>
  <c r="P27" i="59"/>
  <c r="O27" i="59"/>
  <c r="N27" i="59"/>
  <c r="Q26" i="59"/>
  <c r="P26" i="59"/>
  <c r="AA26" i="59" s="1"/>
  <c r="O26" i="59"/>
  <c r="Y26" i="59"/>
  <c r="Z26" i="59" s="1"/>
  <c r="N26" i="59"/>
  <c r="X26" i="59" s="1"/>
  <c r="Q25" i="59"/>
  <c r="P25" i="59"/>
  <c r="O25" i="59"/>
  <c r="Y22" i="59" s="1"/>
  <c r="Z22" i="59" s="1"/>
  <c r="N25" i="59"/>
  <c r="Q24" i="59"/>
  <c r="P24" i="59"/>
  <c r="E25" i="59" s="1"/>
  <c r="E26" i="59" s="1"/>
  <c r="E27" i="59" s="1"/>
  <c r="U27" i="59" s="1"/>
  <c r="O24" i="59"/>
  <c r="Y24" i="59" s="1"/>
  <c r="Z24" i="59" s="1"/>
  <c r="C25" i="59"/>
  <c r="D25" i="59" s="1"/>
  <c r="N24" i="59"/>
  <c r="B25" i="59"/>
  <c r="B26" i="59" s="1"/>
  <c r="D24" i="59"/>
  <c r="Q23" i="59"/>
  <c r="P23" i="59"/>
  <c r="AA23" i="59" s="1"/>
  <c r="O23" i="59"/>
  <c r="N23" i="59"/>
  <c r="X23" i="59" s="1"/>
  <c r="Q22" i="59"/>
  <c r="P22" i="59"/>
  <c r="AA22" i="59" s="1"/>
  <c r="O22" i="59"/>
  <c r="N22" i="59"/>
  <c r="X22" i="59" s="1"/>
  <c r="Q21" i="59"/>
  <c r="P21" i="59"/>
  <c r="O21" i="59"/>
  <c r="N21" i="59"/>
  <c r="Q20" i="59"/>
  <c r="F21" i="59"/>
  <c r="F22" i="59" s="1"/>
  <c r="F23" i="59" s="1"/>
  <c r="V23" i="59" s="1"/>
  <c r="P20" i="59"/>
  <c r="E21" i="59"/>
  <c r="E22" i="59" s="1"/>
  <c r="E23" i="59" s="1"/>
  <c r="U23" i="59" s="1"/>
  <c r="O20" i="59"/>
  <c r="N20" i="59"/>
  <c r="D20" i="59"/>
  <c r="Q19" i="59"/>
  <c r="P19" i="59"/>
  <c r="O19" i="59"/>
  <c r="N19" i="59"/>
  <c r="Q18" i="59"/>
  <c r="P18" i="59"/>
  <c r="AA18" i="59" s="1"/>
  <c r="O18" i="59"/>
  <c r="N18" i="59"/>
  <c r="Q17" i="59"/>
  <c r="P17" i="59"/>
  <c r="O17" i="59"/>
  <c r="N17" i="59"/>
  <c r="X17" i="59" s="1"/>
  <c r="Q16" i="59"/>
  <c r="P16" i="59"/>
  <c r="O16" i="59"/>
  <c r="C17" i="59"/>
  <c r="N16" i="59"/>
  <c r="B17" i="59"/>
  <c r="D16" i="59"/>
  <c r="X3" i="59"/>
  <c r="AA14" i="59"/>
  <c r="Y13" i="59"/>
  <c r="Z13" i="59" s="1"/>
  <c r="Y15" i="59"/>
  <c r="Z15" i="59" s="1"/>
  <c r="B18" i="59"/>
  <c r="B19" i="59" s="1"/>
  <c r="S19" i="59" s="1"/>
  <c r="B39" i="59"/>
  <c r="S39" i="59" s="1"/>
  <c r="S55" i="59"/>
  <c r="F31" i="59"/>
  <c r="V31" i="59" s="1"/>
  <c r="F43" i="59"/>
  <c r="V43" i="59" s="1"/>
  <c r="F46" i="59"/>
  <c r="F47" i="59" s="1"/>
  <c r="V47" i="59" s="1"/>
  <c r="F51" i="59"/>
  <c r="V51" i="59" s="1"/>
  <c r="C26" i="59"/>
  <c r="D26" i="59" s="1"/>
  <c r="C30" i="59"/>
  <c r="D30" i="59" s="1"/>
  <c r="D33" i="59"/>
  <c r="D41" i="59"/>
  <c r="D45" i="59"/>
  <c r="D49" i="59"/>
  <c r="Q54" i="59"/>
  <c r="T55" i="59"/>
  <c r="O55" i="59"/>
  <c r="D55" i="59"/>
  <c r="C54" i="59"/>
  <c r="U55" i="59"/>
  <c r="Q55" i="59"/>
  <c r="C58" i="59"/>
  <c r="C57" i="59" s="1"/>
  <c r="E58" i="59"/>
  <c r="E57" i="59"/>
  <c r="D59" i="59"/>
  <c r="C62" i="59"/>
  <c r="D62" i="59" s="1"/>
  <c r="D63" i="59"/>
  <c r="C66" i="59"/>
  <c r="D66" i="59" s="1"/>
  <c r="E66" i="59"/>
  <c r="E65" i="59"/>
  <c r="D67" i="59"/>
  <c r="C70" i="59"/>
  <c r="C69" i="59" s="1"/>
  <c r="D69" i="59" s="1"/>
  <c r="C74" i="59"/>
  <c r="U16" i="4"/>
  <c r="S16" i="4"/>
  <c r="Q16" i="4"/>
  <c r="O16" i="4"/>
  <c r="M16" i="4"/>
  <c r="L16" i="4" s="1"/>
  <c r="K16" i="4"/>
  <c r="D74" i="59"/>
  <c r="C73" i="59"/>
  <c r="D73" i="59"/>
  <c r="C65" i="59"/>
  <c r="D65" i="59" s="1"/>
  <c r="D58" i="59"/>
  <c r="D57" i="59"/>
  <c r="C61" i="59"/>
  <c r="D61" i="59" s="1"/>
  <c r="C51" i="59"/>
  <c r="T51" i="59" s="1"/>
  <c r="C43" i="59"/>
  <c r="T43" i="59" s="1"/>
  <c r="C31" i="59"/>
  <c r="T31" i="59" s="1"/>
  <c r="C27" i="59"/>
  <c r="N16" i="4"/>
  <c r="D31" i="59"/>
  <c r="D43" i="59"/>
  <c r="D51" i="59"/>
  <c r="O27" i="6"/>
  <c r="N27" i="6"/>
  <c r="P26" i="6"/>
  <c r="L26" i="6"/>
  <c r="P25" i="6"/>
  <c r="L25" i="6"/>
  <c r="P24" i="6"/>
  <c r="L24" i="6"/>
  <c r="P23" i="6"/>
  <c r="L23" i="6"/>
  <c r="P22" i="6"/>
  <c r="L22" i="6"/>
  <c r="P21" i="6"/>
  <c r="L21" i="6"/>
  <c r="P20" i="6"/>
  <c r="P19" i="6"/>
  <c r="P27" i="6"/>
  <c r="Q18" i="36"/>
  <c r="Z18" i="36" s="1"/>
  <c r="C18" i="36"/>
  <c r="D66" i="36"/>
  <c r="E66" i="36" s="1"/>
  <c r="F18" i="36"/>
  <c r="AA18" i="36"/>
  <c r="Q18" i="35"/>
  <c r="Z18" i="35" s="1"/>
  <c r="F18" i="35"/>
  <c r="AA18" i="35"/>
  <c r="C18" i="35"/>
  <c r="D68" i="35"/>
  <c r="E68" i="35" s="1"/>
  <c r="F68" i="35" s="1"/>
  <c r="G68" i="35" s="1"/>
  <c r="Z21" i="37"/>
  <c r="Q21" i="37"/>
  <c r="F21" i="37"/>
  <c r="AA21" i="37" s="1"/>
  <c r="C21" i="37"/>
  <c r="F77" i="37"/>
  <c r="G77" i="37" s="1"/>
  <c r="D77" i="37"/>
  <c r="E77" i="37" s="1"/>
  <c r="Q21" i="34"/>
  <c r="Z21" i="34" s="1"/>
  <c r="C21" i="34"/>
  <c r="D84" i="34"/>
  <c r="E84" i="34" s="1"/>
  <c r="F84" i="34" s="1"/>
  <c r="F21" i="34"/>
  <c r="AA21" i="34"/>
  <c r="Q21" i="33"/>
  <c r="Z21" i="33" s="1"/>
  <c r="C21" i="33"/>
  <c r="D83" i="33"/>
  <c r="E83" i="33" s="1"/>
  <c r="F83" i="33" s="1"/>
  <c r="G83" i="33" s="1"/>
  <c r="Z21" i="21"/>
  <c r="Q21" i="21"/>
  <c r="D83" i="21"/>
  <c r="C21" i="21"/>
  <c r="Q27" i="40"/>
  <c r="Z27" i="40" s="1"/>
  <c r="D96" i="40"/>
  <c r="E96" i="40"/>
  <c r="F27" i="40"/>
  <c r="AA27" i="40"/>
  <c r="Q31" i="39"/>
  <c r="Z31" i="39" s="1"/>
  <c r="D105" i="39"/>
  <c r="E105" i="39" s="1"/>
  <c r="F105" i="39" s="1"/>
  <c r="G105" i="39" s="1"/>
  <c r="F31" i="39"/>
  <c r="AA31" i="39" s="1"/>
  <c r="G20" i="20"/>
  <c r="B85" i="46"/>
  <c r="C22" i="20"/>
  <c r="B65" i="46" s="1"/>
  <c r="S18" i="36"/>
  <c r="S18" i="35"/>
  <c r="S21" i="37"/>
  <c r="S21" i="34"/>
  <c r="S27" i="40"/>
  <c r="C27" i="40"/>
  <c r="B74" i="46"/>
  <c r="H18" i="35"/>
  <c r="J18" i="35"/>
  <c r="H21" i="37"/>
  <c r="J21" i="37"/>
  <c r="G84" i="34"/>
  <c r="J21" i="34"/>
  <c r="H21" i="34"/>
  <c r="F21" i="33"/>
  <c r="H21" i="33"/>
  <c r="J21" i="33"/>
  <c r="H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c r="C59" i="39" s="1"/>
  <c r="H67" i="39"/>
  <c r="I67" i="39"/>
  <c r="C67" i="39" s="1"/>
  <c r="H66" i="39"/>
  <c r="I66" i="39" s="1"/>
  <c r="C66" i="39" s="1"/>
  <c r="H65" i="39"/>
  <c r="I65" i="39" s="1"/>
  <c r="C65" i="39" s="1"/>
  <c r="H64" i="39"/>
  <c r="I64" i="39" s="1"/>
  <c r="C64" i="39" s="1"/>
  <c r="H62" i="39"/>
  <c r="I62" i="39" s="1"/>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s="1"/>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11" i="55" s="1"/>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AP8" i="1" s="1"/>
  <c r="F9" i="1"/>
  <c r="AP9" i="1" s="1"/>
  <c r="F19" i="4"/>
  <c r="E19" i="4"/>
  <c r="F7" i="1" s="1"/>
  <c r="G7" i="1" s="1"/>
  <c r="B2" i="52"/>
  <c r="B15" i="52" s="1"/>
  <c r="I2" i="46"/>
  <c r="N12" i="46" s="1"/>
  <c r="A7" i="46"/>
  <c r="F41" i="4"/>
  <c r="J52" i="40"/>
  <c r="H61" i="49"/>
  <c r="H39" i="46"/>
  <c r="H38" i="46"/>
  <c r="H37" i="46"/>
  <c r="H36" i="46"/>
  <c r="H35" i="46"/>
  <c r="H34" i="46"/>
  <c r="H33" i="46"/>
  <c r="J20" i="46"/>
  <c r="C18" i="46"/>
  <c r="F15" i="46"/>
  <c r="E15" i="46"/>
  <c r="D15" i="46"/>
  <c r="C15" i="46"/>
  <c r="C10" i="46"/>
  <c r="C11" i="46" s="1"/>
  <c r="C9" i="46"/>
  <c r="E19" i="6"/>
  <c r="E32" i="6"/>
  <c r="E20" i="6"/>
  <c r="E21" i="6"/>
  <c r="K8" i="1" s="1"/>
  <c r="E22" i="6"/>
  <c r="E23" i="6"/>
  <c r="E24" i="6"/>
  <c r="E25" i="6"/>
  <c r="E26" i="6"/>
  <c r="D38" i="4"/>
  <c r="C39" i="4" s="1"/>
  <c r="C35" i="4"/>
  <c r="E16" i="12"/>
  <c r="F14" i="12"/>
  <c r="F15" i="12"/>
  <c r="F17" i="12"/>
  <c r="E19" i="12"/>
  <c r="E21" i="12"/>
  <c r="E22" i="12"/>
  <c r="F23" i="12"/>
  <c r="F24" i="12"/>
  <c r="C43" i="9"/>
  <c r="K47" i="9"/>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22" i="31" s="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s="1"/>
  <c r="G54" i="33"/>
  <c r="E54" i="33"/>
  <c r="F54" i="33" s="1"/>
  <c r="H14" i="3"/>
  <c r="G14" i="3" s="1"/>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H5" i="3" s="1"/>
  <c r="BI19" i="3"/>
  <c r="BJ19" i="3"/>
  <c r="BK19" i="3"/>
  <c r="BM19" i="3"/>
  <c r="BM5" i="3" s="1"/>
  <c r="BN19" i="3"/>
  <c r="BO19" i="3"/>
  <c r="BP19" i="3"/>
  <c r="BQ19" i="3"/>
  <c r="BR19" i="3"/>
  <c r="BS19" i="3"/>
  <c r="BT19" i="3"/>
  <c r="H20" i="3"/>
  <c r="AC20" i="3"/>
  <c r="BB20" i="3"/>
  <c r="BC20" i="3"/>
  <c r="BD20" i="3"/>
  <c r="BE20" i="3"/>
  <c r="BF20" i="3"/>
  <c r="BG20" i="3"/>
  <c r="BH20" i="3"/>
  <c r="BI20" i="3"/>
  <c r="BJ20" i="3"/>
  <c r="BK20" i="3"/>
  <c r="BM20" i="3"/>
  <c r="BL20" i="3" s="1"/>
  <c r="BN20" i="3"/>
  <c r="BO20" i="3"/>
  <c r="BP20" i="3"/>
  <c r="BR20" i="3"/>
  <c r="BS20" i="3"/>
  <c r="BT20" i="3"/>
  <c r="H481" i="3"/>
  <c r="G481" i="3"/>
  <c r="AC481" i="3"/>
  <c r="BB481" i="3"/>
  <c r="BA481" i="3" s="1"/>
  <c r="AZ481" i="3" s="1"/>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A487" i="3" s="1"/>
  <c r="AZ487" i="3" s="1"/>
  <c r="BC487" i="3"/>
  <c r="BD487" i="3"/>
  <c r="BE487" i="3"/>
  <c r="BF487" i="3"/>
  <c r="BG487" i="3"/>
  <c r="BH487" i="3"/>
  <c r="BI487" i="3"/>
  <c r="BJ487" i="3"/>
  <c r="BK487" i="3"/>
  <c r="BM487" i="3"/>
  <c r="BN487" i="3"/>
  <c r="BO487" i="3"/>
  <c r="BP487" i="3"/>
  <c r="BQ487" i="3"/>
  <c r="BR487" i="3"/>
  <c r="BS487" i="3"/>
  <c r="BT487" i="3"/>
  <c r="H488" i="3"/>
  <c r="AC488" i="3"/>
  <c r="BB488" i="3"/>
  <c r="BA488" i="3" s="1"/>
  <c r="BC488" i="3"/>
  <c r="BD488" i="3"/>
  <c r="BE488" i="3"/>
  <c r="BF488" i="3"/>
  <c r="BG488" i="3"/>
  <c r="BH488" i="3"/>
  <c r="BI488" i="3"/>
  <c r="BJ488" i="3"/>
  <c r="BK488" i="3"/>
  <c r="BM488" i="3"/>
  <c r="BN488" i="3"/>
  <c r="BO488" i="3"/>
  <c r="BP488" i="3"/>
  <c r="BR488" i="3"/>
  <c r="BS488" i="3"/>
  <c r="BT488" i="3"/>
  <c r="H489" i="3"/>
  <c r="G489" i="3"/>
  <c r="AC489" i="3"/>
  <c r="BB489" i="3"/>
  <c r="BA489" i="3" s="1"/>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C5" i="3" s="1"/>
  <c r="E8" i="6" s="1"/>
  <c r="BD496" i="3"/>
  <c r="BE496" i="3"/>
  <c r="BF496" i="3"/>
  <c r="BG496" i="3"/>
  <c r="BH496" i="3"/>
  <c r="BI496" i="3"/>
  <c r="BJ496" i="3"/>
  <c r="BK496" i="3"/>
  <c r="BM496" i="3"/>
  <c r="BN496" i="3"/>
  <c r="BO496" i="3"/>
  <c r="BP496" i="3"/>
  <c r="BP5" i="3" s="1"/>
  <c r="BR496" i="3"/>
  <c r="BS496" i="3"/>
  <c r="BT496" i="3"/>
  <c r="H497" i="3"/>
  <c r="G497" i="3" s="1"/>
  <c r="AC497" i="3"/>
  <c r="BB497" i="3"/>
  <c r="BC497" i="3"/>
  <c r="BA497" i="3" s="1"/>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L504" i="3" s="1"/>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A506" i="3" s="1"/>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L507" i="3" s="1"/>
  <c r="BO507" i="3"/>
  <c r="BP507" i="3"/>
  <c r="BQ507" i="3"/>
  <c r="BR507" i="3"/>
  <c r="BS507" i="3"/>
  <c r="BT507" i="3"/>
  <c r="H508" i="3"/>
  <c r="AC508" i="3"/>
  <c r="G508" i="3" s="1"/>
  <c r="BB508" i="3"/>
  <c r="BC508" i="3"/>
  <c r="BA508" i="3" s="1"/>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A510" i="3" s="1"/>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A516" i="3" s="1"/>
  <c r="BD516" i="3"/>
  <c r="BE516" i="3"/>
  <c r="BF516" i="3"/>
  <c r="BG516" i="3"/>
  <c r="BH516" i="3"/>
  <c r="BI516" i="3"/>
  <c r="BJ516" i="3"/>
  <c r="BK516" i="3"/>
  <c r="BM516" i="3"/>
  <c r="BN516" i="3"/>
  <c r="BL516" i="3" s="1"/>
  <c r="BO516" i="3"/>
  <c r="BP516" i="3"/>
  <c r="BR516" i="3"/>
  <c r="BS516" i="3"/>
  <c r="BT516" i="3"/>
  <c r="H517" i="3"/>
  <c r="G517" i="3" s="1"/>
  <c r="AC517" i="3"/>
  <c r="BB517" i="3"/>
  <c r="BC517" i="3"/>
  <c r="BD517" i="3"/>
  <c r="BE517" i="3"/>
  <c r="BF517" i="3"/>
  <c r="BG517" i="3"/>
  <c r="BH517" i="3"/>
  <c r="BI517" i="3"/>
  <c r="BJ517" i="3"/>
  <c r="BK517" i="3"/>
  <c r="BM517" i="3"/>
  <c r="BL517" i="3" s="1"/>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L541" i="3" s="1"/>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A553" i="3" s="1"/>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A563" i="3" s="1"/>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A567" i="3" s="1"/>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L568" i="3" s="1"/>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F30" i="36"/>
  <c r="AA30" i="36" s="1"/>
  <c r="C26" i="35"/>
  <c r="J31" i="35"/>
  <c r="H31" i="35"/>
  <c r="F31" i="35"/>
  <c r="D87" i="35"/>
  <c r="E87" i="35"/>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E113" i="33" s="1"/>
  <c r="F113" i="33" s="1"/>
  <c r="F37" i="33"/>
  <c r="AA37" i="33"/>
  <c r="D111" i="33"/>
  <c r="E111" i="33" s="1"/>
  <c r="F111" i="33" s="1"/>
  <c r="G111" i="33" s="1"/>
  <c r="S515" i="31"/>
  <c r="S517" i="31"/>
  <c r="S519" i="31"/>
  <c r="S521" i="31"/>
  <c r="S523" i="31"/>
  <c r="F41" i="21"/>
  <c r="J41" i="21"/>
  <c r="AC41" i="21" s="1"/>
  <c r="H41" i="21"/>
  <c r="U41" i="21" s="1"/>
  <c r="D83" i="39"/>
  <c r="E83" i="39" s="1"/>
  <c r="F83" i="39" s="1"/>
  <c r="G83" i="39" s="1"/>
  <c r="D78" i="40"/>
  <c r="F13" i="40"/>
  <c r="S13" i="40"/>
  <c r="B122" i="40"/>
  <c r="F42" i="40"/>
  <c r="AA42" i="40" s="1"/>
  <c r="B120" i="40"/>
  <c r="B118" i="40"/>
  <c r="F40" i="40"/>
  <c r="AA40" i="40" s="1"/>
  <c r="D117" i="40"/>
  <c r="E117" i="40" s="1"/>
  <c r="F117" i="40" s="1"/>
  <c r="G117" i="40" s="1"/>
  <c r="H117" i="40" s="1"/>
  <c r="I117" i="40" s="1"/>
  <c r="J117" i="40" s="1"/>
  <c r="K117" i="40" s="1"/>
  <c r="L117" i="40"/>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c r="H111" i="39" s="1"/>
  <c r="I111" i="39" s="1"/>
  <c r="J111" i="39" s="1"/>
  <c r="K111" i="39" s="1"/>
  <c r="L111" i="39" s="1"/>
  <c r="M111" i="39" s="1"/>
  <c r="D109" i="39"/>
  <c r="E109" i="39" s="1"/>
  <c r="D107" i="39"/>
  <c r="E107" i="39" s="1"/>
  <c r="F107" i="39"/>
  <c r="G107" i="39" s="1"/>
  <c r="H107" i="39" s="1"/>
  <c r="I107" i="39" s="1"/>
  <c r="J107" i="39" s="1"/>
  <c r="K107" i="39" s="1"/>
  <c r="L107" i="39" s="1"/>
  <c r="M107" i="39" s="1"/>
  <c r="D103" i="39"/>
  <c r="D101" i="39"/>
  <c r="E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s="1"/>
  <c r="H81" i="36" s="1"/>
  <c r="I81" i="36"/>
  <c r="J81" i="36" s="1"/>
  <c r="K81" i="36" s="1"/>
  <c r="L81" i="36" s="1"/>
  <c r="M81" i="36" s="1"/>
  <c r="F79" i="36"/>
  <c r="E79" i="36"/>
  <c r="D79" i="36"/>
  <c r="C79" i="36"/>
  <c r="B93" i="36"/>
  <c r="B91" i="36"/>
  <c r="B95" i="36"/>
  <c r="H34" i="36"/>
  <c r="D83" i="36"/>
  <c r="E83" i="36"/>
  <c r="F83" i="36" s="1"/>
  <c r="G83" i="36"/>
  <c r="H83" i="36" s="1"/>
  <c r="I83" i="36" s="1"/>
  <c r="J83" i="36" s="1"/>
  <c r="K83" i="36" s="1"/>
  <c r="L83" i="36" s="1"/>
  <c r="M83" i="36" s="1"/>
  <c r="D78" i="36"/>
  <c r="J26" i="36"/>
  <c r="W26" i="36" s="1"/>
  <c r="B75" i="36"/>
  <c r="B73" i="36"/>
  <c r="J24" i="36"/>
  <c r="B71" i="36"/>
  <c r="D70" i="36"/>
  <c r="H22" i="36"/>
  <c r="AB22" i="36" s="1"/>
  <c r="D68" i="36"/>
  <c r="E68" i="36" s="1"/>
  <c r="F68" i="36" s="1"/>
  <c r="G68" i="36" s="1"/>
  <c r="D64" i="36"/>
  <c r="E64" i="36" s="1"/>
  <c r="F64" i="36"/>
  <c r="G64" i="36" s="1"/>
  <c r="J16" i="36"/>
  <c r="D62" i="36"/>
  <c r="E62" i="36"/>
  <c r="B59" i="36"/>
  <c r="B57" i="36"/>
  <c r="J12" i="36" s="1"/>
  <c r="B55" i="36"/>
  <c r="J11" i="36" s="1"/>
  <c r="W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B57" i="35"/>
  <c r="B61" i="35"/>
  <c r="B59" i="35"/>
  <c r="H12" i="35" s="1"/>
  <c r="B131" i="34"/>
  <c r="B129" i="34"/>
  <c r="B127" i="34"/>
  <c r="J45" i="34" s="1"/>
  <c r="B99" i="34"/>
  <c r="B97" i="34"/>
  <c r="B95" i="34"/>
  <c r="B93" i="34"/>
  <c r="F29" i="34" s="1"/>
  <c r="B75" i="34"/>
  <c r="B73" i="34"/>
  <c r="B71" i="34"/>
  <c r="B130" i="33"/>
  <c r="F46" i="33" s="1"/>
  <c r="B128" i="33"/>
  <c r="H45" i="33"/>
  <c r="B126" i="33"/>
  <c r="B98" i="33"/>
  <c r="F31" i="33"/>
  <c r="AA31" i="33" s="1"/>
  <c r="B96" i="33"/>
  <c r="B94" i="33"/>
  <c r="B74" i="33"/>
  <c r="B72" i="33"/>
  <c r="B70" i="33"/>
  <c r="D96" i="35"/>
  <c r="E96" i="35"/>
  <c r="F96" i="35" s="1"/>
  <c r="G96" i="35" s="1"/>
  <c r="D94" i="35"/>
  <c r="D84" i="35"/>
  <c r="E84" i="35" s="1"/>
  <c r="F84" i="35"/>
  <c r="G84" i="35" s="1"/>
  <c r="H84" i="35" s="1"/>
  <c r="I84" i="35" s="1"/>
  <c r="J84" i="35"/>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c r="D90" i="34"/>
  <c r="C15" i="34"/>
  <c r="F67" i="34"/>
  <c r="G67" i="34"/>
  <c r="H67" i="34" s="1"/>
  <c r="I67" i="34" s="1"/>
  <c r="H10" i="34"/>
  <c r="AB10" i="34"/>
  <c r="D126" i="34"/>
  <c r="E126" i="34"/>
  <c r="F126" i="34" s="1"/>
  <c r="G126" i="34"/>
  <c r="D124" i="34"/>
  <c r="E124" i="34"/>
  <c r="F124" i="34" s="1"/>
  <c r="G124" i="34" s="1"/>
  <c r="H124" i="34" s="1"/>
  <c r="I124" i="34"/>
  <c r="J124" i="34" s="1"/>
  <c r="K124" i="34" s="1"/>
  <c r="L124" i="34" s="1"/>
  <c r="M124" i="34" s="1"/>
  <c r="J43" i="34"/>
  <c r="D118" i="34"/>
  <c r="E118" i="34" s="1"/>
  <c r="F118" i="34" s="1"/>
  <c r="G118" i="34" s="1"/>
  <c r="H40" i="34"/>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D88" i="34"/>
  <c r="E88" i="34" s="1"/>
  <c r="F88" i="34"/>
  <c r="G88" i="34" s="1"/>
  <c r="H88" i="34" s="1"/>
  <c r="I88" i="34" s="1"/>
  <c r="J88" i="34" s="1"/>
  <c r="K88" i="34" s="1"/>
  <c r="L88" i="34" s="1"/>
  <c r="M88" i="34" s="1"/>
  <c r="D86" i="34"/>
  <c r="E86" i="34" s="1"/>
  <c r="F86" i="34" s="1"/>
  <c r="G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Q42" i="34"/>
  <c r="Z42" i="34" s="1"/>
  <c r="Q41" i="34"/>
  <c r="Z41" i="34" s="1"/>
  <c r="Q40" i="34"/>
  <c r="Z40" i="34" s="1"/>
  <c r="F40" i="34"/>
  <c r="S40" i="34" s="1"/>
  <c r="Q39" i="34"/>
  <c r="Z39" i="34" s="1"/>
  <c r="J39" i="34"/>
  <c r="AC39" i="34" s="1"/>
  <c r="H39" i="34"/>
  <c r="U39" i="34" s="1"/>
  <c r="F39" i="34"/>
  <c r="AA39" i="34" s="1"/>
  <c r="Q38" i="34"/>
  <c r="Z38" i="34"/>
  <c r="Q37" i="34"/>
  <c r="Z37" i="34"/>
  <c r="Q36" i="34"/>
  <c r="Z36" i="34"/>
  <c r="Q35" i="34"/>
  <c r="Z35" i="34"/>
  <c r="Q34" i="34"/>
  <c r="Z34" i="34"/>
  <c r="J34" i="34"/>
  <c r="H34" i="34"/>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c r="F115" i="33" s="1"/>
  <c r="G115" i="33" s="1"/>
  <c r="H115" i="33" s="1"/>
  <c r="I115" i="33"/>
  <c r="J115" i="33" s="1"/>
  <c r="K115" i="33" s="1"/>
  <c r="L115" i="33" s="1"/>
  <c r="M115" i="33" s="1"/>
  <c r="D108" i="33"/>
  <c r="E108" i="33"/>
  <c r="F108" i="33" s="1"/>
  <c r="G108" i="33" s="1"/>
  <c r="H108" i="33" s="1"/>
  <c r="I108" i="33"/>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s="1"/>
  <c r="W41" i="33"/>
  <c r="Q41" i="33"/>
  <c r="Z41" i="33" s="1"/>
  <c r="Q40" i="33"/>
  <c r="Z40" i="33" s="1"/>
  <c r="J40" i="33"/>
  <c r="AC40" i="33" s="1"/>
  <c r="H40" i="33"/>
  <c r="AB40" i="33" s="1"/>
  <c r="AA40" i="33"/>
  <c r="Q39" i="33"/>
  <c r="Z39" i="33" s="1"/>
  <c r="J39" i="33"/>
  <c r="AC39" i="33" s="1"/>
  <c r="Q38" i="33"/>
  <c r="Z38" i="33" s="1"/>
  <c r="J38" i="33"/>
  <c r="H38" i="33"/>
  <c r="F38" i="33"/>
  <c r="Q37" i="33"/>
  <c r="Z37" i="33" s="1"/>
  <c r="Q36" i="33"/>
  <c r="Z36" i="33" s="1"/>
  <c r="Q35" i="33"/>
  <c r="Z35" i="33" s="1"/>
  <c r="H35" i="33"/>
  <c r="AB35" i="33" s="1"/>
  <c r="Q34" i="33"/>
  <c r="Z34" i="33" s="1"/>
  <c r="Q33" i="33"/>
  <c r="Z33" i="33" s="1"/>
  <c r="J33" i="33"/>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F9" i="33"/>
  <c r="AA9" i="33" s="1"/>
  <c r="J8" i="33"/>
  <c r="H8" i="33"/>
  <c r="F8" i="33"/>
  <c r="C7" i="33"/>
  <c r="C58" i="33" s="1"/>
  <c r="M102" i="21"/>
  <c r="D102" i="21"/>
  <c r="E102" i="21"/>
  <c r="F102" i="21"/>
  <c r="G102" i="21"/>
  <c r="H102" i="21"/>
  <c r="I102" i="21"/>
  <c r="J102" i="21"/>
  <c r="K102" i="21"/>
  <c r="L102" i="21"/>
  <c r="C102" i="21"/>
  <c r="C63" i="21"/>
  <c r="G18" i="20"/>
  <c r="B87" i="46" s="1"/>
  <c r="C25" i="40"/>
  <c r="G16" i="20"/>
  <c r="B81" i="46"/>
  <c r="G15" i="20"/>
  <c r="B80" i="46"/>
  <c r="C24" i="20"/>
  <c r="B72" i="46" s="1"/>
  <c r="C21" i="20"/>
  <c r="B73" i="46" s="1"/>
  <c r="C20" i="20"/>
  <c r="C18" i="20"/>
  <c r="B70" i="46" s="1"/>
  <c r="C17" i="20"/>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D106" i="21"/>
  <c r="E106" i="21" s="1"/>
  <c r="F106" i="21" s="1"/>
  <c r="G106" i="21" s="1"/>
  <c r="H106" i="21" s="1"/>
  <c r="I106" i="21" s="1"/>
  <c r="J106" i="21" s="1"/>
  <c r="K106" i="21" s="1"/>
  <c r="L106" i="21" s="1"/>
  <c r="M106" i="21" s="1"/>
  <c r="D101" i="21"/>
  <c r="E101" i="21" s="1"/>
  <c r="D89" i="21"/>
  <c r="E89" i="21"/>
  <c r="F89" i="21" s="1"/>
  <c r="G89" i="21"/>
  <c r="H89" i="21" s="1"/>
  <c r="I89" i="21" s="1"/>
  <c r="J89" i="21" s="1"/>
  <c r="K89" i="21"/>
  <c r="L89" i="21" s="1"/>
  <c r="M89" i="21" s="1"/>
  <c r="D67" i="21"/>
  <c r="E67" i="21"/>
  <c r="F67" i="21"/>
  <c r="G67" i="21"/>
  <c r="H67" i="21"/>
  <c r="I67" i="21"/>
  <c r="J67" i="21"/>
  <c r="K67" i="21"/>
  <c r="L67" i="21"/>
  <c r="M67" i="21"/>
  <c r="C67" i="21"/>
  <c r="D69" i="21"/>
  <c r="E69" i="21" s="1"/>
  <c r="D66" i="21"/>
  <c r="E66" i="21" s="1"/>
  <c r="D111" i="21"/>
  <c r="E111" i="21"/>
  <c r="F111" i="21"/>
  <c r="C111" i="21"/>
  <c r="D79" i="21"/>
  <c r="E79" i="21" s="1"/>
  <c r="D85" i="21"/>
  <c r="E85" i="21" s="1"/>
  <c r="D81" i="21"/>
  <c r="D77" i="21"/>
  <c r="E77" i="21" s="1"/>
  <c r="B130" i="21"/>
  <c r="B128" i="21"/>
  <c r="B126" i="21"/>
  <c r="B98" i="21"/>
  <c r="B96" i="21"/>
  <c r="B94" i="21"/>
  <c r="B92" i="21"/>
  <c r="B90" i="21"/>
  <c r="B74" i="21"/>
  <c r="B72" i="21"/>
  <c r="B70" i="21"/>
  <c r="C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8" i="21"/>
  <c r="S38" i="21" s="1"/>
  <c r="F36" i="21"/>
  <c r="S36" i="21" s="1"/>
  <c r="F39" i="21"/>
  <c r="AA39" i="21" s="1"/>
  <c r="J40" i="21"/>
  <c r="J8" i="21"/>
  <c r="AC8" i="21" s="1"/>
  <c r="H8" i="21"/>
  <c r="H39" i="21"/>
  <c r="AB39" i="21" s="1"/>
  <c r="J34" i="21"/>
  <c r="W34" i="21" s="1"/>
  <c r="H36" i="21"/>
  <c r="U36" i="21" s="1"/>
  <c r="J33" i="21"/>
  <c r="W33" i="21" s="1"/>
  <c r="H33" i="21"/>
  <c r="U33" i="21" s="1"/>
  <c r="F33" i="21"/>
  <c r="AA33" i="21" s="1"/>
  <c r="H26" i="21"/>
  <c r="H12" i="21"/>
  <c r="U12" i="21" s="1"/>
  <c r="J26" i="21"/>
  <c r="W26" i="21" s="1"/>
  <c r="F26" i="21"/>
  <c r="AB41" i="21"/>
  <c r="S41" i="21"/>
  <c r="AA41" i="21"/>
  <c r="W41" i="21"/>
  <c r="S10" i="39"/>
  <c r="U30" i="37"/>
  <c r="E103" i="37"/>
  <c r="F103" i="37" s="1"/>
  <c r="F39" i="37"/>
  <c r="W39" i="37"/>
  <c r="F29" i="36"/>
  <c r="AA29" i="36"/>
  <c r="F16" i="36"/>
  <c r="AA16" i="36"/>
  <c r="U22" i="36"/>
  <c r="W23" i="36"/>
  <c r="U26" i="36"/>
  <c r="AC31" i="36"/>
  <c r="J33" i="36"/>
  <c r="AC27" i="35"/>
  <c r="U31" i="35"/>
  <c r="W36" i="35"/>
  <c r="W24" i="35"/>
  <c r="S31" i="35"/>
  <c r="W31" i="35"/>
  <c r="F36" i="34"/>
  <c r="S36" i="34" s="1"/>
  <c r="W9" i="34"/>
  <c r="W39" i="34"/>
  <c r="H39" i="33"/>
  <c r="AB39" i="33" s="1"/>
  <c r="F26" i="33"/>
  <c r="AA26" i="33" s="1"/>
  <c r="U33" i="33"/>
  <c r="S40" i="33"/>
  <c r="S8" i="21"/>
  <c r="H39" i="37"/>
  <c r="AB39" i="37"/>
  <c r="AB27" i="35"/>
  <c r="S10" i="40"/>
  <c r="W10" i="40"/>
  <c r="S11" i="40"/>
  <c r="U11" i="40"/>
  <c r="S36" i="40"/>
  <c r="U36" i="40"/>
  <c r="S36" i="39"/>
  <c r="C29" i="39"/>
  <c r="C23" i="39"/>
  <c r="U36" i="39"/>
  <c r="S42" i="39"/>
  <c r="H32" i="33"/>
  <c r="AB32" i="33" s="1"/>
  <c r="F100" i="40"/>
  <c r="F86" i="40"/>
  <c r="J27" i="36"/>
  <c r="J34" i="36"/>
  <c r="J30" i="35"/>
  <c r="W30" i="35" s="1"/>
  <c r="F22" i="35"/>
  <c r="AA22" i="35" s="1"/>
  <c r="H10" i="35"/>
  <c r="U29" i="36"/>
  <c r="U24" i="36"/>
  <c r="F85" i="36"/>
  <c r="G85" i="36" s="1"/>
  <c r="H85" i="36" s="1"/>
  <c r="I85" i="36" s="1"/>
  <c r="J85" i="36"/>
  <c r="K85" i="36" s="1"/>
  <c r="L85" i="36" s="1"/>
  <c r="M85" i="36" s="1"/>
  <c r="J29" i="36"/>
  <c r="AC29" i="36" s="1"/>
  <c r="F12" i="36"/>
  <c r="S12" i="36" s="1"/>
  <c r="F24" i="36"/>
  <c r="F34" i="36"/>
  <c r="S34" i="36" s="1"/>
  <c r="S10" i="36"/>
  <c r="AB8" i="36"/>
  <c r="H16" i="35"/>
  <c r="U16" i="35" s="1"/>
  <c r="H33" i="35"/>
  <c r="AB33" i="35" s="1"/>
  <c r="W8" i="35"/>
  <c r="AC8" i="35"/>
  <c r="F35" i="37"/>
  <c r="S35" i="37" s="1"/>
  <c r="E101" i="37"/>
  <c r="F101" i="37"/>
  <c r="G101" i="37" s="1"/>
  <c r="H101" i="37" s="1"/>
  <c r="I101" i="37" s="1"/>
  <c r="J101" i="37"/>
  <c r="K101" i="37" s="1"/>
  <c r="L101" i="37" s="1"/>
  <c r="M101" i="37" s="1"/>
  <c r="J34" i="37"/>
  <c r="W34" i="37" s="1"/>
  <c r="H43" i="34"/>
  <c r="U42" i="34"/>
  <c r="E114" i="34"/>
  <c r="H36" i="34"/>
  <c r="U36" i="34" s="1"/>
  <c r="F37" i="34"/>
  <c r="F33" i="34"/>
  <c r="S33" i="34" s="1"/>
  <c r="AA28" i="34"/>
  <c r="F19" i="34"/>
  <c r="AA19" i="34"/>
  <c r="J10" i="34"/>
  <c r="AC10" i="34"/>
  <c r="U9" i="34"/>
  <c r="W8" i="34"/>
  <c r="J28" i="34"/>
  <c r="W28" i="34"/>
  <c r="W40" i="33"/>
  <c r="G86" i="40"/>
  <c r="S22" i="35"/>
  <c r="H29" i="35"/>
  <c r="U34" i="37"/>
  <c r="S34" i="37"/>
  <c r="AA34" i="37"/>
  <c r="AC43" i="34"/>
  <c r="AB42" i="34"/>
  <c r="W36" i="34"/>
  <c r="J19" i="34"/>
  <c r="AC19" i="34"/>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s="1"/>
  <c r="J44" i="34"/>
  <c r="AC44" i="34" s="1"/>
  <c r="F44" i="34"/>
  <c r="J10" i="35"/>
  <c r="W10" i="35" s="1"/>
  <c r="AL5" i="3"/>
  <c r="I4" i="6" s="1"/>
  <c r="G3" i="46" s="1"/>
  <c r="BQ13" i="3"/>
  <c r="BL572" i="3"/>
  <c r="J14" i="21"/>
  <c r="AC14" i="21" s="1"/>
  <c r="F28" i="21"/>
  <c r="AA28" i="21" s="1"/>
  <c r="H30" i="21"/>
  <c r="U30" i="21" s="1"/>
  <c r="F30" i="21"/>
  <c r="S30" i="21" s="1"/>
  <c r="J30" i="21"/>
  <c r="W30" i="21" s="1"/>
  <c r="H26" i="33"/>
  <c r="U26" i="33" s="1"/>
  <c r="H28" i="33"/>
  <c r="AB28" i="33" s="1"/>
  <c r="F28" i="33"/>
  <c r="AA28" i="33" s="1"/>
  <c r="J28" i="33"/>
  <c r="F33" i="35"/>
  <c r="S33" i="35" s="1"/>
  <c r="J33" i="35"/>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F31" i="21"/>
  <c r="S31" i="21" s="1"/>
  <c r="J45" i="21"/>
  <c r="W45" i="21" s="1"/>
  <c r="F45" i="21"/>
  <c r="AA45" i="21" s="1"/>
  <c r="H45" i="21"/>
  <c r="F27" i="33"/>
  <c r="S27" i="33" s="1"/>
  <c r="F13" i="33"/>
  <c r="S13" i="33" s="1"/>
  <c r="J29" i="33"/>
  <c r="W29" i="33" s="1"/>
  <c r="J31" i="33"/>
  <c r="AC31" i="33" s="1"/>
  <c r="H31" i="33"/>
  <c r="S31" i="33"/>
  <c r="J45" i="33"/>
  <c r="W45" i="33"/>
  <c r="F45" i="33"/>
  <c r="S45" i="33"/>
  <c r="F11" i="35"/>
  <c r="S11" i="35"/>
  <c r="H28" i="36"/>
  <c r="U28" i="36"/>
  <c r="H13" i="36"/>
  <c r="AB13" i="36" s="1"/>
  <c r="J13" i="36"/>
  <c r="F13" i="36"/>
  <c r="E89" i="37"/>
  <c r="F89" i="37" s="1"/>
  <c r="G89" i="37"/>
  <c r="H89" i="37" s="1"/>
  <c r="I89" i="37" s="1"/>
  <c r="J89" i="37" s="1"/>
  <c r="K89" i="37" s="1"/>
  <c r="L89" i="37" s="1"/>
  <c r="M89" i="37" s="1"/>
  <c r="J29" i="37"/>
  <c r="W29" i="37"/>
  <c r="F29" i="37"/>
  <c r="AA29" i="37"/>
  <c r="AB36" i="37"/>
  <c r="F107" i="37"/>
  <c r="J37" i="37"/>
  <c r="AC37" i="37" s="1"/>
  <c r="H37" i="37"/>
  <c r="U37" i="37" s="1"/>
  <c r="H40" i="37"/>
  <c r="J40" i="37"/>
  <c r="F40" i="37"/>
  <c r="AA40" i="37"/>
  <c r="H44" i="33"/>
  <c r="U44" i="33" s="1"/>
  <c r="J44" i="33"/>
  <c r="AC44" i="33" s="1"/>
  <c r="F44" i="33"/>
  <c r="S44" i="33" s="1"/>
  <c r="J46" i="33"/>
  <c r="J13" i="34"/>
  <c r="H29" i="34"/>
  <c r="U29" i="34" s="1"/>
  <c r="H45" i="34"/>
  <c r="U45" i="34" s="1"/>
  <c r="F47" i="34"/>
  <c r="AA47" i="34" s="1"/>
  <c r="F13" i="35"/>
  <c r="J13" i="35"/>
  <c r="AC13" i="35" s="1"/>
  <c r="H13" i="35"/>
  <c r="U13" i="35" s="1"/>
  <c r="J25" i="35"/>
  <c r="AC25" i="35" s="1"/>
  <c r="F25" i="35"/>
  <c r="H25" i="35"/>
  <c r="AB25" i="35" s="1"/>
  <c r="J35" i="35"/>
  <c r="F35" i="35"/>
  <c r="S35" i="35" s="1"/>
  <c r="H35" i="35"/>
  <c r="U35" i="35" s="1"/>
  <c r="F25" i="36"/>
  <c r="AA25" i="36" s="1"/>
  <c r="H13" i="37"/>
  <c r="AB13" i="37" s="1"/>
  <c r="F13" i="37"/>
  <c r="S13" i="37" s="1"/>
  <c r="J13" i="37"/>
  <c r="AC13" i="37" s="1"/>
  <c r="F28" i="37"/>
  <c r="AA28" i="37" s="1"/>
  <c r="J28" i="37"/>
  <c r="H28" i="37"/>
  <c r="U28" i="37" s="1"/>
  <c r="H38" i="37"/>
  <c r="J38" i="37"/>
  <c r="AC38" i="37" s="1"/>
  <c r="F38" i="37"/>
  <c r="F14" i="37"/>
  <c r="AA14" i="37" s="1"/>
  <c r="F27" i="37"/>
  <c r="J14" i="37"/>
  <c r="W14" i="37" s="1"/>
  <c r="J27" i="37"/>
  <c r="AB13" i="35"/>
  <c r="J36" i="37"/>
  <c r="AC36" i="37" s="1"/>
  <c r="G105" i="37"/>
  <c r="AB28" i="36"/>
  <c r="AB13" i="21"/>
  <c r="AC30" i="21"/>
  <c r="AB30" i="21"/>
  <c r="W14" i="21"/>
  <c r="U36" i="37"/>
  <c r="S45" i="21"/>
  <c r="G529" i="3"/>
  <c r="G521" i="3"/>
  <c r="G513" i="3"/>
  <c r="G493" i="3"/>
  <c r="G485" i="3"/>
  <c r="G17" i="3"/>
  <c r="G565" i="3"/>
  <c r="G561" i="3"/>
  <c r="G557" i="3"/>
  <c r="G549" i="3"/>
  <c r="G545" i="3"/>
  <c r="G539" i="3"/>
  <c r="BL569" i="3"/>
  <c r="BL561" i="3"/>
  <c r="BL557" i="3"/>
  <c r="BL545" i="3"/>
  <c r="BL535" i="3"/>
  <c r="BL527" i="3"/>
  <c r="BL511" i="3"/>
  <c r="BL501" i="3"/>
  <c r="BL491" i="3"/>
  <c r="BL483" i="3"/>
  <c r="G16" i="3"/>
  <c r="BL559" i="3"/>
  <c r="BL555" i="3"/>
  <c r="BL551" i="3"/>
  <c r="BL525" i="3"/>
  <c r="G514" i="3"/>
  <c r="BL503" i="3"/>
  <c r="BL495" i="3"/>
  <c r="BL485" i="3"/>
  <c r="G18" i="3"/>
  <c r="BA569" i="3"/>
  <c r="AZ569" i="3" s="1"/>
  <c r="BA565" i="3"/>
  <c r="BA561" i="3"/>
  <c r="AZ561" i="3" s="1"/>
  <c r="BA559" i="3"/>
  <c r="BA557" i="3"/>
  <c r="AZ557" i="3"/>
  <c r="BA555" i="3"/>
  <c r="AZ555" i="3"/>
  <c r="BA551" i="3"/>
  <c r="AZ551" i="3"/>
  <c r="BA545" i="3"/>
  <c r="BA543" i="3"/>
  <c r="BA521" i="3"/>
  <c r="BA505" i="3"/>
  <c r="BA501" i="3"/>
  <c r="BA493" i="3"/>
  <c r="BA572" i="3"/>
  <c r="AZ572" i="3" s="1"/>
  <c r="BA566" i="3"/>
  <c r="BA562" i="3"/>
  <c r="AZ562" i="3" s="1"/>
  <c r="BA560" i="3"/>
  <c r="BA558" i="3"/>
  <c r="AZ558" i="3" s="1"/>
  <c r="BA556" i="3"/>
  <c r="BA554" i="3"/>
  <c r="BA550" i="3"/>
  <c r="BA546" i="3"/>
  <c r="BA544" i="3"/>
  <c r="AZ544" i="3" s="1"/>
  <c r="BA536" i="3"/>
  <c r="BA528" i="3"/>
  <c r="BA524" i="3"/>
  <c r="BA520" i="3"/>
  <c r="BA512" i="3"/>
  <c r="BA502" i="3"/>
  <c r="BA492" i="3"/>
  <c r="BA484" i="3"/>
  <c r="AZ545" i="3"/>
  <c r="G566" i="3"/>
  <c r="G562" i="3"/>
  <c r="G560" i="3"/>
  <c r="G558" i="3"/>
  <c r="G556" i="3"/>
  <c r="G554" i="3"/>
  <c r="G550" i="3"/>
  <c r="G546" i="3"/>
  <c r="BL543" i="3"/>
  <c r="AZ543" i="3"/>
  <c r="AC542" i="3"/>
  <c r="G542" i="3" s="1"/>
  <c r="BQ542" i="3"/>
  <c r="BQ568" i="3"/>
  <c r="BQ566" i="3"/>
  <c r="BQ564" i="3"/>
  <c r="BL564" i="3"/>
  <c r="BQ562" i="3"/>
  <c r="BL562" i="3"/>
  <c r="BQ560" i="3"/>
  <c r="BL560" i="3" s="1"/>
  <c r="AZ560" i="3" s="1"/>
  <c r="BQ558" i="3"/>
  <c r="BL558" i="3" s="1"/>
  <c r="BQ556" i="3"/>
  <c r="BL556" i="3" s="1"/>
  <c r="AZ556" i="3" s="1"/>
  <c r="BQ554" i="3"/>
  <c r="BQ552" i="3"/>
  <c r="BQ550" i="3"/>
  <c r="BL550" i="3" s="1"/>
  <c r="AZ550" i="3" s="1"/>
  <c r="BQ548" i="3"/>
  <c r="BQ546" i="3"/>
  <c r="BL546" i="3"/>
  <c r="AZ546" i="3" s="1"/>
  <c r="BQ544" i="3"/>
  <c r="BL544" i="3"/>
  <c r="G544" i="3"/>
  <c r="G538" i="3"/>
  <c r="G534" i="3"/>
  <c r="G530" i="3"/>
  <c r="G526" i="3"/>
  <c r="G522" i="3"/>
  <c r="BQ540" i="3"/>
  <c r="BQ538" i="3"/>
  <c r="BL538" i="3" s="1"/>
  <c r="BQ536" i="3"/>
  <c r="BL536" i="3" s="1"/>
  <c r="BQ534" i="3"/>
  <c r="BL534" i="3"/>
  <c r="BQ532" i="3"/>
  <c r="BL532" i="3"/>
  <c r="BQ530" i="3"/>
  <c r="BQ528" i="3"/>
  <c r="BL528" i="3" s="1"/>
  <c r="BQ526" i="3"/>
  <c r="BL526" i="3"/>
  <c r="BQ524" i="3"/>
  <c r="BL524" i="3"/>
  <c r="AZ524" i="3" s="1"/>
  <c r="BQ522" i="3"/>
  <c r="BQ520" i="3"/>
  <c r="BL520" i="3" s="1"/>
  <c r="BQ518" i="3"/>
  <c r="BQ516" i="3"/>
  <c r="BQ514" i="3"/>
  <c r="BL514" i="3"/>
  <c r="BQ512" i="3"/>
  <c r="BQ510" i="3"/>
  <c r="BQ508" i="3"/>
  <c r="AC506" i="3"/>
  <c r="G506" i="3" s="1"/>
  <c r="BQ506" i="3"/>
  <c r="G502" i="3"/>
  <c r="G498" i="3"/>
  <c r="BQ504" i="3"/>
  <c r="BQ502" i="3"/>
  <c r="BL502" i="3" s="1"/>
  <c r="AZ502" i="3" s="1"/>
  <c r="BQ500" i="3"/>
  <c r="BL500" i="3" s="1"/>
  <c r="BQ498" i="3"/>
  <c r="BQ496" i="3"/>
  <c r="AC494" i="3"/>
  <c r="G494" i="3" s="1"/>
  <c r="BQ494" i="3"/>
  <c r="BL493" i="3"/>
  <c r="G492" i="3"/>
  <c r="G488" i="3"/>
  <c r="G484" i="3"/>
  <c r="G20" i="3"/>
  <c r="BQ492" i="3"/>
  <c r="BL492" i="3"/>
  <c r="BQ490" i="3"/>
  <c r="BQ488" i="3"/>
  <c r="BQ486" i="3"/>
  <c r="BQ484" i="3"/>
  <c r="BL484" i="3"/>
  <c r="AZ484" i="3" s="1"/>
  <c r="BQ482" i="3"/>
  <c r="BL482" i="3"/>
  <c r="BQ20" i="3"/>
  <c r="BQ18" i="3"/>
  <c r="BQ5" i="3" s="1"/>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J25" i="21"/>
  <c r="AC25" i="21" s="1"/>
  <c r="E125" i="33"/>
  <c r="F125" i="33" s="1"/>
  <c r="G125" i="33" s="1"/>
  <c r="H43" i="33"/>
  <c r="U43" i="33"/>
  <c r="H17" i="37"/>
  <c r="U17" i="37"/>
  <c r="F23" i="37"/>
  <c r="S23" i="37"/>
  <c r="F79" i="37"/>
  <c r="AB27" i="37"/>
  <c r="F39" i="33"/>
  <c r="AA39" i="33" s="1"/>
  <c r="E123" i="33"/>
  <c r="F42" i="33"/>
  <c r="H28" i="34"/>
  <c r="AB28" i="34" s="1"/>
  <c r="F22" i="36"/>
  <c r="H35" i="34"/>
  <c r="U35" i="34" s="1"/>
  <c r="F41" i="34"/>
  <c r="H41" i="34"/>
  <c r="J41" i="34"/>
  <c r="F10" i="35"/>
  <c r="F24" i="35"/>
  <c r="H24" i="35"/>
  <c r="H23" i="37"/>
  <c r="AB23" i="37" s="1"/>
  <c r="J32" i="37"/>
  <c r="AC32" i="37" s="1"/>
  <c r="F36" i="37"/>
  <c r="S36" i="37" s="1"/>
  <c r="F37" i="37"/>
  <c r="AA37" i="37" s="1"/>
  <c r="U23" i="37"/>
  <c r="F123" i="33"/>
  <c r="G123" i="33" s="1"/>
  <c r="H123" i="33" s="1"/>
  <c r="I123" i="33" s="1"/>
  <c r="J123" i="33" s="1"/>
  <c r="K123" i="33" s="1"/>
  <c r="L123" i="33" s="1"/>
  <c r="M123" i="33" s="1"/>
  <c r="H42" i="33"/>
  <c r="J43" i="33"/>
  <c r="G79" i="37"/>
  <c r="J23" i="37"/>
  <c r="W23" i="37"/>
  <c r="F17" i="37"/>
  <c r="AA17" i="37"/>
  <c r="AB43" i="33"/>
  <c r="D3" i="21"/>
  <c r="AC12" i="35"/>
  <c r="W23" i="35"/>
  <c r="AC23" i="37"/>
  <c r="U39" i="37"/>
  <c r="AC8" i="37"/>
  <c r="S25" i="37"/>
  <c r="AC36" i="34"/>
  <c r="AB8" i="34"/>
  <c r="AC37" i="33"/>
  <c r="AA13" i="33"/>
  <c r="AC45" i="33"/>
  <c r="AC33" i="21"/>
  <c r="F43" i="33"/>
  <c r="AA43" i="33" s="1"/>
  <c r="AA23" i="37"/>
  <c r="AB44" i="33"/>
  <c r="G107" i="37"/>
  <c r="H107" i="37"/>
  <c r="I107" i="37" s="1"/>
  <c r="J107" i="37" s="1"/>
  <c r="K107" i="37" s="1"/>
  <c r="L107" i="37" s="1"/>
  <c r="M107" i="37" s="1"/>
  <c r="H19" i="34"/>
  <c r="AB19" i="34" s="1"/>
  <c r="J10" i="37"/>
  <c r="F36" i="35"/>
  <c r="J9" i="37"/>
  <c r="H9" i="37"/>
  <c r="F9" i="37"/>
  <c r="F11" i="37"/>
  <c r="S11" i="37" s="1"/>
  <c r="J12" i="37"/>
  <c r="AC12" i="37" s="1"/>
  <c r="H12" i="37"/>
  <c r="F12" i="37"/>
  <c r="AA12" i="37" s="1"/>
  <c r="H15" i="37"/>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G90" i="40" s="1"/>
  <c r="J21" i="40"/>
  <c r="AC21" i="40"/>
  <c r="S27" i="31"/>
  <c r="G483" i="3"/>
  <c r="G515" i="3"/>
  <c r="G507" i="3"/>
  <c r="G501" i="3"/>
  <c r="BA15" i="3"/>
  <c r="AZ15" i="3" s="1"/>
  <c r="BL17" i="3"/>
  <c r="BL15" i="3"/>
  <c r="BA14" i="3"/>
  <c r="AZ14" i="3"/>
  <c r="J57" i="39"/>
  <c r="H13" i="40"/>
  <c r="U13" i="40" s="1"/>
  <c r="H12" i="48"/>
  <c r="I4" i="4"/>
  <c r="K141" i="21"/>
  <c r="K143" i="21"/>
  <c r="K144" i="21"/>
  <c r="I59" i="40"/>
  <c r="C59" i="40" s="1"/>
  <c r="I60" i="40"/>
  <c r="C60" i="40" s="1"/>
  <c r="W9" i="33"/>
  <c r="G297" i="3"/>
  <c r="BL298" i="3"/>
  <c r="G299" i="3"/>
  <c r="BL300" i="3"/>
  <c r="BA302" i="3"/>
  <c r="AZ302" i="3" s="1"/>
  <c r="BA303" i="3"/>
  <c r="BL303" i="3"/>
  <c r="G304" i="3"/>
  <c r="BA305" i="3"/>
  <c r="AZ305" i="3"/>
  <c r="G321" i="3"/>
  <c r="BL322" i="3"/>
  <c r="G323" i="3"/>
  <c r="BL324" i="3"/>
  <c r="BA326" i="3"/>
  <c r="AZ326" i="3"/>
  <c r="BA327" i="3"/>
  <c r="BL327" i="3"/>
  <c r="AZ327" i="3" s="1"/>
  <c r="G328" i="3"/>
  <c r="BA329" i="3"/>
  <c r="G337" i="3"/>
  <c r="BL338" i="3"/>
  <c r="G339" i="3"/>
  <c r="BL340" i="3"/>
  <c r="BA342" i="3"/>
  <c r="AZ342" i="3"/>
  <c r="BA343" i="3"/>
  <c r="BL343" i="3"/>
  <c r="AZ343" i="3" s="1"/>
  <c r="G344" i="3"/>
  <c r="BA345" i="3"/>
  <c r="AZ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AZ359" i="3" s="1"/>
  <c r="G360" i="3"/>
  <c r="G361" i="3"/>
  <c r="BL362" i="3"/>
  <c r="BA364" i="3"/>
  <c r="AZ364" i="3"/>
  <c r="BA365" i="3"/>
  <c r="AZ365" i="3"/>
  <c r="BL365" i="3"/>
  <c r="G366" i="3"/>
  <c r="G369" i="3"/>
  <c r="BL370" i="3"/>
  <c r="BA372" i="3"/>
  <c r="AZ372" i="3" s="1"/>
  <c r="BA373" i="3"/>
  <c r="AZ373" i="3" s="1"/>
  <c r="BL373" i="3"/>
  <c r="G374" i="3"/>
  <c r="G377" i="3"/>
  <c r="BL378" i="3"/>
  <c r="BA380" i="3"/>
  <c r="AZ380" i="3" s="1"/>
  <c r="BA381" i="3"/>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AZ314" i="3" s="1"/>
  <c r="BL315" i="3"/>
  <c r="AZ315" i="3" s="1"/>
  <c r="G316" i="3"/>
  <c r="BA316" i="3"/>
  <c r="AZ316" i="3" s="1"/>
  <c r="BL317" i="3"/>
  <c r="AZ317" i="3" s="1"/>
  <c r="G318" i="3"/>
  <c r="BA320" i="3"/>
  <c r="AZ320" i="3" s="1"/>
  <c r="BL321" i="3"/>
  <c r="G322" i="3"/>
  <c r="BA324" i="3"/>
  <c r="BL325" i="3"/>
  <c r="AZ325" i="3" s="1"/>
  <c r="G326" i="3"/>
  <c r="BA328" i="3"/>
  <c r="AZ328" i="3" s="1"/>
  <c r="BL329" i="3"/>
  <c r="AZ329" i="3" s="1"/>
  <c r="G330" i="3"/>
  <c r="BA332" i="3"/>
  <c r="AZ332" i="3" s="1"/>
  <c r="BL333" i="3"/>
  <c r="G334" i="3"/>
  <c r="BA336" i="3"/>
  <c r="AZ336" i="3" s="1"/>
  <c r="BL337" i="3"/>
  <c r="AZ337" i="3" s="1"/>
  <c r="G338" i="3"/>
  <c r="BA340" i="3"/>
  <c r="AZ340" i="3" s="1"/>
  <c r="BL341" i="3"/>
  <c r="AZ341" i="3" s="1"/>
  <c r="G342" i="3"/>
  <c r="BA344" i="3"/>
  <c r="AZ344" i="3" s="1"/>
  <c r="BL345" i="3"/>
  <c r="G346" i="3"/>
  <c r="BA348" i="3"/>
  <c r="AZ348" i="3" s="1"/>
  <c r="BL349" i="3"/>
  <c r="AZ349" i="3" s="1"/>
  <c r="G350" i="3"/>
  <c r="BA352" i="3"/>
  <c r="AZ352" i="3" s="1"/>
  <c r="BL353" i="3"/>
  <c r="G354" i="3"/>
  <c r="BA356" i="3"/>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53" i="3"/>
  <c r="AZ363" i="3"/>
  <c r="G368" i="3"/>
  <c r="BA370" i="3"/>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A13" i="40"/>
  <c r="E78" i="40"/>
  <c r="F78" i="40"/>
  <c r="G78" i="40" s="1"/>
  <c r="H78" i="40"/>
  <c r="I78" i="40" s="1"/>
  <c r="J78" i="40" s="1"/>
  <c r="K78" i="40" s="1"/>
  <c r="L78" i="40" s="1"/>
  <c r="M78" i="40" s="1"/>
  <c r="R16" i="4"/>
  <c r="P16" i="4"/>
  <c r="D3" i="35"/>
  <c r="G4" i="4"/>
  <c r="J16" i="35"/>
  <c r="W16" i="35" s="1"/>
  <c r="AC26" i="36"/>
  <c r="W25" i="35"/>
  <c r="AZ322" i="3"/>
  <c r="H11" i="37"/>
  <c r="W37" i="37"/>
  <c r="AA36" i="37"/>
  <c r="U32" i="33"/>
  <c r="AB17" i="37"/>
  <c r="AC29" i="33"/>
  <c r="AA45" i="33"/>
  <c r="AC10" i="36"/>
  <c r="AC14" i="37"/>
  <c r="AB35" i="35"/>
  <c r="W44" i="33"/>
  <c r="AC29" i="37"/>
  <c r="U28" i="33"/>
  <c r="J33" i="34"/>
  <c r="AB36" i="34"/>
  <c r="J40" i="34"/>
  <c r="W40" i="34"/>
  <c r="F16" i="35"/>
  <c r="AA16" i="35"/>
  <c r="W42" i="33"/>
  <c r="J35" i="34"/>
  <c r="W35" i="34"/>
  <c r="F107" i="34"/>
  <c r="G107" i="34"/>
  <c r="H107" i="34" s="1"/>
  <c r="I107" i="34" s="1"/>
  <c r="J107" i="34" s="1"/>
  <c r="K107" i="34" s="1"/>
  <c r="L107" i="34" s="1"/>
  <c r="M107" i="34" s="1"/>
  <c r="S30" i="36"/>
  <c r="H16" i="36"/>
  <c r="G103" i="37"/>
  <c r="H103" i="37" s="1"/>
  <c r="I103" i="37" s="1"/>
  <c r="J103" i="37" s="1"/>
  <c r="K103" i="37" s="1"/>
  <c r="L103" i="37" s="1"/>
  <c r="M103" i="37" s="1"/>
  <c r="H35" i="37"/>
  <c r="AB35" i="37"/>
  <c r="AB12" i="21"/>
  <c r="AB26" i="21"/>
  <c r="U26" i="21"/>
  <c r="F40" i="21"/>
  <c r="H40" i="21"/>
  <c r="AB40" i="21" s="1"/>
  <c r="E119" i="21"/>
  <c r="F119" i="21" s="1"/>
  <c r="G119" i="21" s="1"/>
  <c r="H119" i="21" s="1"/>
  <c r="I119" i="21" s="1"/>
  <c r="J119" i="21" s="1"/>
  <c r="K119" i="21" s="1"/>
  <c r="L119" i="21" s="1"/>
  <c r="M119" i="21" s="1"/>
  <c r="AA8" i="33"/>
  <c r="S8" i="33"/>
  <c r="H66" i="33"/>
  <c r="I66" i="33" s="1"/>
  <c r="F10" i="33"/>
  <c r="AA10" i="33" s="1"/>
  <c r="F11" i="33"/>
  <c r="S11" i="33" s="1"/>
  <c r="J15" i="33"/>
  <c r="W15" i="33" s="1"/>
  <c r="F32" i="33"/>
  <c r="AA32" i="33"/>
  <c r="J32" i="33"/>
  <c r="AC32" i="33" s="1"/>
  <c r="F35" i="33"/>
  <c r="AA35" i="33"/>
  <c r="AB39" i="34"/>
  <c r="F11" i="34"/>
  <c r="S11" i="34" s="1"/>
  <c r="E80" i="34"/>
  <c r="F80" i="34" s="1"/>
  <c r="H1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F96" i="37"/>
  <c r="G96" i="37" s="1"/>
  <c r="H32" i="37"/>
  <c r="AB32" i="37"/>
  <c r="F43" i="39"/>
  <c r="H43" i="39"/>
  <c r="U43" i="39" s="1"/>
  <c r="J43" i="39"/>
  <c r="W43" i="39" s="1"/>
  <c r="F99" i="37"/>
  <c r="G99" i="37" s="1"/>
  <c r="H99" i="37" s="1"/>
  <c r="I99" i="37" s="1"/>
  <c r="J99" i="37" s="1"/>
  <c r="K99" i="37" s="1"/>
  <c r="L99" i="37" s="1"/>
  <c r="M99" i="37" s="1"/>
  <c r="U25" i="35"/>
  <c r="AC40" i="37"/>
  <c r="W40" i="37"/>
  <c r="AB29" i="35"/>
  <c r="U29" i="35"/>
  <c r="U43" i="34"/>
  <c r="AB43" i="34"/>
  <c r="AC34" i="37"/>
  <c r="AA35" i="37"/>
  <c r="BL571" i="3"/>
  <c r="BA571" i="3"/>
  <c r="AZ571" i="3"/>
  <c r="BL570" i="3"/>
  <c r="AZ570" i="3"/>
  <c r="F42" i="21"/>
  <c r="AA42" i="21" s="1"/>
  <c r="U40" i="33"/>
  <c r="AA35" i="34"/>
  <c r="S35" i="34"/>
  <c r="E90" i="34"/>
  <c r="H27" i="34"/>
  <c r="AB8" i="35"/>
  <c r="U8" i="35"/>
  <c r="S9" i="35"/>
  <c r="J14" i="35"/>
  <c r="AC14" i="35"/>
  <c r="F14" i="35"/>
  <c r="H14" i="35"/>
  <c r="E80" i="35"/>
  <c r="F80" i="35" s="1"/>
  <c r="G80" i="35" s="1"/>
  <c r="H80" i="35" s="1"/>
  <c r="I80" i="35" s="1"/>
  <c r="J80" i="35" s="1"/>
  <c r="K80" i="35" s="1"/>
  <c r="L80" i="35" s="1"/>
  <c r="M80" i="35" s="1"/>
  <c r="E94" i="35"/>
  <c r="F94" i="35"/>
  <c r="G94" i="35" s="1"/>
  <c r="H94" i="35" s="1"/>
  <c r="I94" i="35" s="1"/>
  <c r="J94" i="35" s="1"/>
  <c r="K94" i="35" s="1"/>
  <c r="L94" i="35" s="1"/>
  <c r="M94" i="35" s="1"/>
  <c r="J32" i="35"/>
  <c r="AC32" i="35" s="1"/>
  <c r="F11" i="36"/>
  <c r="S11" i="36" s="1"/>
  <c r="W16" i="36"/>
  <c r="AC16" i="36"/>
  <c r="E78" i="36"/>
  <c r="F78" i="36" s="1"/>
  <c r="G78" i="36"/>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21" i="39"/>
  <c r="H21" i="39"/>
  <c r="AB21" i="39" s="1"/>
  <c r="J21" i="39"/>
  <c r="F33" i="39"/>
  <c r="AA33" i="39" s="1"/>
  <c r="H33" i="39"/>
  <c r="U33" i="39"/>
  <c r="J33" i="39"/>
  <c r="F44" i="39"/>
  <c r="S44" i="39" s="1"/>
  <c r="H44" i="39"/>
  <c r="U44" i="39" s="1"/>
  <c r="J44" i="39"/>
  <c r="W44" i="39" s="1"/>
  <c r="E128" i="39"/>
  <c r="F128" i="39"/>
  <c r="G128" i="39" s="1"/>
  <c r="H128" i="39" s="1"/>
  <c r="I128" i="39" s="1"/>
  <c r="J128" i="39" s="1"/>
  <c r="K128" i="39" s="1"/>
  <c r="L128" i="39" s="1"/>
  <c r="M128" i="39" s="1"/>
  <c r="F46" i="39"/>
  <c r="S46" i="39"/>
  <c r="H46" i="39"/>
  <c r="U46" i="39"/>
  <c r="J46" i="39"/>
  <c r="W46" i="39"/>
  <c r="E103" i="39"/>
  <c r="F29" i="39" s="1"/>
  <c r="F39" i="39"/>
  <c r="S39" i="39" s="1"/>
  <c r="H39" i="39"/>
  <c r="AB39" i="39"/>
  <c r="J39" i="39"/>
  <c r="J29" i="35"/>
  <c r="F29" i="35"/>
  <c r="W30" i="36"/>
  <c r="AC30" i="36"/>
  <c r="F37" i="39"/>
  <c r="S37" i="39" s="1"/>
  <c r="H37" i="39"/>
  <c r="U37" i="39" s="1"/>
  <c r="J37" i="39"/>
  <c r="BL566" i="3"/>
  <c r="AZ566" i="3" s="1"/>
  <c r="BL565" i="3"/>
  <c r="AZ565" i="3" s="1"/>
  <c r="BA564" i="3"/>
  <c r="AZ564" i="3" s="1"/>
  <c r="BL554" i="3"/>
  <c r="BA552" i="3"/>
  <c r="BL549" i="3"/>
  <c r="AZ549" i="3" s="1"/>
  <c r="BA549" i="3"/>
  <c r="BL548" i="3"/>
  <c r="BA548" i="3"/>
  <c r="BL547" i="3"/>
  <c r="AZ547" i="3" s="1"/>
  <c r="BA547" i="3"/>
  <c r="BL539" i="3"/>
  <c r="BA539" i="3"/>
  <c r="AZ539" i="3"/>
  <c r="BA538" i="3"/>
  <c r="AZ538" i="3"/>
  <c r="BL537" i="3"/>
  <c r="BA537" i="3"/>
  <c r="AZ536" i="3"/>
  <c r="BA535" i="3"/>
  <c r="AZ535" i="3"/>
  <c r="BL530" i="3"/>
  <c r="BA530" i="3"/>
  <c r="AZ530" i="3" s="1"/>
  <c r="BL529" i="3"/>
  <c r="BA529" i="3"/>
  <c r="AZ528" i="3"/>
  <c r="BL523" i="3"/>
  <c r="BA523" i="3"/>
  <c r="AZ523" i="3" s="1"/>
  <c r="BL522" i="3"/>
  <c r="BA522" i="3"/>
  <c r="AZ522" i="3"/>
  <c r="BL521" i="3"/>
  <c r="AZ521" i="3"/>
  <c r="BA518" i="3"/>
  <c r="BL515" i="3"/>
  <c r="BA515" i="3"/>
  <c r="AZ515" i="3" s="1"/>
  <c r="BA514" i="3"/>
  <c r="AZ514" i="3"/>
  <c r="BL513" i="3"/>
  <c r="BA513" i="3"/>
  <c r="AZ513" i="3" s="1"/>
  <c r="BL512" i="3"/>
  <c r="AZ512" i="3" s="1"/>
  <c r="BA511" i="3"/>
  <c r="AZ511" i="3" s="1"/>
  <c r="BL509" i="3"/>
  <c r="BL505" i="3"/>
  <c r="BA503" i="3"/>
  <c r="AZ503" i="3" s="1"/>
  <c r="BA500" i="3"/>
  <c r="AZ500" i="3" s="1"/>
  <c r="BL499" i="3"/>
  <c r="BA496" i="3"/>
  <c r="BA495" i="3"/>
  <c r="AZ495" i="3" s="1"/>
  <c r="BL494" i="3"/>
  <c r="BA494" i="3"/>
  <c r="AZ494" i="3"/>
  <c r="BA491" i="3"/>
  <c r="AZ491" i="3" s="1"/>
  <c r="BL490" i="3"/>
  <c r="BA490" i="3"/>
  <c r="AZ490" i="3"/>
  <c r="BL487" i="3"/>
  <c r="BL486" i="3"/>
  <c r="BA486" i="3"/>
  <c r="BA485" i="3"/>
  <c r="BA483" i="3"/>
  <c r="AZ483" i="3" s="1"/>
  <c r="BA482" i="3"/>
  <c r="AZ482" i="3" s="1"/>
  <c r="BL481" i="3"/>
  <c r="BB5" i="3"/>
  <c r="BA18" i="3"/>
  <c r="F36" i="44"/>
  <c r="F114" i="34"/>
  <c r="G114" i="34"/>
  <c r="H114" i="34" s="1"/>
  <c r="I114" i="34"/>
  <c r="J114" i="34" s="1"/>
  <c r="K114" i="34" s="1"/>
  <c r="L114" i="34" s="1"/>
  <c r="M114" i="34" s="1"/>
  <c r="H38" i="34"/>
  <c r="U38" i="34"/>
  <c r="H30" i="40"/>
  <c r="AB30" i="40"/>
  <c r="G100" i="40"/>
  <c r="J30" i="40"/>
  <c r="F38" i="40"/>
  <c r="AA36" i="34"/>
  <c r="S34" i="21"/>
  <c r="AB8" i="33"/>
  <c r="U8" i="33"/>
  <c r="E106" i="33"/>
  <c r="H34" i="33"/>
  <c r="F34" i="33"/>
  <c r="S34" i="33" s="1"/>
  <c r="E121" i="33"/>
  <c r="F121" i="33" s="1"/>
  <c r="F41" i="33"/>
  <c r="S41" i="33" s="1"/>
  <c r="AC34" i="34"/>
  <c r="W34" i="34"/>
  <c r="S39" i="34"/>
  <c r="E78" i="34"/>
  <c r="F15" i="34"/>
  <c r="AC28" i="35"/>
  <c r="W28" i="35"/>
  <c r="J20" i="35"/>
  <c r="AC20" i="35" s="1"/>
  <c r="E72" i="35"/>
  <c r="F72" i="35" s="1"/>
  <c r="G72" i="35"/>
  <c r="H22" i="35"/>
  <c r="AB22" i="35"/>
  <c r="H23" i="35"/>
  <c r="F23" i="35"/>
  <c r="AB36" i="35"/>
  <c r="U36" i="35"/>
  <c r="W12" i="36"/>
  <c r="AC12" i="36"/>
  <c r="U31" i="36"/>
  <c r="S8" i="37"/>
  <c r="AA8" i="37"/>
  <c r="F14" i="39"/>
  <c r="AA14" i="39" s="1"/>
  <c r="H14" i="39"/>
  <c r="AB14" i="39" s="1"/>
  <c r="J14" i="39"/>
  <c r="AC14" i="39" s="1"/>
  <c r="F16" i="39"/>
  <c r="AA16" i="39" s="1"/>
  <c r="H16" i="39"/>
  <c r="U16" i="39" s="1"/>
  <c r="J16" i="39"/>
  <c r="E97" i="39"/>
  <c r="F15" i="40"/>
  <c r="AA15" i="40"/>
  <c r="J15" i="40"/>
  <c r="H15" i="40"/>
  <c r="E92" i="40"/>
  <c r="F92" i="40" s="1"/>
  <c r="G92" i="40" s="1"/>
  <c r="H23" i="40"/>
  <c r="U23" i="40" s="1"/>
  <c r="H41" i="40"/>
  <c r="AB41" i="40" s="1"/>
  <c r="F41" i="40"/>
  <c r="J41" i="40"/>
  <c r="W41" i="40" s="1"/>
  <c r="H37" i="34"/>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H34" i="40"/>
  <c r="U34" i="40" s="1"/>
  <c r="AZ391" i="3"/>
  <c r="AZ399" i="3"/>
  <c r="AZ403" i="3"/>
  <c r="AZ407" i="3"/>
  <c r="AZ415" i="3"/>
  <c r="AZ423" i="3"/>
  <c r="AZ431" i="3"/>
  <c r="AZ439" i="3"/>
  <c r="AZ454" i="3"/>
  <c r="B41" i="1"/>
  <c r="J42" i="40"/>
  <c r="J40" i="40"/>
  <c r="AC40" i="40" s="1"/>
  <c r="J34" i="40"/>
  <c r="H16" i="40"/>
  <c r="AB16" i="40" s="1"/>
  <c r="H14" i="40"/>
  <c r="F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W40" i="40"/>
  <c r="F34" i="44"/>
  <c r="F66" i="9"/>
  <c r="P72" i="9" s="1"/>
  <c r="F72" i="9"/>
  <c r="AC14" i="40"/>
  <c r="W35" i="40"/>
  <c r="S33" i="40"/>
  <c r="AB32" i="40"/>
  <c r="AC47" i="39"/>
  <c r="S47" i="39"/>
  <c r="U37" i="34"/>
  <c r="AB37" i="34"/>
  <c r="AC41" i="40"/>
  <c r="U41" i="40"/>
  <c r="J23" i="40"/>
  <c r="AC23" i="40"/>
  <c r="F23" i="40"/>
  <c r="S23" i="40" s="1"/>
  <c r="AC15" i="40"/>
  <c r="W15" i="40"/>
  <c r="AB16" i="39"/>
  <c r="U23" i="35"/>
  <c r="AB23" i="35"/>
  <c r="H20" i="35"/>
  <c r="F20" i="35"/>
  <c r="H15" i="34"/>
  <c r="AB15" i="34" s="1"/>
  <c r="F78" i="34"/>
  <c r="G78" i="34" s="1"/>
  <c r="J15" i="34"/>
  <c r="AC15" i="34" s="1"/>
  <c r="H41" i="33"/>
  <c r="U41" i="33" s="1"/>
  <c r="G121" i="33"/>
  <c r="H121" i="33" s="1"/>
  <c r="I121" i="33" s="1"/>
  <c r="J121" i="33" s="1"/>
  <c r="K121" i="33" s="1"/>
  <c r="L121" i="33" s="1"/>
  <c r="M121" i="33" s="1"/>
  <c r="F30" i="40"/>
  <c r="AA30" i="40"/>
  <c r="H100" i="40"/>
  <c r="I100" i="40"/>
  <c r="J100" i="40" s="1"/>
  <c r="K100" i="40"/>
  <c r="L100" i="40" s="1"/>
  <c r="M100" i="40" s="1"/>
  <c r="AB38" i="34"/>
  <c r="AZ486" i="3"/>
  <c r="AZ529" i="3"/>
  <c r="AZ537" i="3"/>
  <c r="AZ548" i="3"/>
  <c r="AB37" i="39"/>
  <c r="U39" i="39"/>
  <c r="J29" i="39"/>
  <c r="AC29" i="39" s="1"/>
  <c r="U21" i="39"/>
  <c r="AB33" i="36"/>
  <c r="AA14" i="35"/>
  <c r="S14" i="35"/>
  <c r="F33" i="37"/>
  <c r="AA33" i="37" s="1"/>
  <c r="U46" i="34"/>
  <c r="AC30" i="34"/>
  <c r="AA14" i="34"/>
  <c r="W12" i="34"/>
  <c r="U29" i="33"/>
  <c r="AC13" i="33"/>
  <c r="AA11" i="34"/>
  <c r="W32" i="33"/>
  <c r="H15" i="33"/>
  <c r="U15" i="33" s="1"/>
  <c r="AA11" i="33"/>
  <c r="U16" i="40"/>
  <c r="AB34" i="40"/>
  <c r="AB42" i="40"/>
  <c r="U42" i="40"/>
  <c r="AC16" i="40"/>
  <c r="W32" i="40"/>
  <c r="H25" i="40"/>
  <c r="AB25" i="40"/>
  <c r="U47" i="39"/>
  <c r="W15" i="39"/>
  <c r="J37" i="34"/>
  <c r="AC37" i="34"/>
  <c r="AB23" i="40"/>
  <c r="S16" i="39"/>
  <c r="S15" i="34"/>
  <c r="AA15" i="34"/>
  <c r="AA41" i="33"/>
  <c r="AA34" i="33"/>
  <c r="F106" i="33"/>
  <c r="G106" i="33"/>
  <c r="H106" i="33" s="1"/>
  <c r="I106" i="33" s="1"/>
  <c r="J106" i="33" s="1"/>
  <c r="K106" i="33" s="1"/>
  <c r="L106" i="33" s="1"/>
  <c r="M106" i="33" s="1"/>
  <c r="J34" i="33"/>
  <c r="AC34" i="33" s="1"/>
  <c r="U30" i="40"/>
  <c r="AC39" i="39"/>
  <c r="W39" i="39"/>
  <c r="AA39" i="39"/>
  <c r="AB46" i="39"/>
  <c r="AC33" i="39"/>
  <c r="W33" i="39"/>
  <c r="S33" i="39"/>
  <c r="W14" i="35"/>
  <c r="F90" i="34"/>
  <c r="G90" i="34"/>
  <c r="H90" i="34" s="1"/>
  <c r="I90" i="34"/>
  <c r="J90" i="34" s="1"/>
  <c r="K90" i="34" s="1"/>
  <c r="L90" i="34" s="1"/>
  <c r="M90" i="34" s="1"/>
  <c r="AA43" i="39"/>
  <c r="S43" i="39"/>
  <c r="H96" i="37"/>
  <c r="I96" i="37" s="1"/>
  <c r="J96" i="37" s="1"/>
  <c r="K96" i="37" s="1"/>
  <c r="L96" i="37" s="1"/>
  <c r="M96" i="37" s="1"/>
  <c r="F32" i="37"/>
  <c r="U11" i="35"/>
  <c r="AB11" i="35"/>
  <c r="S46" i="34"/>
  <c r="U32" i="34"/>
  <c r="U14" i="34"/>
  <c r="AC14" i="34"/>
  <c r="U12" i="34"/>
  <c r="AB13" i="33"/>
  <c r="G80" i="34"/>
  <c r="F17" i="34"/>
  <c r="AA17" i="34"/>
  <c r="J17" i="34"/>
  <c r="AC17" i="34"/>
  <c r="H11" i="34"/>
  <c r="AB11" i="34"/>
  <c r="J35" i="33"/>
  <c r="W35" i="33"/>
  <c r="S32" i="33"/>
  <c r="H11" i="33"/>
  <c r="U11" i="33" s="1"/>
  <c r="H10" i="33"/>
  <c r="U10" i="33" s="1"/>
  <c r="J10" i="33"/>
  <c r="AC10" i="33" s="1"/>
  <c r="U40" i="21"/>
  <c r="AC13" i="40"/>
  <c r="J11" i="34"/>
  <c r="S17" i="34"/>
  <c r="F25" i="40"/>
  <c r="J11" i="33"/>
  <c r="H33" i="37"/>
  <c r="W15" i="34"/>
  <c r="U20" i="35"/>
  <c r="AB20" i="35"/>
  <c r="W23" i="40"/>
  <c r="AP11" i="1"/>
  <c r="B11" i="1"/>
  <c r="E11" i="1"/>
  <c r="K11" i="1"/>
  <c r="M11" i="1" s="1"/>
  <c r="B9" i="1"/>
  <c r="E9" i="1" s="1"/>
  <c r="K9" i="1"/>
  <c r="M9" i="1" s="1"/>
  <c r="B7" i="1"/>
  <c r="E7" i="1" s="1"/>
  <c r="K7" i="1"/>
  <c r="M7" i="1" s="1"/>
  <c r="C20" i="43"/>
  <c r="F6" i="1"/>
  <c r="AP6" i="1" s="1"/>
  <c r="G11" i="1"/>
  <c r="M22" i="44"/>
  <c r="F32" i="15"/>
  <c r="F59" i="15" s="1"/>
  <c r="F29" i="12"/>
  <c r="F70" i="9"/>
  <c r="D86" i="9"/>
  <c r="M20" i="44"/>
  <c r="F31" i="43"/>
  <c r="F30" i="44"/>
  <c r="S23" i="36"/>
  <c r="S8" i="36"/>
  <c r="AA26" i="36"/>
  <c r="AA28" i="36"/>
  <c r="H20" i="36"/>
  <c r="J20" i="36"/>
  <c r="AC20" i="36" s="1"/>
  <c r="F20" i="36"/>
  <c r="S20" i="36" s="1"/>
  <c r="F62" i="36"/>
  <c r="G62" i="36" s="1"/>
  <c r="J14" i="36"/>
  <c r="AC14" i="36" s="1"/>
  <c r="H14" i="36"/>
  <c r="F14" i="36"/>
  <c r="AA14" i="36" s="1"/>
  <c r="U27" i="36"/>
  <c r="AB12" i="36"/>
  <c r="U9" i="36"/>
  <c r="S33" i="36"/>
  <c r="AA27" i="36"/>
  <c r="S16" i="36"/>
  <c r="S29" i="36"/>
  <c r="U22" i="35"/>
  <c r="S8" i="35"/>
  <c r="U33" i="35"/>
  <c r="S16" i="35"/>
  <c r="AC10" i="35"/>
  <c r="W13" i="35"/>
  <c r="AC18" i="35"/>
  <c r="W18" i="35"/>
  <c r="U18" i="35"/>
  <c r="AB18" i="35"/>
  <c r="S30" i="35"/>
  <c r="AA35" i="35"/>
  <c r="AB30" i="35"/>
  <c r="S27" i="35"/>
  <c r="S28" i="35"/>
  <c r="W12" i="37"/>
  <c r="S17" i="37"/>
  <c r="AB37" i="37"/>
  <c r="AA31" i="37"/>
  <c r="S33" i="37"/>
  <c r="U32" i="37"/>
  <c r="J33" i="37"/>
  <c r="W33" i="37" s="1"/>
  <c r="S29" i="37"/>
  <c r="J19" i="37"/>
  <c r="AC19" i="37"/>
  <c r="G75" i="37"/>
  <c r="F19" i="37"/>
  <c r="H19" i="37"/>
  <c r="AB19" i="37" s="1"/>
  <c r="J17" i="37"/>
  <c r="S15" i="37"/>
  <c r="AC21" i="37"/>
  <c r="W21" i="37"/>
  <c r="AC11" i="37"/>
  <c r="U35" i="37"/>
  <c r="U8" i="37"/>
  <c r="AB25" i="37"/>
  <c r="AB21" i="37"/>
  <c r="U21" i="37"/>
  <c r="S40" i="37"/>
  <c r="AA11" i="37"/>
  <c r="S10" i="37"/>
  <c r="W46" i="34"/>
  <c r="AA40" i="34"/>
  <c r="U30" i="34"/>
  <c r="S32" i="34"/>
  <c r="AB33" i="34"/>
  <c r="AA12" i="34"/>
  <c r="AC35" i="34"/>
  <c r="AA30" i="34"/>
  <c r="AC32" i="34"/>
  <c r="AA33" i="34"/>
  <c r="U44" i="34"/>
  <c r="U28" i="34"/>
  <c r="J25" i="34"/>
  <c r="W25" i="34" s="1"/>
  <c r="H25" i="34"/>
  <c r="F25" i="34"/>
  <c r="AA25" i="34" s="1"/>
  <c r="J23" i="34"/>
  <c r="F23" i="34"/>
  <c r="AA23" i="34" s="1"/>
  <c r="H23" i="34"/>
  <c r="W17" i="34"/>
  <c r="U11" i="34"/>
  <c r="W10" i="34"/>
  <c r="U10" i="34"/>
  <c r="W37" i="34"/>
  <c r="AC40" i="34"/>
  <c r="W44" i="34"/>
  <c r="W19" i="34"/>
  <c r="AC21" i="34"/>
  <c r="W21" i="34"/>
  <c r="U15" i="34"/>
  <c r="AB21" i="34"/>
  <c r="U21" i="34"/>
  <c r="U19" i="34"/>
  <c r="S9" i="34"/>
  <c r="S10" i="34"/>
  <c r="U37" i="33"/>
  <c r="S35" i="33"/>
  <c r="AB11" i="33"/>
  <c r="AC35" i="33"/>
  <c r="S29" i="33"/>
  <c r="W31" i="33"/>
  <c r="W39" i="33"/>
  <c r="U35" i="33"/>
  <c r="W26" i="33"/>
  <c r="AB26" i="33"/>
  <c r="H25" i="33"/>
  <c r="J25" i="33"/>
  <c r="F25" i="33"/>
  <c r="AA25" i="33" s="1"/>
  <c r="J23" i="33"/>
  <c r="AC23" i="33" s="1"/>
  <c r="F23" i="33"/>
  <c r="S23" i="33" s="1"/>
  <c r="H23" i="33"/>
  <c r="AB23" i="33" s="1"/>
  <c r="S10" i="33"/>
  <c r="AC21" i="33"/>
  <c r="W21" i="33"/>
  <c r="AB21" i="33"/>
  <c r="U21" i="33"/>
  <c r="AA21" i="33"/>
  <c r="S21" i="33"/>
  <c r="AA44" i="33"/>
  <c r="AC26" i="21"/>
  <c r="H23" i="21"/>
  <c r="U23" i="21" s="1"/>
  <c r="W13" i="21"/>
  <c r="AC38" i="21"/>
  <c r="AB21" i="21"/>
  <c r="U21" i="21"/>
  <c r="AB29" i="21"/>
  <c r="AA30" i="21"/>
  <c r="AA31" i="21"/>
  <c r="W33" i="40"/>
  <c r="U33" i="40"/>
  <c r="S35" i="40"/>
  <c r="S14" i="40"/>
  <c r="S15" i="40"/>
  <c r="S16" i="40"/>
  <c r="W11" i="40"/>
  <c r="AA21" i="40"/>
  <c r="U21" i="40"/>
  <c r="W25" i="40"/>
  <c r="U25" i="40"/>
  <c r="U35" i="40"/>
  <c r="F37" i="40"/>
  <c r="J37" i="40"/>
  <c r="H37" i="40"/>
  <c r="U37" i="40" s="1"/>
  <c r="G113" i="40"/>
  <c r="H113" i="40"/>
  <c r="I113" i="40" s="1"/>
  <c r="J113" i="40"/>
  <c r="K113" i="40" s="1"/>
  <c r="L113" i="40" s="1"/>
  <c r="M113" i="40" s="1"/>
  <c r="F39" i="40"/>
  <c r="AA39" i="40" s="1"/>
  <c r="H39" i="40"/>
  <c r="AB39" i="40" s="1"/>
  <c r="J39" i="40"/>
  <c r="W38" i="40"/>
  <c r="F29" i="40"/>
  <c r="H29" i="40"/>
  <c r="U29" i="40" s="1"/>
  <c r="J29" i="40"/>
  <c r="F98" i="40"/>
  <c r="G98" i="40" s="1"/>
  <c r="H98" i="40"/>
  <c r="I98" i="40" s="1"/>
  <c r="J98" i="40" s="1"/>
  <c r="K98" i="40" s="1"/>
  <c r="L98" i="40" s="1"/>
  <c r="M98" i="40" s="1"/>
  <c r="S30" i="40"/>
  <c r="AA23" i="40"/>
  <c r="F88" i="40"/>
  <c r="G88" i="40"/>
  <c r="F19" i="40"/>
  <c r="H19" i="40"/>
  <c r="AB19" i="40" s="1"/>
  <c r="J19" i="40"/>
  <c r="W17" i="40"/>
  <c r="AC17" i="40"/>
  <c r="F17" i="40"/>
  <c r="AA17" i="40" s="1"/>
  <c r="H17" i="40"/>
  <c r="W21" i="40"/>
  <c r="U10" i="40"/>
  <c r="U27" i="40"/>
  <c r="AB27" i="40"/>
  <c r="S11" i="39"/>
  <c r="AB45" i="39"/>
  <c r="AC38" i="39"/>
  <c r="U11" i="39"/>
  <c r="AB38" i="39"/>
  <c r="U31" i="39"/>
  <c r="AB31" i="39"/>
  <c r="S38" i="39"/>
  <c r="M20" i="15"/>
  <c r="D96" i="9"/>
  <c r="F28" i="15"/>
  <c r="M18" i="15"/>
  <c r="A18" i="64"/>
  <c r="B74" i="63"/>
  <c r="C53" i="10"/>
  <c r="A25" i="64" s="1"/>
  <c r="A18" i="51"/>
  <c r="B14" i="63" s="1"/>
  <c r="BA16" i="3"/>
  <c r="AZ16" i="3" s="1"/>
  <c r="BA17" i="3"/>
  <c r="AZ17" i="3"/>
  <c r="F3" i="35"/>
  <c r="K1" i="43"/>
  <c r="K1" i="12"/>
  <c r="G1" i="44"/>
  <c r="BK5" i="3"/>
  <c r="BL18" i="3"/>
  <c r="AZ18" i="3" s="1"/>
  <c r="BR5" i="3"/>
  <c r="BL16" i="3"/>
  <c r="BA13" i="3"/>
  <c r="G28" i="12"/>
  <c r="G22" i="43"/>
  <c r="G26" i="12"/>
  <c r="D24" i="44"/>
  <c r="D26" i="44"/>
  <c r="G27" i="12"/>
  <c r="G23" i="43"/>
  <c r="G21" i="43"/>
  <c r="N8" i="46"/>
  <c r="N4" i="46"/>
  <c r="N1" i="46"/>
  <c r="F47"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s="1"/>
  <c r="A4" i="64"/>
  <c r="A4" i="51"/>
  <c r="B6" i="63" s="1"/>
  <c r="C51" i="10"/>
  <c r="I100" i="46"/>
  <c r="C24" i="46"/>
  <c r="N100" i="46"/>
  <c r="H100" i="46"/>
  <c r="F108" i="46"/>
  <c r="H80" i="46"/>
  <c r="E100" i="46"/>
  <c r="G100" i="46"/>
  <c r="H84" i="46"/>
  <c r="C100" i="46"/>
  <c r="J100" i="46"/>
  <c r="M100" i="46"/>
  <c r="AA12" i="36"/>
  <c r="U12" i="35"/>
  <c r="AB12" i="35"/>
  <c r="AA11" i="35"/>
  <c r="S14" i="37"/>
  <c r="U13" i="37"/>
  <c r="S13" i="21"/>
  <c r="C24" i="9"/>
  <c r="C25" i="9"/>
  <c r="G9" i="1"/>
  <c r="G8" i="1"/>
  <c r="I20" i="46"/>
  <c r="L5" i="54"/>
  <c r="B39" i="63"/>
  <c r="K5" i="54"/>
  <c r="B38" i="63"/>
  <c r="T41" i="4"/>
  <c r="A17" i="64"/>
  <c r="B46" i="50"/>
  <c r="B4" i="63"/>
  <c r="C46" i="36"/>
  <c r="C48" i="35"/>
  <c r="D48" i="35" s="1"/>
  <c r="C52" i="37"/>
  <c r="D52" i="37" s="1"/>
  <c r="O19" i="46"/>
  <c r="H86" i="46"/>
  <c r="H82" i="46"/>
  <c r="H10" i="48"/>
  <c r="H87" i="46"/>
  <c r="H85" i="46"/>
  <c r="H83" i="46"/>
  <c r="K10" i="1"/>
  <c r="M10" i="1" s="1"/>
  <c r="O10" i="1" s="1"/>
  <c r="P10" i="1" s="1"/>
  <c r="S11" i="1"/>
  <c r="R11" i="1"/>
  <c r="S13" i="1"/>
  <c r="R13" i="1"/>
  <c r="B6" i="1"/>
  <c r="E6" i="1" s="1"/>
  <c r="B10" i="1"/>
  <c r="E10" i="1"/>
  <c r="S10" i="1"/>
  <c r="B8" i="1"/>
  <c r="E8" i="1" s="1"/>
  <c r="B12" i="1"/>
  <c r="E12" i="1" s="1"/>
  <c r="S12" i="1"/>
  <c r="K6" i="1"/>
  <c r="M6" i="1" s="1"/>
  <c r="O6" i="1" s="1"/>
  <c r="P6" i="1" s="1"/>
  <c r="G1" i="15"/>
  <c r="F66" i="36"/>
  <c r="H18" i="36"/>
  <c r="U18" i="36" s="1"/>
  <c r="S25" i="36"/>
  <c r="AA34" i="36"/>
  <c r="U23" i="36"/>
  <c r="W28" i="36"/>
  <c r="U13" i="36"/>
  <c r="U10" i="36"/>
  <c r="W29" i="36"/>
  <c r="W9" i="36"/>
  <c r="S9" i="36"/>
  <c r="W8" i="36"/>
  <c r="AC30" i="35"/>
  <c r="AA33" i="35"/>
  <c r="U32" i="35"/>
  <c r="W22" i="35"/>
  <c r="S32" i="35"/>
  <c r="W35" i="37"/>
  <c r="AC15" i="37"/>
  <c r="AA13" i="37"/>
  <c r="S12" i="37"/>
  <c r="W38" i="37"/>
  <c r="W36" i="37"/>
  <c r="U26" i="37"/>
  <c r="AB28" i="37"/>
  <c r="S28" i="37"/>
  <c r="W13" i="37"/>
  <c r="S26" i="37"/>
  <c r="AB35" i="34"/>
  <c r="S19" i="34"/>
  <c r="S8" i="34"/>
  <c r="S26" i="33"/>
  <c r="AB12" i="33"/>
  <c r="S15" i="33"/>
  <c r="S9" i="33"/>
  <c r="S39" i="21"/>
  <c r="AB25" i="21"/>
  <c r="W25" i="21"/>
  <c r="AA29" i="21"/>
  <c r="W31" i="21"/>
  <c r="W29" i="21"/>
  <c r="G96" i="40"/>
  <c r="J27" i="40"/>
  <c r="AC27" i="40" s="1"/>
  <c r="S34" i="40"/>
  <c r="U38" i="40"/>
  <c r="S40" i="40"/>
  <c r="S42" i="40"/>
  <c r="J31" i="39"/>
  <c r="W31" i="39" s="1"/>
  <c r="S45" i="39"/>
  <c r="AB33" i="39"/>
  <c r="AC46" i="39"/>
  <c r="W42" i="39"/>
  <c r="W36" i="39"/>
  <c r="U14" i="39"/>
  <c r="S15" i="39"/>
  <c r="W45" i="39"/>
  <c r="AA46" i="39"/>
  <c r="W10" i="39"/>
  <c r="W11" i="39"/>
  <c r="U42" i="39"/>
  <c r="W40" i="39"/>
  <c r="C27" i="39"/>
  <c r="C17" i="40"/>
  <c r="C19" i="40"/>
  <c r="C17" i="39"/>
  <c r="C19" i="39"/>
  <c r="C23" i="40"/>
  <c r="B48" i="46"/>
  <c r="B51" i="46"/>
  <c r="B59" i="46"/>
  <c r="B62" i="46"/>
  <c r="B66" i="46"/>
  <c r="B53" i="46"/>
  <c r="B64" i="46"/>
  <c r="D24" i="15"/>
  <c r="S14" i="36"/>
  <c r="AA20" i="36"/>
  <c r="W14" i="36"/>
  <c r="U14" i="36"/>
  <c r="AB14" i="36"/>
  <c r="AB18" i="36"/>
  <c r="W19" i="37"/>
  <c r="U19" i="37"/>
  <c r="AC17" i="37"/>
  <c r="W17" i="37"/>
  <c r="U25" i="34"/>
  <c r="AB25" i="34"/>
  <c r="S25" i="34"/>
  <c r="AC25" i="34"/>
  <c r="U23" i="34"/>
  <c r="AB23" i="34"/>
  <c r="S23" i="34"/>
  <c r="AC23" i="34"/>
  <c r="W23" i="34"/>
  <c r="U39" i="40"/>
  <c r="AC39" i="40"/>
  <c r="W39" i="40"/>
  <c r="AB37" i="40"/>
  <c r="AA37" i="40"/>
  <c r="S37" i="40"/>
  <c r="AB29" i="40"/>
  <c r="AC29" i="40"/>
  <c r="W29" i="40"/>
  <c r="AA29" i="40"/>
  <c r="S29" i="40"/>
  <c r="W19" i="40"/>
  <c r="AC19" i="40"/>
  <c r="AA19" i="40"/>
  <c r="S19" i="40"/>
  <c r="U19" i="40"/>
  <c r="A17" i="51"/>
  <c r="B13" i="63"/>
  <c r="E5" i="6"/>
  <c r="D21" i="12" s="1"/>
  <c r="C21" i="12" s="1"/>
  <c r="AT6" i="3"/>
  <c r="A9" i="64"/>
  <c r="A9" i="51"/>
  <c r="B9" i="63" s="1"/>
  <c r="A25" i="51"/>
  <c r="B18" i="63" s="1"/>
  <c r="A3" i="55"/>
  <c r="B56" i="63"/>
  <c r="E4" i="4"/>
  <c r="B21" i="55" s="1"/>
  <c r="B72" i="63" s="1"/>
  <c r="C4" i="4"/>
  <c r="B20" i="55" s="1"/>
  <c r="B70" i="63" s="1"/>
  <c r="G66" i="36"/>
  <c r="J18" i="36"/>
  <c r="AC18" i="36" s="1"/>
  <c r="AE6" i="1"/>
  <c r="AG6" i="1"/>
  <c r="L20" i="6"/>
  <c r="S9" i="1"/>
  <c r="R9" i="1"/>
  <c r="C45" i="9"/>
  <c r="H14" i="66" s="1"/>
  <c r="B7" i="66" s="1"/>
  <c r="O40" i="9"/>
  <c r="K31" i="9"/>
  <c r="K32" i="9" s="1"/>
  <c r="R7" i="54"/>
  <c r="B52" i="63" s="1"/>
  <c r="N76" i="9"/>
  <c r="C46" i="9"/>
  <c r="K33" i="9" s="1"/>
  <c r="K34" i="9" s="1"/>
  <c r="O41" i="9"/>
  <c r="R8" i="54"/>
  <c r="B54" i="63" s="1"/>
  <c r="M26" i="15"/>
  <c r="F39" i="44"/>
  <c r="B9" i="67"/>
  <c r="F10" i="67"/>
  <c r="F16" i="15"/>
  <c r="E9" i="67"/>
  <c r="N6" i="65"/>
  <c r="N5" i="65"/>
  <c r="E12" i="67"/>
  <c r="F36" i="15"/>
  <c r="F6" i="15"/>
  <c r="M29" i="15"/>
  <c r="N3" i="65"/>
  <c r="M22" i="15"/>
  <c r="B14" i="67"/>
  <c r="M11" i="44"/>
  <c r="M6" i="15"/>
  <c r="F12" i="67"/>
  <c r="M28" i="15"/>
  <c r="F14" i="67"/>
  <c r="F18" i="44"/>
  <c r="N7" i="65"/>
  <c r="F7" i="15"/>
  <c r="M23" i="44"/>
  <c r="F13" i="15"/>
  <c r="B12" i="67"/>
  <c r="F8" i="67"/>
  <c r="J36" i="15"/>
  <c r="F11" i="44"/>
  <c r="L47" i="15"/>
  <c r="F40" i="15"/>
  <c r="F9" i="67"/>
  <c r="E14" i="67"/>
  <c r="B10" i="67"/>
  <c r="F43" i="15"/>
  <c r="F38" i="15"/>
  <c r="E8" i="67"/>
  <c r="M25" i="44"/>
  <c r="F37" i="15"/>
  <c r="N4" i="65"/>
  <c r="C19" i="44"/>
  <c r="F45" i="44"/>
  <c r="F13" i="67"/>
  <c r="E10" i="67"/>
  <c r="M9" i="15"/>
  <c r="F15" i="44"/>
  <c r="F26" i="15"/>
  <c r="F40" i="44"/>
  <c r="L48" i="15"/>
  <c r="M8" i="15"/>
  <c r="B11" i="67"/>
  <c r="M24" i="15"/>
  <c r="J15" i="15"/>
  <c r="B8" i="67"/>
  <c r="F8" i="15"/>
  <c r="M24" i="44"/>
  <c r="M26" i="44"/>
  <c r="F9" i="44"/>
  <c r="F42" i="15"/>
  <c r="B13" i="67"/>
  <c r="F38" i="44"/>
  <c r="L48" i="44"/>
  <c r="F11" i="67"/>
  <c r="M8" i="44"/>
  <c r="F9" i="15"/>
  <c r="M27" i="15"/>
  <c r="E13" i="67"/>
  <c r="E11" i="67"/>
  <c r="L49" i="44"/>
  <c r="M23" i="15"/>
  <c r="S40" i="39" l="1"/>
  <c r="C18" i="9"/>
  <c r="H111" i="33"/>
  <c r="I111" i="33" s="1"/>
  <c r="J111" i="33" s="1"/>
  <c r="K111" i="33" s="1"/>
  <c r="L111" i="33" s="1"/>
  <c r="M111" i="33" s="1"/>
  <c r="J36" i="33"/>
  <c r="W36" i="33" s="1"/>
  <c r="F36" i="33"/>
  <c r="H36" i="33"/>
  <c r="F81" i="33"/>
  <c r="G81" i="33" s="1"/>
  <c r="J19" i="33"/>
  <c r="H19" i="33"/>
  <c r="AB19" i="33" s="1"/>
  <c r="F19" i="33"/>
  <c r="F79" i="33"/>
  <c r="G79" i="33" s="1"/>
  <c r="H17" i="33"/>
  <c r="U17" i="33" s="1"/>
  <c r="F17" i="33"/>
  <c r="AA17" i="33" s="1"/>
  <c r="J17" i="33"/>
  <c r="W17" i="33" s="1"/>
  <c r="W34" i="33"/>
  <c r="AB41" i="33"/>
  <c r="AC36" i="33"/>
  <c r="S28" i="33"/>
  <c r="S39" i="33"/>
  <c r="U39" i="33"/>
  <c r="AA27" i="33"/>
  <c r="S25" i="33"/>
  <c r="AA23" i="33"/>
  <c r="W23" i="33"/>
  <c r="U23" i="33"/>
  <c r="U19" i="33"/>
  <c r="S17" i="33"/>
  <c r="AC17" i="33"/>
  <c r="AC15" i="33"/>
  <c r="AB15" i="33"/>
  <c r="AB10" i="33"/>
  <c r="W10" i="33"/>
  <c r="AZ567" i="3"/>
  <c r="AZ508" i="3"/>
  <c r="AZ506" i="3"/>
  <c r="AZ489" i="3"/>
  <c r="AZ516" i="3"/>
  <c r="B20" i="31"/>
  <c r="R22" i="31"/>
  <c r="B21" i="31" s="1"/>
  <c r="W18" i="36"/>
  <c r="AC37" i="40"/>
  <c r="W37" i="40"/>
  <c r="W25" i="33"/>
  <c r="AC25" i="33"/>
  <c r="AA19" i="37"/>
  <c r="S19" i="37"/>
  <c r="AA25" i="40"/>
  <c r="S25" i="40"/>
  <c r="U14" i="40"/>
  <c r="AB14" i="40"/>
  <c r="AC34" i="40"/>
  <c r="W34" i="40"/>
  <c r="AC42" i="40"/>
  <c r="W42" i="40"/>
  <c r="U40" i="40"/>
  <c r="AB40" i="40"/>
  <c r="AB15" i="40"/>
  <c r="U15" i="40"/>
  <c r="F23" i="39"/>
  <c r="AA23" i="39" s="1"/>
  <c r="H23" i="39"/>
  <c r="AB23" i="39" s="1"/>
  <c r="F97" i="39"/>
  <c r="G97" i="39" s="1"/>
  <c r="AA23" i="35"/>
  <c r="S23" i="35"/>
  <c r="U34" i="33"/>
  <c r="AB34" i="33"/>
  <c r="AB27" i="34"/>
  <c r="U27" i="34"/>
  <c r="S9" i="37"/>
  <c r="AA9" i="37"/>
  <c r="U42" i="33"/>
  <c r="AB42" i="33"/>
  <c r="AA10" i="35"/>
  <c r="S10" i="35"/>
  <c r="S13" i="36"/>
  <c r="AA13" i="36"/>
  <c r="U45" i="21"/>
  <c r="AB45" i="21"/>
  <c r="U31" i="21"/>
  <c r="AB31" i="21"/>
  <c r="W33" i="35"/>
  <c r="AC33" i="35"/>
  <c r="S44" i="34"/>
  <c r="AA44" i="34"/>
  <c r="AA37" i="34"/>
  <c r="S37" i="34"/>
  <c r="W27" i="36"/>
  <c r="AC27" i="36"/>
  <c r="AB8" i="21"/>
  <c r="U8" i="21"/>
  <c r="J12" i="33"/>
  <c r="F12" i="33"/>
  <c r="H14" i="33"/>
  <c r="F14" i="33"/>
  <c r="J14" i="33"/>
  <c r="H30" i="33"/>
  <c r="F30" i="33"/>
  <c r="J30" i="33"/>
  <c r="AA46" i="33"/>
  <c r="S46" i="33"/>
  <c r="H13" i="34"/>
  <c r="F13" i="34"/>
  <c r="S29" i="34"/>
  <c r="AA29" i="34"/>
  <c r="J31" i="34"/>
  <c r="F31" i="34"/>
  <c r="H47" i="34"/>
  <c r="J47" i="34"/>
  <c r="W24" i="36"/>
  <c r="AC24" i="36"/>
  <c r="J25" i="36"/>
  <c r="H25" i="36"/>
  <c r="C79" i="35"/>
  <c r="J26" i="35" s="1"/>
  <c r="F26" i="35"/>
  <c r="U30" i="36"/>
  <c r="AB30" i="36"/>
  <c r="BA568" i="3"/>
  <c r="AZ568" i="3" s="1"/>
  <c r="BL542" i="3"/>
  <c r="BA542" i="3"/>
  <c r="AZ542" i="3" s="1"/>
  <c r="BA541" i="3"/>
  <c r="AZ541" i="3" s="1"/>
  <c r="BL533" i="3"/>
  <c r="BA533" i="3"/>
  <c r="BL531" i="3"/>
  <c r="BA531" i="3"/>
  <c r="BA525" i="3"/>
  <c r="AZ525" i="3" s="1"/>
  <c r="BA517" i="3"/>
  <c r="AZ517" i="3" s="1"/>
  <c r="BA509" i="3"/>
  <c r="AZ509" i="3" s="1"/>
  <c r="BL506" i="3"/>
  <c r="BA504" i="3"/>
  <c r="AZ504" i="3" s="1"/>
  <c r="BL498" i="3"/>
  <c r="BA498" i="3"/>
  <c r="AZ498" i="3" s="1"/>
  <c r="BL496" i="3"/>
  <c r="BN5" i="3"/>
  <c r="G29" i="6" s="1"/>
  <c r="BL489" i="3"/>
  <c r="BL488" i="3"/>
  <c r="AZ488" i="3" s="1"/>
  <c r="BA20" i="3"/>
  <c r="AZ20" i="3" s="1"/>
  <c r="BS5" i="3"/>
  <c r="F28" i="6" s="1"/>
  <c r="BO5" i="3"/>
  <c r="F29" i="6" s="1"/>
  <c r="BJ5" i="3"/>
  <c r="BA19" i="3"/>
  <c r="AZ19" i="3" s="1"/>
  <c r="G15" i="3"/>
  <c r="AC5" i="3"/>
  <c r="I14" i="66"/>
  <c r="B8" i="66" s="1"/>
  <c r="W27" i="40"/>
  <c r="S39" i="40"/>
  <c r="AB17" i="33"/>
  <c r="S17" i="40"/>
  <c r="S43" i="33"/>
  <c r="S47" i="34"/>
  <c r="AB29" i="34"/>
  <c r="AC33" i="37"/>
  <c r="W32" i="35"/>
  <c r="AB15" i="39"/>
  <c r="AB17" i="40"/>
  <c r="U17" i="40"/>
  <c r="AB13" i="40"/>
  <c r="AB25" i="33"/>
  <c r="U25" i="33"/>
  <c r="S37" i="37"/>
  <c r="W32" i="37"/>
  <c r="H26" i="35"/>
  <c r="W20" i="35"/>
  <c r="W11" i="33"/>
  <c r="AC11" i="33"/>
  <c r="W11" i="34"/>
  <c r="AC11" i="34"/>
  <c r="AC16" i="35"/>
  <c r="S32" i="37"/>
  <c r="AA32" i="37"/>
  <c r="AA37" i="39"/>
  <c r="J23" i="39"/>
  <c r="AC23" i="39" s="1"/>
  <c r="AA11" i="36"/>
  <c r="AA32" i="40"/>
  <c r="S32" i="40"/>
  <c r="AC16" i="39"/>
  <c r="W16" i="39"/>
  <c r="AA38" i="40"/>
  <c r="S38" i="40"/>
  <c r="AZ485" i="3"/>
  <c r="S29" i="35"/>
  <c r="AA29" i="35"/>
  <c r="W21" i="39"/>
  <c r="AC21" i="39"/>
  <c r="S21" i="39"/>
  <c r="AA21" i="39"/>
  <c r="H11" i="36"/>
  <c r="U14" i="35"/>
  <c r="AB14" i="35"/>
  <c r="AC45" i="21"/>
  <c r="AC11" i="35"/>
  <c r="W11" i="35"/>
  <c r="AB17" i="34"/>
  <c r="U17" i="34"/>
  <c r="S33" i="21"/>
  <c r="AB16" i="36"/>
  <c r="U16" i="36"/>
  <c r="AB45" i="34"/>
  <c r="AC11" i="36"/>
  <c r="AB11" i="37"/>
  <c r="U11" i="37"/>
  <c r="AZ370" i="3"/>
  <c r="AZ356" i="3"/>
  <c r="AZ324" i="3"/>
  <c r="AZ381" i="3"/>
  <c r="AZ358" i="3"/>
  <c r="AZ355" i="3"/>
  <c r="U15" i="37"/>
  <c r="AB15" i="37"/>
  <c r="AB12" i="37"/>
  <c r="U12" i="37"/>
  <c r="U9" i="37"/>
  <c r="AB9" i="37"/>
  <c r="S36" i="35"/>
  <c r="AA36" i="35"/>
  <c r="AC43" i="33"/>
  <c r="W43" i="33"/>
  <c r="AA24" i="35"/>
  <c r="S24" i="35"/>
  <c r="W41" i="34"/>
  <c r="AC41" i="34"/>
  <c r="S41" i="34"/>
  <c r="AA41" i="34"/>
  <c r="S22" i="36"/>
  <c r="AA22" i="36"/>
  <c r="AA42" i="33"/>
  <c r="S42" i="33"/>
  <c r="AZ559" i="3"/>
  <c r="W27" i="37"/>
  <c r="AC27" i="37"/>
  <c r="AA27" i="37"/>
  <c r="S27" i="37"/>
  <c r="S38" i="37"/>
  <c r="AA38" i="37"/>
  <c r="AB38" i="37"/>
  <c r="U38" i="37"/>
  <c r="AC28" i="37"/>
  <c r="W28" i="37"/>
  <c r="AC35" i="35"/>
  <c r="W35" i="35"/>
  <c r="AA25" i="35"/>
  <c r="S25" i="35"/>
  <c r="S13" i="35"/>
  <c r="AA13" i="35"/>
  <c r="F45" i="34"/>
  <c r="H31" i="34"/>
  <c r="J29" i="34"/>
  <c r="H46" i="33"/>
  <c r="U31" i="33"/>
  <c r="AB31" i="33"/>
  <c r="AA24" i="36"/>
  <c r="S24" i="36"/>
  <c r="W33" i="36"/>
  <c r="AC33" i="36"/>
  <c r="S39" i="37"/>
  <c r="AA39" i="37"/>
  <c r="AA26" i="21"/>
  <c r="S26" i="21"/>
  <c r="C58" i="21"/>
  <c r="G7" i="21"/>
  <c r="I7" i="21"/>
  <c r="E7" i="21"/>
  <c r="B58" i="46"/>
  <c r="C21" i="39"/>
  <c r="B76" i="46"/>
  <c r="B55" i="46"/>
  <c r="W8" i="33"/>
  <c r="AC8" i="33"/>
  <c r="AB9" i="33"/>
  <c r="U9" i="33"/>
  <c r="AA33" i="33"/>
  <c r="S33" i="33"/>
  <c r="AC33" i="33"/>
  <c r="W33" i="33"/>
  <c r="AB38" i="33"/>
  <c r="U38" i="33"/>
  <c r="H27" i="33"/>
  <c r="J27" i="33"/>
  <c r="AB34" i="34"/>
  <c r="U34" i="34"/>
  <c r="AA43" i="34"/>
  <c r="S43" i="34"/>
  <c r="J27" i="34"/>
  <c r="F27" i="34"/>
  <c r="U40" i="34"/>
  <c r="AB40" i="34"/>
  <c r="W20" i="36"/>
  <c r="U20" i="36"/>
  <c r="AB20" i="36"/>
  <c r="AB33" i="37"/>
  <c r="U33" i="37"/>
  <c r="S20" i="35"/>
  <c r="AA20" i="35"/>
  <c r="AA41" i="40"/>
  <c r="S41" i="40"/>
  <c r="AC30" i="40"/>
  <c r="W30" i="40"/>
  <c r="AZ496" i="3"/>
  <c r="AZ518" i="3"/>
  <c r="W37" i="39"/>
  <c r="AC37" i="39"/>
  <c r="AC29" i="35"/>
  <c r="W29" i="35"/>
  <c r="S40" i="21"/>
  <c r="AA40" i="21"/>
  <c r="AC33" i="34"/>
  <c r="W33" i="34"/>
  <c r="W9" i="37"/>
  <c r="AC9" i="37"/>
  <c r="W10" i="37"/>
  <c r="AC10" i="37"/>
  <c r="AB24" i="35"/>
  <c r="U24" i="35"/>
  <c r="U41" i="34"/>
  <c r="AB41" i="34"/>
  <c r="S25" i="21"/>
  <c r="AA25" i="21"/>
  <c r="AZ492" i="3"/>
  <c r="AZ520" i="3"/>
  <c r="AZ554" i="3"/>
  <c r="AZ493" i="3"/>
  <c r="AZ505" i="3"/>
  <c r="W13" i="34"/>
  <c r="AC13" i="34"/>
  <c r="AC46" i="33"/>
  <c r="W46" i="33"/>
  <c r="U40" i="37"/>
  <c r="AB40" i="37"/>
  <c r="W28" i="33"/>
  <c r="AC28" i="33"/>
  <c r="U10" i="35"/>
  <c r="AB10" i="35"/>
  <c r="W40" i="21"/>
  <c r="AC40" i="21"/>
  <c r="U45" i="33"/>
  <c r="AB45" i="33"/>
  <c r="W45" i="34"/>
  <c r="AC45" i="34"/>
  <c r="BL567" i="3"/>
  <c r="BL563" i="3"/>
  <c r="AZ563" i="3" s="1"/>
  <c r="BL553" i="3"/>
  <c r="AZ553" i="3" s="1"/>
  <c r="BL552" i="3"/>
  <c r="AZ552" i="3" s="1"/>
  <c r="BL540" i="3"/>
  <c r="BA540" i="3"/>
  <c r="AZ540" i="3" s="1"/>
  <c r="BA534" i="3"/>
  <c r="AZ534" i="3" s="1"/>
  <c r="BA532" i="3"/>
  <c r="AZ532" i="3" s="1"/>
  <c r="BA527" i="3"/>
  <c r="AZ527" i="3" s="1"/>
  <c r="BA526" i="3"/>
  <c r="AZ526" i="3" s="1"/>
  <c r="BL519" i="3"/>
  <c r="BA519" i="3"/>
  <c r="AZ519" i="3" s="1"/>
  <c r="BL518" i="3"/>
  <c r="BL510" i="3"/>
  <c r="AZ510" i="3" s="1"/>
  <c r="BL508" i="3"/>
  <c r="BA507" i="3"/>
  <c r="AZ507" i="3" s="1"/>
  <c r="BA499" i="3"/>
  <c r="AZ499" i="3" s="1"/>
  <c r="BL497" i="3"/>
  <c r="AZ497" i="3" s="1"/>
  <c r="BE5" i="3"/>
  <c r="BL19" i="3"/>
  <c r="BD5" i="3"/>
  <c r="F27" i="43"/>
  <c r="F32" i="68"/>
  <c r="F59" i="68" s="1"/>
  <c r="F28" i="68"/>
  <c r="M18" i="68"/>
  <c r="W13" i="36"/>
  <c r="AC13" i="36"/>
  <c r="W34" i="36"/>
  <c r="AC34" i="36"/>
  <c r="G572" i="3"/>
  <c r="H5" i="3"/>
  <c r="BF5" i="3"/>
  <c r="F12" i="21"/>
  <c r="J12" i="21"/>
  <c r="F14" i="21"/>
  <c r="H14" i="21"/>
  <c r="H28" i="21"/>
  <c r="AB28" i="21" s="1"/>
  <c r="J28" i="21"/>
  <c r="J44" i="21"/>
  <c r="H44" i="21"/>
  <c r="F44" i="21"/>
  <c r="H46" i="21"/>
  <c r="J46" i="21"/>
  <c r="F46" i="21"/>
  <c r="E81" i="21"/>
  <c r="F69" i="21"/>
  <c r="E108" i="21"/>
  <c r="F35" i="21"/>
  <c r="AA35" i="21" s="1"/>
  <c r="F9" i="21"/>
  <c r="S9" i="21" s="1"/>
  <c r="J9" i="21"/>
  <c r="AC9" i="21" s="1"/>
  <c r="H9" i="21"/>
  <c r="AA38" i="33"/>
  <c r="S38" i="33"/>
  <c r="AC38" i="33"/>
  <c r="W38" i="33"/>
  <c r="AA34" i="34"/>
  <c r="S34" i="34"/>
  <c r="H9" i="35"/>
  <c r="J9" i="35"/>
  <c r="J34" i="35"/>
  <c r="H34" i="35"/>
  <c r="F34" i="35"/>
  <c r="AC22" i="36"/>
  <c r="W22" i="36"/>
  <c r="F32" i="36"/>
  <c r="H32" i="36"/>
  <c r="J32" i="36"/>
  <c r="G13" i="3"/>
  <c r="BT5" i="3"/>
  <c r="G28" i="6" s="1"/>
  <c r="G30" i="6" s="1"/>
  <c r="G31" i="6" s="1"/>
  <c r="BI5" i="3"/>
  <c r="BG5" i="3"/>
  <c r="G540" i="3"/>
  <c r="G516" i="3"/>
  <c r="G504" i="3"/>
  <c r="G496" i="3"/>
  <c r="AZ396" i="3"/>
  <c r="AZ412" i="3"/>
  <c r="AZ429" i="3"/>
  <c r="AZ472" i="3"/>
  <c r="AZ210" i="3"/>
  <c r="AZ226" i="3"/>
  <c r="AZ238" i="3"/>
  <c r="AZ242" i="3"/>
  <c r="AZ258" i="3"/>
  <c r="AZ288" i="3"/>
  <c r="AZ296" i="3"/>
  <c r="AZ125" i="3"/>
  <c r="AZ128" i="3"/>
  <c r="AZ141" i="3"/>
  <c r="AZ144" i="3"/>
  <c r="AZ389" i="3"/>
  <c r="AZ404" i="3"/>
  <c r="AZ416" i="3"/>
  <c r="AZ421" i="3"/>
  <c r="AZ440" i="3"/>
  <c r="AZ453" i="3"/>
  <c r="AZ460" i="3"/>
  <c r="AZ464" i="3"/>
  <c r="AZ480" i="3"/>
  <c r="AZ368" i="3"/>
  <c r="AZ384" i="3"/>
  <c r="AZ386" i="3"/>
  <c r="AZ218" i="3"/>
  <c r="AZ234" i="3"/>
  <c r="AZ266" i="3"/>
  <c r="AZ277" i="3"/>
  <c r="AZ280" i="3"/>
  <c r="AZ133" i="3"/>
  <c r="I21" i="57"/>
  <c r="D1" i="57" s="1"/>
  <c r="E10" i="57" s="1"/>
  <c r="C53" i="59"/>
  <c r="D54" i="59"/>
  <c r="O54" i="59"/>
  <c r="D17" i="59"/>
  <c r="C18" i="59"/>
  <c r="AA15" i="59"/>
  <c r="E17" i="59"/>
  <c r="E18" i="59" s="1"/>
  <c r="E19" i="59" s="1"/>
  <c r="U19" i="59" s="1"/>
  <c r="X21" i="59"/>
  <c r="X13" i="59"/>
  <c r="AA21" i="59"/>
  <c r="AA20" i="59"/>
  <c r="AB26" i="59"/>
  <c r="AB13" i="59"/>
  <c r="Q53" i="59"/>
  <c r="Q52" i="59"/>
  <c r="B14" i="59"/>
  <c r="B13" i="59" s="1"/>
  <c r="S15" i="59"/>
  <c r="AA24" i="59"/>
  <c r="AA12" i="59"/>
  <c r="X12" i="59"/>
  <c r="X10" i="59"/>
  <c r="X8" i="59"/>
  <c r="AA8" i="59"/>
  <c r="AA3" i="59"/>
  <c r="F34" i="15"/>
  <c r="F61" i="15" s="1"/>
  <c r="M20" i="68"/>
  <c r="F34" i="68"/>
  <c r="C92" i="9"/>
  <c r="AZ156" i="3"/>
  <c r="AZ159" i="3"/>
  <c r="AZ172" i="3"/>
  <c r="AZ175" i="3"/>
  <c r="AZ202" i="3"/>
  <c r="AZ37" i="3"/>
  <c r="AZ41" i="3"/>
  <c r="AZ44" i="3"/>
  <c r="AZ46" i="3"/>
  <c r="AZ50" i="3"/>
  <c r="AZ65" i="3"/>
  <c r="AZ85" i="3"/>
  <c r="AZ104" i="3"/>
  <c r="AZ108" i="3"/>
  <c r="AZ111" i="3"/>
  <c r="K13" i="1"/>
  <c r="M13" i="1" s="1"/>
  <c r="R12" i="1"/>
  <c r="K12" i="1"/>
  <c r="M12" i="1" s="1"/>
  <c r="T27" i="59"/>
  <c r="D27" i="59"/>
  <c r="C39" i="59"/>
  <c r="D70" i="59"/>
  <c r="D37" i="59"/>
  <c r="X15" i="59"/>
  <c r="Y20" i="59"/>
  <c r="Z20" i="59" s="1"/>
  <c r="C21" i="59"/>
  <c r="Y12" i="59"/>
  <c r="Z12" i="59" s="1"/>
  <c r="Y14" i="59"/>
  <c r="Z14" i="59" s="1"/>
  <c r="B27" i="59"/>
  <c r="S27" i="59" s="1"/>
  <c r="B21" i="63"/>
  <c r="N4" i="63"/>
  <c r="AB19" i="59"/>
  <c r="AA16" i="59"/>
  <c r="E10" i="59"/>
  <c r="E9" i="59" s="1"/>
  <c r="E8" i="59" s="1"/>
  <c r="E7" i="59" s="1"/>
  <c r="U11" i="59"/>
  <c r="G1" i="68"/>
  <c r="C42" i="1"/>
  <c r="J51" i="68"/>
  <c r="E83" i="21"/>
  <c r="F83" i="21" s="1"/>
  <c r="G83" i="21" s="1"/>
  <c r="F21" i="21"/>
  <c r="AA21" i="21" s="1"/>
  <c r="J21" i="21"/>
  <c r="Y16" i="59"/>
  <c r="Z16" i="59" s="1"/>
  <c r="AB16" i="59"/>
  <c r="F17" i="59"/>
  <c r="F18" i="59" s="1"/>
  <c r="F19" i="59" s="1"/>
  <c r="V19" i="59" s="1"/>
  <c r="AB15" i="59"/>
  <c r="AB12" i="59"/>
  <c r="AB14" i="59"/>
  <c r="Y17" i="59"/>
  <c r="Z17" i="59" s="1"/>
  <c r="AB17" i="59"/>
  <c r="AB18" i="59"/>
  <c r="Y19" i="59"/>
  <c r="Z19" i="59" s="1"/>
  <c r="X20" i="59"/>
  <c r="B21" i="59"/>
  <c r="B22" i="59" s="1"/>
  <c r="B23" i="59" s="1"/>
  <c r="S23" i="59" s="1"/>
  <c r="X14" i="59"/>
  <c r="AB21" i="59"/>
  <c r="AB24" i="59"/>
  <c r="F25" i="59"/>
  <c r="F26" i="59" s="1"/>
  <c r="F27" i="59" s="1"/>
  <c r="V27" i="59" s="1"/>
  <c r="AB25" i="59"/>
  <c r="C46" i="59"/>
  <c r="E54" i="59"/>
  <c r="P55" i="59"/>
  <c r="U63" i="59"/>
  <c r="E62" i="59"/>
  <c r="E61" i="59" s="1"/>
  <c r="D15" i="59"/>
  <c r="T15" i="59"/>
  <c r="C14" i="59"/>
  <c r="Y25" i="59"/>
  <c r="Z25" i="59" s="1"/>
  <c r="AB23" i="59"/>
  <c r="X19" i="59"/>
  <c r="AA13" i="59"/>
  <c r="Y11" i="59"/>
  <c r="Z11" i="59" s="1"/>
  <c r="X16" i="59"/>
  <c r="AA17" i="59"/>
  <c r="X18" i="59"/>
  <c r="AA19" i="59"/>
  <c r="AB20" i="59"/>
  <c r="Y21" i="59"/>
  <c r="Z21" i="59" s="1"/>
  <c r="AB22" i="59"/>
  <c r="Y23" i="59"/>
  <c r="Z23" i="59" s="1"/>
  <c r="X24" i="59"/>
  <c r="X25" i="59"/>
  <c r="AA25" i="59"/>
  <c r="N55" i="59"/>
  <c r="B54" i="59"/>
  <c r="A28" i="64"/>
  <c r="C10" i="59"/>
  <c r="T11" i="59"/>
  <c r="F14" i="59"/>
  <c r="F13" i="59" s="1"/>
  <c r="AB11" i="59"/>
  <c r="X11" i="59"/>
  <c r="B11" i="59"/>
  <c r="AA10" i="59"/>
  <c r="Y10" i="59"/>
  <c r="Z10" i="59" s="1"/>
  <c r="AB10" i="59"/>
  <c r="U27" i="21"/>
  <c r="U28" i="21"/>
  <c r="S28" i="21"/>
  <c r="F109" i="39"/>
  <c r="G109" i="39" s="1"/>
  <c r="H109" i="39" s="1"/>
  <c r="I109" i="39" s="1"/>
  <c r="J109" i="39" s="1"/>
  <c r="K109" i="39" s="1"/>
  <c r="L109" i="39" s="1"/>
  <c r="M109" i="39" s="1"/>
  <c r="J34" i="39"/>
  <c r="AC34" i="39" s="1"/>
  <c r="C31" i="39"/>
  <c r="B54" i="46"/>
  <c r="D18" i="9"/>
  <c r="M44" i="9" s="1"/>
  <c r="M43" i="9"/>
  <c r="F93" i="39"/>
  <c r="G93" i="39" s="1"/>
  <c r="F19" i="39"/>
  <c r="J19" i="39"/>
  <c r="W19" i="39" s="1"/>
  <c r="H19" i="39"/>
  <c r="F101" i="39"/>
  <c r="G101" i="39" s="1"/>
  <c r="H27" i="39"/>
  <c r="AB27" i="39" s="1"/>
  <c r="F27" i="39"/>
  <c r="AA27" i="39" s="1"/>
  <c r="J27" i="39"/>
  <c r="AC27" i="39" s="1"/>
  <c r="AB43" i="39"/>
  <c r="AA44" i="39"/>
  <c r="AC43" i="39"/>
  <c r="S41" i="39"/>
  <c r="W41" i="39"/>
  <c r="U41" i="39"/>
  <c r="AC44" i="39"/>
  <c r="AB44" i="39"/>
  <c r="AC31" i="39"/>
  <c r="S31" i="39"/>
  <c r="AC19" i="39"/>
  <c r="W23" i="39"/>
  <c r="U23" i="39"/>
  <c r="S23" i="39"/>
  <c r="AB25" i="39"/>
  <c r="W25" i="39"/>
  <c r="S25" i="39"/>
  <c r="U27" i="39"/>
  <c r="S27" i="39"/>
  <c r="J13" i="39"/>
  <c r="H83" i="39"/>
  <c r="I83" i="39" s="1"/>
  <c r="J83" i="39" s="1"/>
  <c r="K83" i="39" s="1"/>
  <c r="L83" i="39" s="1"/>
  <c r="M83" i="39" s="1"/>
  <c r="F13" i="39"/>
  <c r="H13" i="39"/>
  <c r="U40" i="39"/>
  <c r="W34" i="39"/>
  <c r="W14" i="39"/>
  <c r="S14" i="39"/>
  <c r="F91" i="39"/>
  <c r="G91" i="39" s="1"/>
  <c r="H17" i="39"/>
  <c r="U17" i="39" s="1"/>
  <c r="F17" i="39"/>
  <c r="AA17" i="39" s="1"/>
  <c r="J17" i="39"/>
  <c r="W17" i="39" s="1"/>
  <c r="AA29" i="39"/>
  <c r="S29" i="39"/>
  <c r="H29" i="39"/>
  <c r="U29" i="39" s="1"/>
  <c r="F103" i="39"/>
  <c r="G103" i="39" s="1"/>
  <c r="AB29" i="39"/>
  <c r="W29" i="39"/>
  <c r="S17" i="39"/>
  <c r="AB17" i="39"/>
  <c r="A30" i="51"/>
  <c r="B22" i="63" s="1"/>
  <c r="A30" i="64"/>
  <c r="AC36" i="21"/>
  <c r="AA36" i="21"/>
  <c r="W43" i="21"/>
  <c r="U43" i="21"/>
  <c r="AA43" i="21"/>
  <c r="W42" i="21"/>
  <c r="S42" i="21"/>
  <c r="F66" i="21"/>
  <c r="G66" i="21" s="1"/>
  <c r="H66" i="21" s="1"/>
  <c r="I66" i="21" s="1"/>
  <c r="F10" i="21"/>
  <c r="AA10" i="21" s="1"/>
  <c r="H10" i="21"/>
  <c r="J10" i="21"/>
  <c r="AB33" i="21"/>
  <c r="F101" i="21"/>
  <c r="G101" i="21" s="1"/>
  <c r="H101" i="21" s="1"/>
  <c r="I101" i="21" s="1"/>
  <c r="J101" i="21" s="1"/>
  <c r="K101" i="21" s="1"/>
  <c r="L101" i="21" s="1"/>
  <c r="M101" i="21" s="1"/>
  <c r="J32" i="21"/>
  <c r="AC32" i="21" s="1"/>
  <c r="F32" i="21"/>
  <c r="H32" i="21"/>
  <c r="U32" i="21" s="1"/>
  <c r="F108" i="21"/>
  <c r="G108" i="21" s="1"/>
  <c r="H108" i="21" s="1"/>
  <c r="I108" i="21" s="1"/>
  <c r="J108" i="21" s="1"/>
  <c r="K108" i="21" s="1"/>
  <c r="L108" i="21" s="1"/>
  <c r="M108" i="21" s="1"/>
  <c r="H35" i="21"/>
  <c r="AB35" i="21" s="1"/>
  <c r="H113" i="21"/>
  <c r="J37" i="21"/>
  <c r="F37" i="21"/>
  <c r="H37" i="21"/>
  <c r="F85" i="21"/>
  <c r="G85" i="21" s="1"/>
  <c r="J23" i="21"/>
  <c r="W23" i="21" s="1"/>
  <c r="F23" i="21"/>
  <c r="AA23" i="21" s="1"/>
  <c r="F17" i="21"/>
  <c r="S17" i="21" s="1"/>
  <c r="J17" i="21"/>
  <c r="AC17" i="21" s="1"/>
  <c r="F79" i="21"/>
  <c r="G79" i="21" s="1"/>
  <c r="H17" i="21"/>
  <c r="AB17" i="21" s="1"/>
  <c r="F15" i="21"/>
  <c r="S15" i="21" s="1"/>
  <c r="H15" i="21"/>
  <c r="AB15" i="21" s="1"/>
  <c r="F77" i="21"/>
  <c r="G77" i="21" s="1"/>
  <c r="J15" i="21"/>
  <c r="AC15" i="21" s="1"/>
  <c r="U35" i="21"/>
  <c r="AC35" i="21"/>
  <c r="S35" i="21"/>
  <c r="U39" i="21"/>
  <c r="W39" i="21"/>
  <c r="U42" i="21"/>
  <c r="U38" i="21"/>
  <c r="AA38" i="21"/>
  <c r="AC34" i="21"/>
  <c r="AB34" i="21"/>
  <c r="AB23" i="21"/>
  <c r="U15" i="21"/>
  <c r="AA17" i="21"/>
  <c r="S21" i="21"/>
  <c r="AB32" i="21"/>
  <c r="W32" i="21"/>
  <c r="S27" i="21"/>
  <c r="AC27" i="21"/>
  <c r="AB36" i="21"/>
  <c r="AA15" i="21"/>
  <c r="AA9" i="21"/>
  <c r="W9" i="21"/>
  <c r="W8" i="21"/>
  <c r="P75" i="15"/>
  <c r="F71" i="9"/>
  <c r="D23" i="15"/>
  <c r="M8" i="1"/>
  <c r="O8" i="1" s="1"/>
  <c r="P8" i="1" s="1"/>
  <c r="H16" i="1"/>
  <c r="E58" i="39"/>
  <c r="F27" i="6"/>
  <c r="E53" i="40"/>
  <c r="D12" i="11"/>
  <c r="C12" i="11" s="1"/>
  <c r="BL13" i="3"/>
  <c r="BL5" i="3" s="1"/>
  <c r="K17" i="4"/>
  <c r="A22" i="51" s="1"/>
  <c r="B16" i="63" s="1"/>
  <c r="K76" i="9"/>
  <c r="K77" i="9" s="1"/>
  <c r="K79" i="9" s="1"/>
  <c r="K81" i="9" s="1"/>
  <c r="D58" i="21"/>
  <c r="E58" i="21" s="1"/>
  <c r="F58" i="21" s="1"/>
  <c r="G58" i="21" s="1"/>
  <c r="H58" i="21" s="1"/>
  <c r="I58" i="21" s="1"/>
  <c r="J58" i="21" s="1"/>
  <c r="K58" i="21" s="1"/>
  <c r="L58" i="21" s="1"/>
  <c r="M58" i="21" s="1"/>
  <c r="N58" i="21" s="1"/>
  <c r="O58" i="21" s="1"/>
  <c r="H7" i="21"/>
  <c r="J7" i="21"/>
  <c r="AC7" i="21" s="1"/>
  <c r="D70" i="39"/>
  <c r="C72" i="39"/>
  <c r="D58" i="33"/>
  <c r="E58" i="33" s="1"/>
  <c r="F58" i="33" s="1"/>
  <c r="G58" i="33" s="1"/>
  <c r="H58" i="33" s="1"/>
  <c r="I58" i="33" s="1"/>
  <c r="J58" i="33" s="1"/>
  <c r="K58" i="33" s="1"/>
  <c r="L58" i="33" s="1"/>
  <c r="M58" i="33" s="1"/>
  <c r="N58" i="33" s="1"/>
  <c r="O58" i="33" s="1"/>
  <c r="C67" i="40"/>
  <c r="D65" i="40"/>
  <c r="H58" i="46"/>
  <c r="J17" i="46"/>
  <c r="C17" i="46"/>
  <c r="F34" i="46"/>
  <c r="F38" i="46"/>
  <c r="F37" i="46"/>
  <c r="H113" i="46"/>
  <c r="H49" i="46"/>
  <c r="H53" i="46"/>
  <c r="D10" i="59"/>
  <c r="C9" i="59"/>
  <c r="D9" i="59" s="1"/>
  <c r="E6" i="59"/>
  <c r="E5" i="59" s="1"/>
  <c r="U7" i="59"/>
  <c r="F10" i="59"/>
  <c r="F9" i="59" s="1"/>
  <c r="F8" i="59" s="1"/>
  <c r="F7" i="59" s="1"/>
  <c r="Y9" i="59"/>
  <c r="Z9" i="59" s="1"/>
  <c r="AA9" i="59"/>
  <c r="AB9" i="59"/>
  <c r="Y8" i="59"/>
  <c r="Z8" i="59" s="1"/>
  <c r="Y7" i="59"/>
  <c r="Z7" i="59" s="1"/>
  <c r="Y5" i="59"/>
  <c r="Z5" i="59" s="1"/>
  <c r="Y6" i="59"/>
  <c r="Z6" i="59" s="1"/>
  <c r="AB8" i="59"/>
  <c r="AB7" i="59"/>
  <c r="AB6" i="59"/>
  <c r="AB5" i="59"/>
  <c r="AA11" i="59"/>
  <c r="X9" i="59"/>
  <c r="X7" i="59"/>
  <c r="X6" i="59"/>
  <c r="X5" i="59"/>
  <c r="AA7" i="59"/>
  <c r="AA5" i="59"/>
  <c r="AA6" i="59"/>
  <c r="E14" i="52"/>
  <c r="C30" i="44"/>
  <c r="C25" i="12"/>
  <c r="C15" i="43"/>
  <c r="C27" i="43"/>
  <c r="C31" i="43"/>
  <c r="C28" i="15"/>
  <c r="C15" i="12"/>
  <c r="H1" i="65"/>
  <c r="W7" i="21"/>
  <c r="Q16" i="1"/>
  <c r="F33" i="12" s="1"/>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15" i="6"/>
  <c r="E13" i="6"/>
  <c r="E12" i="6"/>
  <c r="E10" i="6"/>
  <c r="E11" i="6"/>
  <c r="O12" i="1"/>
  <c r="P12" i="1" s="1"/>
  <c r="AP7" i="1"/>
  <c r="G13" i="1"/>
  <c r="E52" i="37"/>
  <c r="D46" i="36"/>
  <c r="AP16" i="1"/>
  <c r="F22" i="11" s="1"/>
  <c r="E48" i="35"/>
  <c r="D59" i="34"/>
  <c r="G6" i="1"/>
  <c r="G16" i="1" s="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M103" i="46"/>
  <c r="H62" i="46"/>
  <c r="AF12" i="46"/>
  <c r="K100" i="46"/>
  <c r="M109" i="46"/>
  <c r="AB12" i="46"/>
  <c r="AJ12" i="46"/>
  <c r="F105"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8" i="59"/>
  <c r="C7" i="59" s="1"/>
  <c r="T7" i="59" s="1"/>
  <c r="B6" i="52"/>
  <c r="E7" i="52"/>
  <c r="E6" i="52"/>
  <c r="E4" i="52"/>
  <c r="B7" i="52"/>
  <c r="E5" i="52"/>
  <c r="P21" i="46"/>
  <c r="P22" i="46"/>
  <c r="P23" i="46"/>
  <c r="P25" i="46"/>
  <c r="B73" i="39" s="1"/>
  <c r="P24" i="46"/>
  <c r="B68" i="40" s="1"/>
  <c r="E22" i="52"/>
  <c r="B22" i="52"/>
  <c r="B10" i="52"/>
  <c r="B11" i="52"/>
  <c r="B4" i="52"/>
  <c r="E9" i="52"/>
  <c r="F63" i="15"/>
  <c r="F67" i="15"/>
  <c r="C4" i="65"/>
  <c r="B39" i="1" s="1"/>
  <c r="J60" i="44"/>
  <c r="J54" i="44"/>
  <c r="I55" i="44"/>
  <c r="J58" i="44"/>
  <c r="J56" i="44" s="1"/>
  <c r="J59" i="44" s="1"/>
  <c r="Q52" i="44" s="1"/>
  <c r="L57" i="44"/>
  <c r="J61" i="44"/>
  <c r="Q50" i="44" s="1"/>
  <c r="J22" i="44"/>
  <c r="Q72" i="15"/>
  <c r="F64" i="15"/>
  <c r="L60" i="44"/>
  <c r="L59" i="44"/>
  <c r="C27" i="15"/>
  <c r="F65" i="15"/>
  <c r="F50" i="15"/>
  <c r="L59" i="15"/>
  <c r="L58" i="15"/>
  <c r="F49" i="15"/>
  <c r="M7" i="15"/>
  <c r="J6" i="15" s="1"/>
  <c r="F70" i="15"/>
  <c r="M9" i="44"/>
  <c r="C6" i="15"/>
  <c r="I54" i="15"/>
  <c r="J57" i="15"/>
  <c r="J55" i="15" s="1"/>
  <c r="J58" i="15" s="1"/>
  <c r="Q51" i="15" s="1"/>
  <c r="J53" i="15"/>
  <c r="L56" i="15"/>
  <c r="E17" i="52"/>
  <c r="E11" i="52"/>
  <c r="E15" i="52"/>
  <c r="E13" i="52"/>
  <c r="B14" i="52"/>
  <c r="E8" i="52"/>
  <c r="E16" i="52"/>
  <c r="B5" i="52"/>
  <c r="B9" i="52"/>
  <c r="B16" i="52"/>
  <c r="B8" i="52"/>
  <c r="B13" i="52"/>
  <c r="E10" i="52"/>
  <c r="E21" i="52"/>
  <c r="F33" i="44"/>
  <c r="F58" i="15"/>
  <c r="M17" i="15"/>
  <c r="F31" i="15"/>
  <c r="M19" i="44"/>
  <c r="M10" i="44"/>
  <c r="C16" i="15"/>
  <c r="M31" i="44"/>
  <c r="C18" i="44"/>
  <c r="J17" i="44"/>
  <c r="I4" i="65"/>
  <c r="F28" i="44"/>
  <c r="M30" i="44"/>
  <c r="J6" i="65"/>
  <c r="F37" i="44"/>
  <c r="M29" i="44"/>
  <c r="F43" i="44"/>
  <c r="I6" i="65"/>
  <c r="F46" i="44"/>
  <c r="J3" i="65"/>
  <c r="I3" i="65"/>
  <c r="J5" i="65"/>
  <c r="J7" i="65"/>
  <c r="I7" i="65"/>
  <c r="I5" i="65"/>
  <c r="J4" i="65"/>
  <c r="F10" i="44"/>
  <c r="F8" i="44"/>
  <c r="M28" i="44"/>
  <c r="F103" i="46" l="1"/>
  <c r="F102" i="46"/>
  <c r="F109" i="46"/>
  <c r="AB36" i="33"/>
  <c r="U36" i="33"/>
  <c r="S36" i="33"/>
  <c r="AA36" i="33"/>
  <c r="S19" i="33"/>
  <c r="AA19" i="33"/>
  <c r="AC19" i="33"/>
  <c r="W19" i="33"/>
  <c r="W15" i="21"/>
  <c r="C36" i="44"/>
  <c r="C8" i="44"/>
  <c r="Q73" i="44"/>
  <c r="C29" i="44"/>
  <c r="F30" i="6"/>
  <c r="F31" i="6" s="1"/>
  <c r="E28" i="6"/>
  <c r="B10" i="59"/>
  <c r="B9" i="59" s="1"/>
  <c r="B8" i="59" s="1"/>
  <c r="B7" i="59" s="1"/>
  <c r="S7" i="59" s="1"/>
  <c r="S11" i="59"/>
  <c r="C47" i="59"/>
  <c r="D46" i="59"/>
  <c r="AC21" i="21"/>
  <c r="W21" i="21"/>
  <c r="T39" i="59"/>
  <c r="D39" i="59"/>
  <c r="F61" i="68"/>
  <c r="D18" i="59"/>
  <c r="C19" i="59"/>
  <c r="O53" i="59"/>
  <c r="O52" i="59"/>
  <c r="D53" i="59"/>
  <c r="AC32" i="36"/>
  <c r="W32" i="36"/>
  <c r="S32" i="36"/>
  <c r="AA32" i="36"/>
  <c r="AB34" i="35"/>
  <c r="U34" i="35"/>
  <c r="W9" i="35"/>
  <c r="AC9" i="35"/>
  <c r="AB9" i="21"/>
  <c r="U9" i="21"/>
  <c r="G69" i="21"/>
  <c r="F81" i="21"/>
  <c r="G81" i="21" s="1"/>
  <c r="J19" i="21"/>
  <c r="F19" i="21"/>
  <c r="W46" i="21"/>
  <c r="AC46" i="21"/>
  <c r="AA44" i="21"/>
  <c r="S44" i="21"/>
  <c r="W44" i="21"/>
  <c r="AC44" i="21"/>
  <c r="AA14" i="21"/>
  <c r="S14" i="21"/>
  <c r="S12" i="21"/>
  <c r="AA12" i="21"/>
  <c r="W27" i="34"/>
  <c r="AC27" i="34"/>
  <c r="AB27" i="33"/>
  <c r="U27" i="33"/>
  <c r="AC29" i="34"/>
  <c r="W29" i="34"/>
  <c r="AA45" i="34"/>
  <c r="S45" i="34"/>
  <c r="AB11" i="36"/>
  <c r="U11" i="36"/>
  <c r="BA5" i="3"/>
  <c r="E27" i="6" s="1"/>
  <c r="E29" i="6"/>
  <c r="AA26" i="35"/>
  <c r="S26" i="35"/>
  <c r="AB25" i="36"/>
  <c r="U25" i="36"/>
  <c r="AC47" i="34"/>
  <c r="W47" i="34"/>
  <c r="S31" i="34"/>
  <c r="AA31" i="34"/>
  <c r="AA13" i="34"/>
  <c r="S13" i="34"/>
  <c r="AC30" i="33"/>
  <c r="W30" i="33"/>
  <c r="AB30" i="33"/>
  <c r="U30" i="33"/>
  <c r="AA14" i="33"/>
  <c r="S14" i="33"/>
  <c r="S12" i="33"/>
  <c r="AA12" i="33"/>
  <c r="J8" i="44"/>
  <c r="D8" i="59"/>
  <c r="J7" i="33"/>
  <c r="F34" i="39"/>
  <c r="H34" i="39"/>
  <c r="B53" i="59"/>
  <c r="N54" i="59"/>
  <c r="D14" i="59"/>
  <c r="C13" i="59"/>
  <c r="D13" i="59" s="1"/>
  <c r="P54" i="59"/>
  <c r="E53" i="59"/>
  <c r="C22" i="59"/>
  <c r="D21" i="59"/>
  <c r="G5" i="3"/>
  <c r="B3" i="3" s="1"/>
  <c r="E496" i="3" s="1"/>
  <c r="U32" i="36"/>
  <c r="AB32" i="36"/>
  <c r="AA34" i="35"/>
  <c r="S34" i="35"/>
  <c r="W34" i="35"/>
  <c r="AC34" i="35"/>
  <c r="AB9" i="35"/>
  <c r="U9" i="35"/>
  <c r="H19" i="21"/>
  <c r="AA46" i="21"/>
  <c r="S46" i="21"/>
  <c r="U46" i="21"/>
  <c r="AB46" i="21"/>
  <c r="U44" i="21"/>
  <c r="AB44" i="21"/>
  <c r="AC28" i="21"/>
  <c r="W28" i="21"/>
  <c r="AB14" i="21"/>
  <c r="U14" i="21"/>
  <c r="AC12" i="21"/>
  <c r="W12" i="21"/>
  <c r="C28" i="68"/>
  <c r="AA27" i="34"/>
  <c r="S27" i="34"/>
  <c r="AC27" i="33"/>
  <c r="W27" i="33"/>
  <c r="AB46" i="33"/>
  <c r="U46" i="33"/>
  <c r="AB31" i="34"/>
  <c r="U31" i="34"/>
  <c r="U26" i="35"/>
  <c r="AB26" i="35"/>
  <c r="AZ531" i="3"/>
  <c r="AZ533" i="3"/>
  <c r="W26" i="35"/>
  <c r="AC26" i="35"/>
  <c r="W25" i="36"/>
  <c r="AC25" i="36"/>
  <c r="U47" i="34"/>
  <c r="AB47" i="34"/>
  <c r="AC31" i="34"/>
  <c r="W31" i="34"/>
  <c r="U13" i="34"/>
  <c r="AB13" i="34"/>
  <c r="AA30" i="33"/>
  <c r="S30" i="33"/>
  <c r="W14" i="33"/>
  <c r="AC14" i="33"/>
  <c r="U14" i="33"/>
  <c r="AB14" i="33"/>
  <c r="W12" i="33"/>
  <c r="AC12" i="33"/>
  <c r="U19" i="39"/>
  <c r="AB19" i="39"/>
  <c r="S19" i="39"/>
  <c r="AA19" i="39"/>
  <c r="W27" i="39"/>
  <c r="AB13" i="39"/>
  <c r="U13" i="39"/>
  <c r="AA13" i="39"/>
  <c r="S13" i="39"/>
  <c r="AC13" i="39"/>
  <c r="W13" i="39"/>
  <c r="AC17" i="39"/>
  <c r="W17" i="21"/>
  <c r="AC23" i="21"/>
  <c r="AC10" i="21"/>
  <c r="W10" i="21"/>
  <c r="S10" i="21"/>
  <c r="U10" i="21"/>
  <c r="AB10" i="21"/>
  <c r="AA32" i="21"/>
  <c r="S32" i="21"/>
  <c r="U37" i="21"/>
  <c r="AB37" i="21"/>
  <c r="W37" i="21"/>
  <c r="AC37" i="21"/>
  <c r="S37" i="21"/>
  <c r="AA37" i="21"/>
  <c r="S23" i="21"/>
  <c r="U17" i="21"/>
  <c r="F11" i="68"/>
  <c r="M11" i="68"/>
  <c r="J10" i="68" s="1"/>
  <c r="AH13" i="46"/>
  <c r="I106" i="46"/>
  <c r="H103" i="46"/>
  <c r="AZ13" i="3"/>
  <c r="E65" i="40"/>
  <c r="D67" i="40"/>
  <c r="F7" i="21"/>
  <c r="E70" i="39"/>
  <c r="D72" i="39"/>
  <c r="AB7" i="21"/>
  <c r="U7" i="21"/>
  <c r="F6" i="59"/>
  <c r="F5" i="59" s="1"/>
  <c r="V7" i="59"/>
  <c r="C34" i="12"/>
  <c r="D33" i="12" s="1"/>
  <c r="B6" i="59"/>
  <c r="B5" i="59" s="1"/>
  <c r="D7" i="59"/>
  <c r="C6" i="59"/>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9" i="6"/>
  <c r="S6" i="1" s="1"/>
  <c r="K20" i="6"/>
  <c r="K14" i="1"/>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AB7" i="33"/>
  <c r="T48" i="33" s="1"/>
  <c r="G48" i="33" s="1"/>
  <c r="U7" i="33"/>
  <c r="F48" i="35"/>
  <c r="E46" i="36"/>
  <c r="AA7" i="33"/>
  <c r="R48" i="33" s="1"/>
  <c r="S7" i="33"/>
  <c r="J12" i="40"/>
  <c r="H12" i="39"/>
  <c r="F12" i="39"/>
  <c r="H12" i="40"/>
  <c r="F12" i="40"/>
  <c r="J12" i="39"/>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s="1"/>
  <c r="M11" i="15"/>
  <c r="J10" i="15" s="1"/>
  <c r="J5" i="15" s="1"/>
  <c r="F11" i="15"/>
  <c r="M13" i="44"/>
  <c r="J12" i="44" s="1"/>
  <c r="F1" i="15"/>
  <c r="Q53" i="15"/>
  <c r="Q75" i="15"/>
  <c r="Q62" i="15"/>
  <c r="Q75" i="44"/>
  <c r="Q62" i="44"/>
  <c r="J36" i="68"/>
  <c r="F16" i="68"/>
  <c r="E3" i="65"/>
  <c r="F37" i="68"/>
  <c r="M9" i="68"/>
  <c r="F36" i="68"/>
  <c r="E2" i="65"/>
  <c r="AE7" i="1"/>
  <c r="M24" i="68"/>
  <c r="F40" i="68"/>
  <c r="J15" i="68"/>
  <c r="F7" i="68"/>
  <c r="L48" i="68"/>
  <c r="F9" i="68"/>
  <c r="F43" i="68"/>
  <c r="F38" i="68"/>
  <c r="M6" i="68"/>
  <c r="L47" i="68"/>
  <c r="F6" i="68"/>
  <c r="M28" i="68"/>
  <c r="M27" i="68"/>
  <c r="F13" i="68"/>
  <c r="M23" i="68"/>
  <c r="F26" i="68"/>
  <c r="M8" i="68"/>
  <c r="M29" i="68"/>
  <c r="M26" i="68"/>
  <c r="M22" i="68"/>
  <c r="F8" i="68"/>
  <c r="F42" i="68"/>
  <c r="C7" i="44" l="1"/>
  <c r="C40" i="44" s="1"/>
  <c r="H69" i="21"/>
  <c r="I69" i="21" s="1"/>
  <c r="J69" i="21" s="1"/>
  <c r="K69" i="21" s="1"/>
  <c r="L69" i="21" s="1"/>
  <c r="M69" i="21" s="1"/>
  <c r="F11" i="21"/>
  <c r="J11" i="21"/>
  <c r="H11" i="21"/>
  <c r="J7" i="44"/>
  <c r="J28" i="44" s="1"/>
  <c r="J31" i="44" s="1"/>
  <c r="L56" i="68"/>
  <c r="J53" i="68"/>
  <c r="J57" i="68"/>
  <c r="J55" i="68" s="1"/>
  <c r="J58" i="68" s="1"/>
  <c r="Q51" i="68" s="1"/>
  <c r="I54" i="68"/>
  <c r="C27" i="68"/>
  <c r="F65" i="68"/>
  <c r="C6" i="68"/>
  <c r="C10" i="68" s="1"/>
  <c r="C5" i="68" s="1"/>
  <c r="F67" i="68"/>
  <c r="F70" i="68"/>
  <c r="F64" i="68"/>
  <c r="F63" i="68"/>
  <c r="Q72" i="68"/>
  <c r="F50" i="68"/>
  <c r="F49" i="68"/>
  <c r="M7" i="68"/>
  <c r="J6" i="68" s="1"/>
  <c r="L59" i="68"/>
  <c r="L58" i="68"/>
  <c r="AZ5" i="3"/>
  <c r="J5" i="68"/>
  <c r="J26" i="68" s="1"/>
  <c r="E15" i="3"/>
  <c r="E572" i="3"/>
  <c r="E13" i="3"/>
  <c r="E540" i="3"/>
  <c r="D22" i="59"/>
  <c r="C23" i="59"/>
  <c r="N53" i="59"/>
  <c r="N52" i="59"/>
  <c r="AA34" i="39"/>
  <c r="S34" i="39"/>
  <c r="K15" i="1"/>
  <c r="L19" i="6"/>
  <c r="L27" i="6" s="1"/>
  <c r="AA19" i="21"/>
  <c r="S19" i="21"/>
  <c r="T19" i="59"/>
  <c r="D19" i="59"/>
  <c r="AB19" i="21"/>
  <c r="U19" i="21"/>
  <c r="E561" i="3"/>
  <c r="E443" i="3"/>
  <c r="E78" i="3"/>
  <c r="E390" i="3"/>
  <c r="E296" i="3"/>
  <c r="E472" i="3"/>
  <c r="E253" i="3"/>
  <c r="E537" i="3"/>
  <c r="E54" i="3"/>
  <c r="E452" i="3"/>
  <c r="E213" i="3"/>
  <c r="E536" i="3"/>
  <c r="E397" i="3"/>
  <c r="E462" i="3"/>
  <c r="E47" i="3"/>
  <c r="E184" i="3"/>
  <c r="E473" i="3"/>
  <c r="N6" i="3"/>
  <c r="E232" i="3"/>
  <c r="E189" i="3"/>
  <c r="E37" i="3"/>
  <c r="E303" i="3"/>
  <c r="E275" i="3"/>
  <c r="L6" i="3"/>
  <c r="E467" i="3"/>
  <c r="E429" i="3"/>
  <c r="E67" i="3"/>
  <c r="E214" i="3"/>
  <c r="E486" i="3"/>
  <c r="E465" i="3"/>
  <c r="E154" i="3"/>
  <c r="E264" i="3"/>
  <c r="E243" i="3"/>
  <c r="E369" i="3"/>
  <c r="Y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362" i="3"/>
  <c r="E29" i="3"/>
  <c r="E559" i="3"/>
  <c r="E176" i="3"/>
  <c r="E150" i="3"/>
  <c r="E256" i="3"/>
  <c r="E228" i="3"/>
  <c r="E314" i="3"/>
  <c r="E324" i="3"/>
  <c r="E525" i="3"/>
  <c r="E502" i="3"/>
  <c r="E319" i="3"/>
  <c r="E334" i="3"/>
  <c r="K6" i="3"/>
  <c r="E456" i="3"/>
  <c r="E325" i="3"/>
  <c r="E353" i="3"/>
  <c r="E286" i="3"/>
  <c r="E396" i="3"/>
  <c r="E50" i="3"/>
  <c r="E183" i="3"/>
  <c r="AJ6" i="3"/>
  <c r="E216" i="3"/>
  <c r="E236" i="3"/>
  <c r="E320" i="3"/>
  <c r="E392" i="3"/>
  <c r="E474" i="3"/>
  <c r="E45" i="3"/>
  <c r="E373" i="3"/>
  <c r="E23" i="3"/>
  <c r="AM6" i="3"/>
  <c r="E158" i="3"/>
  <c r="E187" i="3"/>
  <c r="E199" i="3"/>
  <c r="E435" i="3"/>
  <c r="E218" i="3"/>
  <c r="E110" i="3"/>
  <c r="E174" i="3"/>
  <c r="E98" i="3"/>
  <c r="E398" i="3"/>
  <c r="E190" i="3"/>
  <c r="E420" i="3"/>
  <c r="E233" i="3"/>
  <c r="E39" i="3"/>
  <c r="E107" i="3"/>
  <c r="E288" i="3"/>
  <c r="E393" i="3"/>
  <c r="E88" i="3"/>
  <c r="E480" i="3"/>
  <c r="E220" i="3"/>
  <c r="E309" i="3"/>
  <c r="V6" i="3"/>
  <c r="E448" i="3"/>
  <c r="E105" i="3"/>
  <c r="E74" i="3"/>
  <c r="AG6" i="3"/>
  <c r="E121" i="3"/>
  <c r="E224" i="3"/>
  <c r="E419" i="3"/>
  <c r="E123" i="3"/>
  <c r="E302" i="3"/>
  <c r="E66" i="3"/>
  <c r="E386" i="3"/>
  <c r="E76" i="3"/>
  <c r="E287" i="3"/>
  <c r="E24" i="3"/>
  <c r="E188" i="3"/>
  <c r="E271" i="3"/>
  <c r="E306" i="3"/>
  <c r="E493" i="3"/>
  <c r="E551" i="3"/>
  <c r="E108" i="3"/>
  <c r="E246" i="3"/>
  <c r="E81" i="3"/>
  <c r="E16" i="3"/>
  <c r="E277" i="3"/>
  <c r="E524" i="3"/>
  <c r="E95" i="3"/>
  <c r="E19" i="3"/>
  <c r="E210" i="3"/>
  <c r="E212" i="3"/>
  <c r="E339" i="3"/>
  <c r="E298" i="3"/>
  <c r="E106" i="3"/>
  <c r="E35" i="3"/>
  <c r="E361" i="3"/>
  <c r="E169" i="3"/>
  <c r="E182" i="3"/>
  <c r="E118" i="3"/>
  <c r="E315" i="3"/>
  <c r="E226" i="3"/>
  <c r="E267" i="3"/>
  <c r="E378" i="3"/>
  <c r="E323" i="3"/>
  <c r="E312" i="3"/>
  <c r="E364" i="3"/>
  <c r="E351" i="3"/>
  <c r="E514" i="3"/>
  <c r="E342" i="3"/>
  <c r="E501" i="3"/>
  <c r="E512" i="3"/>
  <c r="E522" i="3"/>
  <c r="E384" i="3"/>
  <c r="E371" i="3"/>
  <c r="E310" i="3"/>
  <c r="E567" i="3"/>
  <c r="E487" i="3"/>
  <c r="E329" i="3"/>
  <c r="E227" i="3"/>
  <c r="AB6" i="3"/>
  <c r="E406" i="3"/>
  <c r="E26" i="3"/>
  <c r="S6" i="3"/>
  <c r="E244" i="3"/>
  <c r="E322" i="3"/>
  <c r="E71" i="3"/>
  <c r="E137" i="3"/>
  <c r="E17" i="3"/>
  <c r="E240" i="3"/>
  <c r="E301" i="3"/>
  <c r="E18" i="3"/>
  <c r="E382" i="3"/>
  <c r="E358" i="3"/>
  <c r="E484" i="3"/>
  <c r="E326" i="3"/>
  <c r="E356" i="3"/>
  <c r="E265" i="3"/>
  <c r="E337" i="3"/>
  <c r="E225" i="3"/>
  <c r="E423" i="3"/>
  <c r="E490" i="3"/>
  <c r="E442" i="3"/>
  <c r="E63" i="3"/>
  <c r="E129" i="3"/>
  <c r="E422" i="3"/>
  <c r="E293" i="3"/>
  <c r="E560" i="3"/>
  <c r="E111" i="3"/>
  <c r="E261" i="3"/>
  <c r="E203" i="3"/>
  <c r="E402" i="3"/>
  <c r="E172" i="3"/>
  <c r="E255" i="3"/>
  <c r="E417" i="3"/>
  <c r="E145" i="3"/>
  <c r="E279" i="3"/>
  <c r="E347" i="3"/>
  <c r="E517" i="3"/>
  <c r="E400" i="3"/>
  <c r="E453" i="3"/>
  <c r="E58" i="3"/>
  <c r="AQ6" i="3"/>
  <c r="E197" i="3"/>
  <c r="E162" i="3"/>
  <c r="E285" i="3"/>
  <c r="E235" i="3"/>
  <c r="E61" i="3"/>
  <c r="E229" i="3"/>
  <c r="E433" i="3"/>
  <c r="E120" i="3"/>
  <c r="E529" i="3"/>
  <c r="E191" i="3"/>
  <c r="E300" i="3"/>
  <c r="E555" i="3"/>
  <c r="E379" i="3"/>
  <c r="E355" i="3"/>
  <c r="E530" i="3"/>
  <c r="E538" i="3"/>
  <c r="E558" i="3"/>
  <c r="E403" i="3"/>
  <c r="E173" i="3"/>
  <c r="E217" i="3"/>
  <c r="E436" i="3"/>
  <c r="E177" i="3"/>
  <c r="E260" i="3"/>
  <c r="E307" i="3"/>
  <c r="E432" i="3"/>
  <c r="E90" i="3"/>
  <c r="E153" i="3"/>
  <c r="E284" i="3"/>
  <c r="E251" i="3"/>
  <c r="E360" i="3"/>
  <c r="E354" i="3"/>
  <c r="E42" i="3"/>
  <c r="E56" i="3"/>
  <c r="T6" i="3"/>
  <c r="E531" i="3"/>
  <c r="E181" i="3"/>
  <c r="E122" i="3"/>
  <c r="E144" i="3"/>
  <c r="E495" i="3"/>
  <c r="E269" i="3"/>
  <c r="E208" i="3"/>
  <c r="E219" i="3"/>
  <c r="E344" i="3"/>
  <c r="E338" i="3"/>
  <c r="E485" i="3"/>
  <c r="E506" i="3"/>
  <c r="E335" i="3"/>
  <c r="E562" i="3"/>
  <c r="E483" i="3"/>
  <c r="E571" i="3"/>
  <c r="E366" i="3"/>
  <c r="E518" i="3"/>
  <c r="E330" i="3"/>
  <c r="E167" i="3"/>
  <c r="E340" i="3"/>
  <c r="E566" i="3"/>
  <c r="E350" i="3"/>
  <c r="E515" i="3"/>
  <c r="E521" i="3"/>
  <c r="E553" i="3"/>
  <c r="E494" i="3"/>
  <c r="E130" i="3"/>
  <c r="E273" i="3"/>
  <c r="E352" i="3"/>
  <c r="E542" i="3"/>
  <c r="E461" i="3"/>
  <c r="E563" i="3"/>
  <c r="E138" i="3"/>
  <c r="E254" i="3"/>
  <c r="E328" i="3"/>
  <c r="E112" i="3"/>
  <c r="E519" i="3"/>
  <c r="E341" i="3"/>
  <c r="E155" i="3"/>
  <c r="E268" i="3"/>
  <c r="E252" i="3"/>
  <c r="E316" i="3"/>
  <c r="E346" i="3"/>
  <c r="E175" i="3"/>
  <c r="E544" i="3"/>
  <c r="E318" i="3"/>
  <c r="E565" i="3"/>
  <c r="E523" i="3"/>
  <c r="E380" i="3"/>
  <c r="E557" i="3"/>
  <c r="E503" i="3"/>
  <c r="E385" i="3"/>
  <c r="E564" i="3"/>
  <c r="E509" i="3"/>
  <c r="E508" i="3"/>
  <c r="E497" i="3"/>
  <c r="E180" i="3"/>
  <c r="E159" i="3"/>
  <c r="E488" i="3"/>
  <c r="E541" i="3"/>
  <c r="E505" i="3"/>
  <c r="E482" i="3"/>
  <c r="AL6" i="3"/>
  <c r="E372" i="3"/>
  <c r="E194" i="3"/>
  <c r="E116" i="3"/>
  <c r="E545" i="3"/>
  <c r="E507" i="3"/>
  <c r="E546"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83" i="3"/>
  <c r="E156" i="3"/>
  <c r="E49" i="3"/>
  <c r="E193" i="3"/>
  <c r="E104" i="3"/>
  <c r="E534" i="3"/>
  <c r="E387" i="3"/>
  <c r="R6" i="3"/>
  <c r="E125" i="3"/>
  <c r="AH6" i="3"/>
  <c r="P6" i="3"/>
  <c r="E84" i="3"/>
  <c r="AP6" i="3"/>
  <c r="E431" i="3"/>
  <c r="E70" i="3"/>
  <c r="E38" i="3"/>
  <c r="E151" i="3"/>
  <c r="E313" i="3"/>
  <c r="E53" i="3"/>
  <c r="E405" i="3"/>
  <c r="W6" i="3"/>
  <c r="E363" i="3"/>
  <c r="E113" i="3"/>
  <c r="E79" i="3"/>
  <c r="E425" i="3"/>
  <c r="E401" i="3"/>
  <c r="E257" i="3"/>
  <c r="E272" i="3"/>
  <c r="E166" i="3"/>
  <c r="E102" i="3"/>
  <c r="O6" i="3"/>
  <c r="E25" i="3"/>
  <c r="E204" i="3"/>
  <c r="E258" i="3"/>
  <c r="E207" i="3"/>
  <c r="E479" i="3"/>
  <c r="E449" i="3"/>
  <c r="E43" i="3"/>
  <c r="E196" i="3"/>
  <c r="E276" i="3"/>
  <c r="E259" i="3"/>
  <c r="E37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77" i="3"/>
  <c r="E533" i="3"/>
  <c r="E481" i="3"/>
  <c r="E368" i="3"/>
  <c r="E163" i="3"/>
  <c r="E20" i="3"/>
  <c r="E498" i="3"/>
  <c r="E532" i="3"/>
  <c r="E511" i="3"/>
  <c r="E510" i="3"/>
  <c r="E499" i="3"/>
  <c r="E14" i="3"/>
  <c r="E171" i="3"/>
  <c r="E543" i="3"/>
  <c r="E491" i="3"/>
  <c r="E128" i="3"/>
  <c r="E308" i="3"/>
  <c r="E526" i="3"/>
  <c r="E554" i="3"/>
  <c r="E569" i="3"/>
  <c r="E489"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535" i="3"/>
  <c r="E381" i="3"/>
  <c r="E427" i="3"/>
  <c r="E278" i="3"/>
  <c r="E94" i="3"/>
  <c r="E376" i="3"/>
  <c r="E294" i="3"/>
  <c r="E21" i="3"/>
  <c r="E64" i="3"/>
  <c r="E140" i="3"/>
  <c r="E343" i="3"/>
  <c r="E142" i="3"/>
  <c r="E410" i="3"/>
  <c r="E468" i="3"/>
  <c r="E109" i="3"/>
  <c r="E185" i="3"/>
  <c r="E148" i="3"/>
  <c r="E27" i="3"/>
  <c r="E412" i="3"/>
  <c r="E469" i="3"/>
  <c r="E247" i="3"/>
  <c r="E136" i="3"/>
  <c r="E568" i="3"/>
  <c r="E85" i="3"/>
  <c r="E539" i="3"/>
  <c r="E332" i="3"/>
  <c r="E245" i="3"/>
  <c r="E139" i="3"/>
  <c r="E52" i="3"/>
  <c r="E445" i="3"/>
  <c r="E451" i="3"/>
  <c r="E556" i="3"/>
  <c r="U6" i="3"/>
  <c r="E291" i="3"/>
  <c r="E305" i="3"/>
  <c r="E527" i="3"/>
  <c r="E73" i="3"/>
  <c r="E365" i="3"/>
  <c r="E126" i="3"/>
  <c r="E248" i="3"/>
  <c r="E211" i="3"/>
  <c r="E33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H6" i="3" s="1"/>
  <c r="E103" i="3"/>
  <c r="E548" i="3"/>
  <c r="E200" i="3"/>
  <c r="Z6" i="3"/>
  <c r="E62" i="3"/>
  <c r="E454" i="3"/>
  <c r="E389" i="3"/>
  <c r="E520" i="3"/>
  <c r="E230" i="3"/>
  <c r="AK6" i="3"/>
  <c r="E143" i="3"/>
  <c r="E504" i="3"/>
  <c r="P53" i="59"/>
  <c r="P52" i="59"/>
  <c r="AB34" i="39"/>
  <c r="U34" i="39"/>
  <c r="AC7" i="33"/>
  <c r="V48" i="33" s="1"/>
  <c r="I48" i="33" s="1"/>
  <c r="I52" i="33" s="1"/>
  <c r="J52" i="33" s="1"/>
  <c r="W7" i="33"/>
  <c r="W19" i="21"/>
  <c r="AC19" i="21"/>
  <c r="U11" i="21"/>
  <c r="AB11" i="21"/>
  <c r="T48" i="21" s="1"/>
  <c r="G48" i="21" s="1"/>
  <c r="E516" i="3"/>
  <c r="T47" i="59"/>
  <c r="D47" i="59"/>
  <c r="C52" i="68"/>
  <c r="O28" i="46"/>
  <c r="M21" i="6"/>
  <c r="I21" i="6" s="1"/>
  <c r="S21" i="6" s="1"/>
  <c r="S8" i="1"/>
  <c r="M20" i="6"/>
  <c r="I20" i="6" s="1"/>
  <c r="S20" i="6" s="1"/>
  <c r="S7" i="1"/>
  <c r="E3" i="6"/>
  <c r="AY6" i="3"/>
  <c r="F70" i="39"/>
  <c r="E72" i="39"/>
  <c r="AA7" i="21"/>
  <c r="S7" i="21"/>
  <c r="F65" i="40"/>
  <c r="E67" i="40"/>
  <c r="D6" i="59"/>
  <c r="C5" i="59"/>
  <c r="D5" i="59" s="1"/>
  <c r="M28" i="46"/>
  <c r="G20" i="46" s="1"/>
  <c r="E41" i="46" s="1"/>
  <c r="C41" i="46" s="1"/>
  <c r="N28" i="46"/>
  <c r="B40" i="1"/>
  <c r="F17" i="11"/>
  <c r="C17" i="11" s="1"/>
  <c r="C19" i="11" s="1"/>
  <c r="C20" i="11" s="1"/>
  <c r="C21" i="11" s="1"/>
  <c r="C22" i="11" s="1"/>
  <c r="C23" i="11" s="1"/>
  <c r="B2" i="11" s="1"/>
  <c r="S5" i="46"/>
  <c r="S2" i="46"/>
  <c r="S3" i="46"/>
  <c r="S7" i="46"/>
  <c r="S6" i="46"/>
  <c r="S4" i="46"/>
  <c r="K16" i="1"/>
  <c r="M14" i="1"/>
  <c r="M19" i="6"/>
  <c r="K27" i="6"/>
  <c r="G52" i="37"/>
  <c r="H7" i="34"/>
  <c r="J7" i="34"/>
  <c r="AA12" i="40"/>
  <c r="S12" i="40"/>
  <c r="S12" i="39"/>
  <c r="AA12" i="39"/>
  <c r="W12" i="40"/>
  <c r="AC12" i="40"/>
  <c r="R49" i="33"/>
  <c r="E48" i="33"/>
  <c r="G48" i="35"/>
  <c r="G52" i="33"/>
  <c r="H52" i="33" s="1"/>
  <c r="G53" i="33"/>
  <c r="H53" i="33" s="1"/>
  <c r="AC12" i="39"/>
  <c r="W12" i="39"/>
  <c r="AB12" i="40"/>
  <c r="U12" i="40"/>
  <c r="U12" i="39"/>
  <c r="AB12" i="39"/>
  <c r="F46" i="36"/>
  <c r="G46" i="36" s="1"/>
  <c r="H46" i="36" s="1"/>
  <c r="I46" i="36" s="1"/>
  <c r="J46" i="36" s="1"/>
  <c r="K46" i="36" s="1"/>
  <c r="L46" i="36" s="1"/>
  <c r="M46" i="36" s="1"/>
  <c r="N46" i="36" s="1"/>
  <c r="O46" i="36" s="1"/>
  <c r="F7" i="34"/>
  <c r="C115" i="46"/>
  <c r="D113" i="46" s="1"/>
  <c r="C34" i="44"/>
  <c r="C52" i="15"/>
  <c r="C47" i="15" s="1"/>
  <c r="C10" i="15"/>
  <c r="C5" i="15" s="1"/>
  <c r="J24" i="15"/>
  <c r="J18" i="15"/>
  <c r="C16" i="68"/>
  <c r="C17" i="15"/>
  <c r="L52" i="44"/>
  <c r="F41" i="15"/>
  <c r="C17" i="68"/>
  <c r="E6" i="3" l="1"/>
  <c r="S11" i="21"/>
  <c r="AA11" i="21"/>
  <c r="R48" i="21" s="1"/>
  <c r="W11" i="21"/>
  <c r="AC11" i="21"/>
  <c r="V48" i="21" s="1"/>
  <c r="I48" i="21" s="1"/>
  <c r="J26" i="44"/>
  <c r="J20" i="44"/>
  <c r="C48" i="68"/>
  <c r="J18" i="68"/>
  <c r="C47" i="68"/>
  <c r="C65" i="68" s="1"/>
  <c r="J24" i="68"/>
  <c r="G52" i="21"/>
  <c r="H52" i="21" s="1"/>
  <c r="Q75" i="68"/>
  <c r="Q62" i="68"/>
  <c r="Q53" i="68"/>
  <c r="F1" i="68"/>
  <c r="S16" i="1"/>
  <c r="T23" i="59"/>
  <c r="D23" i="59"/>
  <c r="Q61" i="68"/>
  <c r="Q74" i="68"/>
  <c r="F68" i="15"/>
  <c r="F24" i="15"/>
  <c r="C24" i="15" s="1"/>
  <c r="F24" i="68"/>
  <c r="C38" i="68"/>
  <c r="C32" i="68"/>
  <c r="D3" i="6"/>
  <c r="F3" i="7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BE6" i="3"/>
  <c r="AY121" i="3"/>
  <c r="AY523" i="3"/>
  <c r="AY482" i="3"/>
  <c r="AY441" i="3"/>
  <c r="AY491" i="3"/>
  <c r="AY508" i="3"/>
  <c r="C21" i="4"/>
  <c r="O5" i="54" s="1"/>
  <c r="B45" i="63" s="1"/>
  <c r="D10" i="11"/>
  <c r="D16" i="12"/>
  <c r="E6" i="6"/>
  <c r="D16" i="43"/>
  <c r="C16" i="43" s="1"/>
  <c r="L38" i="9"/>
  <c r="B14" i="66" s="1"/>
  <c r="B1" i="66" s="1"/>
  <c r="D46" i="9"/>
  <c r="D45" i="9"/>
  <c r="F67" i="40"/>
  <c r="G65" i="40"/>
  <c r="F72" i="39"/>
  <c r="G70" i="39"/>
  <c r="F21" i="43"/>
  <c r="C23" i="43" s="1"/>
  <c r="D21" i="43" s="1"/>
  <c r="F7" i="36"/>
  <c r="S7" i="36" s="1"/>
  <c r="C20" i="46"/>
  <c r="M20" i="46"/>
  <c r="C19" i="46" s="1"/>
  <c r="F26" i="12"/>
  <c r="C27" i="12" s="1"/>
  <c r="D26" i="12" s="1"/>
  <c r="C32" i="12" s="1"/>
  <c r="D30" i="12" s="1"/>
  <c r="F26" i="44"/>
  <c r="C26" i="44" s="1"/>
  <c r="I19" i="6"/>
  <c r="M27" i="6"/>
  <c r="T13" i="1"/>
  <c r="M16" i="1"/>
  <c r="T9" i="1"/>
  <c r="T11" i="1"/>
  <c r="T12" i="1"/>
  <c r="O14" i="1"/>
  <c r="O16" i="1" s="1"/>
  <c r="T7" i="1"/>
  <c r="T10" i="1"/>
  <c r="T6" i="1"/>
  <c r="T8" i="1"/>
  <c r="AA7" i="36"/>
  <c r="R36" i="36" s="1"/>
  <c r="H48" i="35"/>
  <c r="E52" i="33"/>
  <c r="F52" i="33" s="1"/>
  <c r="E53" i="33"/>
  <c r="F53" i="33" s="1"/>
  <c r="I53" i="33"/>
  <c r="J53" i="33" s="1"/>
  <c r="W7" i="34"/>
  <c r="AC7" i="34"/>
  <c r="V49" i="34" s="1"/>
  <c r="I49" i="34" s="1"/>
  <c r="S7" i="34"/>
  <c r="AA7" i="34"/>
  <c r="R49" i="34" s="1"/>
  <c r="H7" i="36"/>
  <c r="C49" i="33"/>
  <c r="B3" i="33" s="1"/>
  <c r="C48" i="33"/>
  <c r="AB7" i="34"/>
  <c r="T49" i="34" s="1"/>
  <c r="G49" i="34" s="1"/>
  <c r="U7" i="34"/>
  <c r="H52" i="37"/>
  <c r="J7" i="36"/>
  <c r="Q69" i="44"/>
  <c r="L58" i="44"/>
  <c r="L61" i="44" s="1"/>
  <c r="L47" i="44" s="1"/>
  <c r="C32" i="15"/>
  <c r="C38" i="15"/>
  <c r="B5" i="11"/>
  <c r="B3" i="11"/>
  <c r="B4" i="11"/>
  <c r="C59" i="15"/>
  <c r="C65" i="15"/>
  <c r="Q49" i="44"/>
  <c r="Q55" i="44" s="1"/>
  <c r="Q67" i="44"/>
  <c r="Q58" i="44"/>
  <c r="C16" i="44"/>
  <c r="C14" i="68"/>
  <c r="C14" i="15"/>
  <c r="AE8" i="1"/>
  <c r="B2" i="33" l="1"/>
  <c r="D10" i="12" s="1"/>
  <c r="D8" i="12"/>
  <c r="C59" i="68"/>
  <c r="I52" i="21"/>
  <c r="J52" i="21" s="1"/>
  <c r="G53" i="21"/>
  <c r="H53" i="21" s="1"/>
  <c r="E48" i="21"/>
  <c r="E52" i="21" s="1"/>
  <c r="F52" i="21" s="1"/>
  <c r="R49" i="21"/>
  <c r="C18" i="68"/>
  <c r="C15" i="68"/>
  <c r="T16" i="1"/>
  <c r="C24" i="68"/>
  <c r="C7" i="66"/>
  <c r="C8" i="66"/>
  <c r="D22" i="12"/>
  <c r="C22" i="12" s="1"/>
  <c r="C20" i="12" s="1"/>
  <c r="D13" i="11"/>
  <c r="C13" i="11" s="1"/>
  <c r="D19" i="12"/>
  <c r="C19" i="12" s="1"/>
  <c r="C16" i="12"/>
  <c r="C22" i="4"/>
  <c r="D21" i="6"/>
  <c r="D10" i="6"/>
  <c r="H21" i="6"/>
  <c r="D6" i="6"/>
  <c r="D14" i="6"/>
  <c r="D20" i="6"/>
  <c r="H23" i="6"/>
  <c r="F45" i="9"/>
  <c r="E68" i="39"/>
  <c r="D24" i="6"/>
  <c r="D22" i="6"/>
  <c r="D12" i="6"/>
  <c r="H25" i="6"/>
  <c r="D5" i="6"/>
  <c r="H22" i="6"/>
  <c r="H26" i="6"/>
  <c r="F46" i="9"/>
  <c r="E63" i="40"/>
  <c r="D19" i="6"/>
  <c r="D25" i="6"/>
  <c r="R25" i="6" s="1"/>
  <c r="D13" i="6"/>
  <c r="H24" i="6"/>
  <c r="D23" i="6"/>
  <c r="D28" i="6"/>
  <c r="D8" i="6"/>
  <c r="E45" i="9"/>
  <c r="K38" i="9"/>
  <c r="C14" i="66" s="1"/>
  <c r="B2" i="66" s="1"/>
  <c r="D26" i="6"/>
  <c r="R26" i="6" s="1"/>
  <c r="D11" i="6"/>
  <c r="H20" i="6"/>
  <c r="D9" i="6"/>
  <c r="D29" i="6"/>
  <c r="D15" i="6"/>
  <c r="E46" i="9"/>
  <c r="P14" i="1"/>
  <c r="P16" i="1" s="1"/>
  <c r="C13" i="12" s="1"/>
  <c r="C17" i="12" s="1"/>
  <c r="H70" i="39"/>
  <c r="G72" i="39"/>
  <c r="C48" i="21"/>
  <c r="C49" i="21"/>
  <c r="B3" i="21" s="1"/>
  <c r="H65" i="40"/>
  <c r="G67" i="40"/>
  <c r="E53" i="21"/>
  <c r="F53" i="21" s="1"/>
  <c r="I53" i="21"/>
  <c r="J53" i="21" s="1"/>
  <c r="C34" i="46"/>
  <c r="E34" i="46" s="1"/>
  <c r="T11" i="46"/>
  <c r="V11" i="46" s="1"/>
  <c r="T8" i="46"/>
  <c r="V8" i="46" s="1"/>
  <c r="C29" i="46"/>
  <c r="C30" i="46" s="1"/>
  <c r="E30" i="46" s="1"/>
  <c r="T15" i="46"/>
  <c r="V15" i="46" s="1"/>
  <c r="T9" i="46"/>
  <c r="V9" i="46" s="1"/>
  <c r="C38" i="46"/>
  <c r="T5" i="46"/>
  <c r="V5" i="46" s="1"/>
  <c r="T6" i="46"/>
  <c r="V6" i="46" s="1"/>
  <c r="C36" i="46"/>
  <c r="T7" i="46"/>
  <c r="V7" i="46" s="1"/>
  <c r="C37" i="46"/>
  <c r="G34" i="46"/>
  <c r="I34" i="46" s="1"/>
  <c r="T10" i="46"/>
  <c r="V10" i="46" s="1"/>
  <c r="T13" i="46"/>
  <c r="V13" i="46" s="1"/>
  <c r="T12" i="46"/>
  <c r="V12" i="46" s="1"/>
  <c r="T14" i="46"/>
  <c r="V14" i="46" s="1"/>
  <c r="T16" i="46"/>
  <c r="V16" i="46" s="1"/>
  <c r="C35" i="46"/>
  <c r="G35" i="46" s="1"/>
  <c r="I35" i="46" s="1"/>
  <c r="T3" i="46"/>
  <c r="V3" i="46" s="1"/>
  <c r="C39" i="46"/>
  <c r="T2" i="46"/>
  <c r="V2" i="46" s="1"/>
  <c r="T4" i="46"/>
  <c r="V4" i="46" s="1"/>
  <c r="C33" i="46"/>
  <c r="E35" i="46"/>
  <c r="C15" i="15"/>
  <c r="C18" i="15"/>
  <c r="C17" i="44"/>
  <c r="C20" i="44"/>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F41" i="68"/>
  <c r="J29" i="68" l="1"/>
  <c r="F68" i="68"/>
  <c r="C19" i="68"/>
  <c r="C20" i="68" s="1"/>
  <c r="C26" i="68" s="1"/>
  <c r="C14" i="12"/>
  <c r="C18" i="12" s="1"/>
  <c r="C23" i="12" s="1"/>
  <c r="B2" i="21"/>
  <c r="C10" i="12" s="1"/>
  <c r="C8" i="12"/>
  <c r="R23" i="6"/>
  <c r="E29" i="46"/>
  <c r="D7" i="66"/>
  <c r="D8" i="66"/>
  <c r="D30" i="6"/>
  <c r="R22" i="6"/>
  <c r="R21" i="6"/>
  <c r="R8" i="1" s="1"/>
  <c r="D16" i="6"/>
  <c r="D27" i="6"/>
  <c r="D31" i="6" s="1"/>
  <c r="I6" i="6" s="1"/>
  <c r="R24" i="6"/>
  <c r="R20" i="6"/>
  <c r="R7" i="1" s="1"/>
  <c r="A6" i="64"/>
  <c r="A20" i="51"/>
  <c r="B15" i="63" s="1"/>
  <c r="A6" i="51"/>
  <c r="B7" i="63" s="1"/>
  <c r="A20" i="64"/>
  <c r="N5" i="54"/>
  <c r="B43" i="63" s="1"/>
  <c r="H67" i="40"/>
  <c r="I65" i="40"/>
  <c r="I70" i="39"/>
  <c r="H72" i="39"/>
  <c r="G39" i="46"/>
  <c r="I39" i="46" s="1"/>
  <c r="E39" i="46"/>
  <c r="E38" i="46"/>
  <c r="G38" i="46"/>
  <c r="I38" i="46" s="1"/>
  <c r="E33" i="46"/>
  <c r="C26" i="46" s="1"/>
  <c r="G33" i="46"/>
  <c r="I33" i="46" s="1"/>
  <c r="G37" i="46"/>
  <c r="I37" i="46" s="1"/>
  <c r="E37" i="46"/>
  <c r="G36" i="46"/>
  <c r="I36" i="46" s="1"/>
  <c r="E36" i="46"/>
  <c r="I5" i="6"/>
  <c r="C27" i="46"/>
  <c r="C19" i="15"/>
  <c r="C20" i="15" s="1"/>
  <c r="C26" i="15" s="1"/>
  <c r="C21" i="44"/>
  <c r="C22" i="44" s="1"/>
  <c r="C25" i="44"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7" i="67"/>
  <c r="M21" i="15"/>
  <c r="F35" i="15"/>
  <c r="M21" i="68"/>
  <c r="E7" i="67"/>
  <c r="F35" i="68"/>
  <c r="C23" i="68" l="1"/>
  <c r="C29" i="68" s="1"/>
  <c r="C34" i="15"/>
  <c r="F62" i="15"/>
  <c r="C61" i="15" s="1"/>
  <c r="J20" i="15"/>
  <c r="F62" i="68"/>
  <c r="C61" i="68" s="1"/>
  <c r="C34" i="68"/>
  <c r="J20" i="68"/>
  <c r="C33" i="68"/>
  <c r="C31" i="68" s="1"/>
  <c r="C60" i="68"/>
  <c r="R27" i="6"/>
  <c r="R6" i="1"/>
  <c r="R16" i="1" s="1"/>
  <c r="J65" i="40"/>
  <c r="I67" i="40"/>
  <c r="J70" i="39"/>
  <c r="I72" i="39"/>
  <c r="E4" i="67"/>
  <c r="E3" i="67"/>
  <c r="B2" i="46"/>
  <c r="D4" i="46" s="1"/>
  <c r="C18" i="43"/>
  <c r="C19" i="43" s="1"/>
  <c r="C25" i="43" s="1"/>
  <c r="C24" i="43" s="1"/>
  <c r="C28" i="44"/>
  <c r="C31" i="44" s="1"/>
  <c r="C23" i="15"/>
  <c r="C29" i="15" s="1"/>
  <c r="C36" i="15" s="1"/>
  <c r="K48" i="35"/>
  <c r="L48" i="35" s="1"/>
  <c r="M48" i="35" s="1"/>
  <c r="N48" i="35" s="1"/>
  <c r="O48" i="35" s="1"/>
  <c r="J7" i="35"/>
  <c r="K52" i="37"/>
  <c r="B7" i="67"/>
  <c r="J19" i="68" l="1"/>
  <c r="J17" i="68" s="1"/>
  <c r="J59" i="68"/>
  <c r="J60" i="68" s="1"/>
  <c r="Q49" i="68" s="1"/>
  <c r="C36" i="68"/>
  <c r="J14" i="68"/>
  <c r="J13" i="68" s="1"/>
  <c r="J23" i="68" s="1"/>
  <c r="C56" i="68"/>
  <c r="C63" i="68" s="1"/>
  <c r="C13" i="68"/>
  <c r="J35" i="68" s="1"/>
  <c r="Q50" i="68"/>
  <c r="C58" i="68"/>
  <c r="B3" i="46"/>
  <c r="J72" i="39"/>
  <c r="K70" i="39"/>
  <c r="K65" i="40"/>
  <c r="J67" i="40"/>
  <c r="B4" i="46"/>
  <c r="B2" i="67"/>
  <c r="B4" i="67" s="1"/>
  <c r="J59" i="15"/>
  <c r="J60" i="15" s="1"/>
  <c r="Q49" i="15" s="1"/>
  <c r="C13" i="15"/>
  <c r="J35" i="15" s="1"/>
  <c r="C33" i="15"/>
  <c r="C31" i="15" s="1"/>
  <c r="C56" i="15"/>
  <c r="C60" i="15" s="1"/>
  <c r="C58"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L52" i="37"/>
  <c r="F7" i="35"/>
  <c r="H7" i="35"/>
  <c r="C55" i="68" l="1"/>
  <c r="C64" i="68" s="1"/>
  <c r="J22" i="68"/>
  <c r="J16" i="68" s="1"/>
  <c r="J25" i="68" s="1"/>
  <c r="C37" i="68"/>
  <c r="C30" i="68" s="1"/>
  <c r="C39" i="68" s="1"/>
  <c r="Q71" i="68"/>
  <c r="C57" i="68"/>
  <c r="C66" i="68" s="1"/>
  <c r="C67" i="68" s="1"/>
  <c r="C70" i="68" s="1"/>
  <c r="J22" i="15"/>
  <c r="J16" i="15" s="1"/>
  <c r="J25" i="15" s="1"/>
  <c r="J26" i="15" s="1"/>
  <c r="J29" i="15" s="1"/>
  <c r="L57" i="68"/>
  <c r="L60" i="68" s="1"/>
  <c r="L46" i="68" s="1"/>
  <c r="L70" i="39"/>
  <c r="K72" i="39"/>
  <c r="K67" i="40"/>
  <c r="L65" i="40"/>
  <c r="B3" i="67"/>
  <c r="C55" i="15"/>
  <c r="C64" i="15" s="1"/>
  <c r="C63" i="15"/>
  <c r="C37" i="15"/>
  <c r="C30" i="15" s="1"/>
  <c r="C39" i="15" s="1"/>
  <c r="C40" i="15" s="1"/>
  <c r="Q71" i="15"/>
  <c r="B4" i="43"/>
  <c r="B5" i="43"/>
  <c r="B3" i="43"/>
  <c r="Q72" i="44"/>
  <c r="C39" i="44"/>
  <c r="C32" i="44" s="1"/>
  <c r="C42" i="44" s="1"/>
  <c r="C43" i="44"/>
  <c r="J24" i="44"/>
  <c r="J15" i="44"/>
  <c r="J25" i="44" s="1"/>
  <c r="AB7" i="35"/>
  <c r="T38" i="35" s="1"/>
  <c r="G38" i="35" s="1"/>
  <c r="U7" i="35"/>
  <c r="AA7" i="35"/>
  <c r="R38" i="35" s="1"/>
  <c r="S7" i="35"/>
  <c r="M52" i="37"/>
  <c r="I42" i="35"/>
  <c r="J42" i="35" s="1"/>
  <c r="L51" i="68"/>
  <c r="Q68" i="68" l="1"/>
  <c r="Q70" i="68"/>
  <c r="Q69" i="68" s="1"/>
  <c r="J39" i="68"/>
  <c r="J40" i="68" s="1"/>
  <c r="C40" i="68"/>
  <c r="C46" i="68" s="1"/>
  <c r="Q67" i="68"/>
  <c r="Q58" i="68"/>
  <c r="M65" i="40"/>
  <c r="L67" i="40"/>
  <c r="L72" i="39"/>
  <c r="M70" i="39"/>
  <c r="C57" i="15"/>
  <c r="C66" i="15" s="1"/>
  <c r="C67" i="15" s="1"/>
  <c r="C70" i="15" s="1"/>
  <c r="J39" i="15"/>
  <c r="J40" i="15" s="1"/>
  <c r="Q70" i="15"/>
  <c r="Q69" i="15" s="1"/>
  <c r="L57" i="15"/>
  <c r="L60" i="15" s="1"/>
  <c r="Q58" i="15" s="1"/>
  <c r="Q71" i="44"/>
  <c r="Q70" i="44" s="1"/>
  <c r="C44" i="44"/>
  <c r="C45" i="44" s="1"/>
  <c r="B2" i="44" s="1"/>
  <c r="C43" i="15"/>
  <c r="Q48" i="15"/>
  <c r="Q54" i="15" s="1"/>
  <c r="Q57" i="15"/>
  <c r="Q66" i="15"/>
  <c r="J42" i="15"/>
  <c r="J43" i="15" s="1"/>
  <c r="J18" i="44"/>
  <c r="J27" i="44" s="1"/>
  <c r="N52" i="37"/>
  <c r="O52" i="37" s="1"/>
  <c r="F7" i="37"/>
  <c r="R39" i="35"/>
  <c r="E38" i="35"/>
  <c r="G42" i="35"/>
  <c r="H42" i="35" s="1"/>
  <c r="G43" i="35"/>
  <c r="H43" i="35" s="1"/>
  <c r="L51" i="15"/>
  <c r="Q68" i="15" l="1"/>
  <c r="Q57" i="68"/>
  <c r="Q66" i="68"/>
  <c r="C43" i="68"/>
  <c r="B2" i="68"/>
  <c r="Q48" i="68"/>
  <c r="Q54" i="68" s="1"/>
  <c r="J42" i="68"/>
  <c r="J43" i="68" s="1"/>
  <c r="Q63" i="68"/>
  <c r="Q76" i="68"/>
  <c r="N70" i="39"/>
  <c r="N72" i="39" s="1"/>
  <c r="M72" i="39"/>
  <c r="F9" i="39" s="1"/>
  <c r="J9" i="39"/>
  <c r="H9" i="39"/>
  <c r="N65" i="40"/>
  <c r="N67" i="40" s="1"/>
  <c r="M67" i="40"/>
  <c r="F9" i="40" s="1"/>
  <c r="C46" i="15"/>
  <c r="Q63" i="15"/>
  <c r="Q67" i="15"/>
  <c r="Q76" i="15" s="1"/>
  <c r="L46" i="15"/>
  <c r="B2" i="15" s="1"/>
  <c r="B3" i="44"/>
  <c r="B5" i="44"/>
  <c r="B4" i="44"/>
  <c r="AA7" i="37"/>
  <c r="R42" i="37" s="1"/>
  <c r="S7" i="37"/>
  <c r="E43" i="35"/>
  <c r="F43" i="35" s="1"/>
  <c r="E42" i="35"/>
  <c r="F42" i="35" s="1"/>
  <c r="I43" i="35"/>
  <c r="J43" i="35" s="1"/>
  <c r="C39" i="35"/>
  <c r="B3" i="35" s="1"/>
  <c r="B2" i="35" s="1"/>
  <c r="C38" i="35"/>
  <c r="H7" i="37"/>
  <c r="J7" i="37"/>
  <c r="B3" i="68" l="1"/>
  <c r="E8" i="12" s="1"/>
  <c r="E10" i="12"/>
  <c r="B3" i="15"/>
  <c r="C6" i="12"/>
  <c r="AA9" i="40"/>
  <c r="R44" i="40" s="1"/>
  <c r="S9" i="40"/>
  <c r="AC9" i="39"/>
  <c r="V49" i="39" s="1"/>
  <c r="I49" i="39" s="1"/>
  <c r="W9" i="39"/>
  <c r="J9" i="40"/>
  <c r="AA9" i="39"/>
  <c r="R49" i="39" s="1"/>
  <c r="S9" i="39"/>
  <c r="U9" i="39"/>
  <c r="AB9" i="39"/>
  <c r="T49" i="39" s="1"/>
  <c r="G49" i="39" s="1"/>
  <c r="H9" i="40"/>
  <c r="W7" i="37"/>
  <c r="AC7" i="37"/>
  <c r="V42" i="37" s="1"/>
  <c r="I42" i="37" s="1"/>
  <c r="AB7" i="37"/>
  <c r="T42" i="37" s="1"/>
  <c r="G42" i="37" s="1"/>
  <c r="U7" i="37"/>
  <c r="E42" i="37"/>
  <c r="R43" i="37"/>
  <c r="C29" i="12" l="1"/>
  <c r="C24" i="12"/>
  <c r="G54" i="39"/>
  <c r="H54" i="39" s="1"/>
  <c r="G53" i="39"/>
  <c r="H53" i="39" s="1"/>
  <c r="AB9" i="40"/>
  <c r="T44" i="40" s="1"/>
  <c r="G44" i="40" s="1"/>
  <c r="U9" i="40"/>
  <c r="R50" i="39"/>
  <c r="E49" i="39"/>
  <c r="AC9" i="40"/>
  <c r="V44" i="40" s="1"/>
  <c r="I44" i="40" s="1"/>
  <c r="I48" i="40" s="1"/>
  <c r="J48" i="40" s="1"/>
  <c r="W9" i="40"/>
  <c r="I53" i="39"/>
  <c r="J53" i="39" s="1"/>
  <c r="I54" i="39"/>
  <c r="J54" i="39" s="1"/>
  <c r="R45" i="40"/>
  <c r="E44" i="40"/>
  <c r="C43" i="37"/>
  <c r="B3" i="37" s="1"/>
  <c r="B2" i="37" s="1"/>
  <c r="C42" i="37"/>
  <c r="I46" i="37"/>
  <c r="J46" i="37" s="1"/>
  <c r="I47" i="37"/>
  <c r="J47" i="37" s="1"/>
  <c r="E47" i="37"/>
  <c r="F47" i="37" s="1"/>
  <c r="E46" i="37"/>
  <c r="F46" i="37" s="1"/>
  <c r="G46" i="37"/>
  <c r="H46" i="37" s="1"/>
  <c r="G47" i="37"/>
  <c r="H47" i="37" s="1"/>
  <c r="C35" i="12" l="1"/>
  <c r="C33" i="12" s="1"/>
  <c r="C28" i="12"/>
  <c r="C26" i="12" s="1"/>
  <c r="C31" i="12" s="1"/>
  <c r="C30" i="12" s="1"/>
  <c r="I49" i="40"/>
  <c r="J49" i="40" s="1"/>
  <c r="E48" i="40"/>
  <c r="F48" i="40" s="1"/>
  <c r="E49" i="40"/>
  <c r="F49" i="40" s="1"/>
  <c r="E53" i="39"/>
  <c r="F53" i="39" s="1"/>
  <c r="E54" i="39"/>
  <c r="F54" i="39" s="1"/>
  <c r="C44" i="40"/>
  <c r="C45" i="40"/>
  <c r="C50" i="39"/>
  <c r="C49" i="39"/>
  <c r="G49" i="40"/>
  <c r="H49" i="40" s="1"/>
  <c r="G48" i="40"/>
  <c r="H48" i="40" s="1"/>
  <c r="C36" i="12" l="1"/>
  <c r="B2" i="12" s="1"/>
  <c r="B61" i="39"/>
  <c r="F61" i="39" s="1"/>
  <c r="B59" i="39"/>
  <c r="F59" i="39" s="1"/>
  <c r="B67" i="39"/>
  <c r="F67" i="39" s="1"/>
  <c r="B65" i="39"/>
  <c r="F65" i="39" s="1"/>
  <c r="B60" i="39"/>
  <c r="F60" i="39" s="1"/>
  <c r="B63" i="39"/>
  <c r="F63" i="39" s="1"/>
  <c r="B62" i="39"/>
  <c r="F62" i="39" s="1"/>
  <c r="B64" i="39"/>
  <c r="F64" i="39" s="1"/>
  <c r="B66" i="39"/>
  <c r="F66" i="39" s="1"/>
  <c r="B58" i="39"/>
  <c r="F58" i="39" s="1"/>
  <c r="F68" i="39" s="1"/>
  <c r="B2" i="39" s="1"/>
  <c r="B55" i="40"/>
  <c r="F55" i="40" s="1"/>
  <c r="B53" i="40"/>
  <c r="F53" i="40" s="1"/>
  <c r="B57" i="40"/>
  <c r="F57" i="40" s="1"/>
  <c r="F63" i="40"/>
  <c r="B2" i="40" s="1"/>
  <c r="B56" i="40"/>
  <c r="F56" i="40" s="1"/>
  <c r="B60" i="40"/>
  <c r="F60" i="40" s="1"/>
  <c r="B61" i="40"/>
  <c r="F61" i="40" s="1"/>
  <c r="B58" i="40"/>
  <c r="F58" i="40" s="1"/>
  <c r="B59" i="40"/>
  <c r="F59" i="40" s="1"/>
  <c r="B54" i="40"/>
  <c r="F54" i="40" s="1"/>
  <c r="B62" i="40"/>
  <c r="F62" i="40" s="1"/>
  <c r="D19" i="9"/>
  <c r="C19" i="9"/>
  <c r="L43" i="9" l="1"/>
  <c r="G19" i="9"/>
  <c r="D22" i="9"/>
  <c r="L44" i="9"/>
  <c r="B4" i="12"/>
  <c r="B5" i="12"/>
  <c r="B3" i="12"/>
  <c r="B5" i="40"/>
  <c r="B3" i="40"/>
  <c r="B4" i="40"/>
  <c r="B5" i="39"/>
  <c r="B3" i="39"/>
  <c r="B4" i="39"/>
  <c r="C20" i="9"/>
  <c r="D20" i="9"/>
  <c r="D21" i="9"/>
  <c r="C21" i="9"/>
  <c r="G20" i="9" l="1"/>
  <c r="G21" i="9"/>
  <c r="N43" i="9"/>
  <c r="C32" i="9"/>
  <c r="G22" i="9"/>
  <c r="C42" i="9" l="1"/>
  <c r="C44" i="9" s="1"/>
  <c r="O43" i="9"/>
  <c r="O38" i="9"/>
  <c r="C33" i="9"/>
  <c r="C34" i="9"/>
  <c r="C35" i="9"/>
  <c r="F42" i="9" s="1"/>
  <c r="G14" i="66" l="1"/>
  <c r="B6" i="66" s="1"/>
  <c r="O39" i="9"/>
  <c r="N69" i="9"/>
  <c r="D44" i="9"/>
  <c r="F44" i="9"/>
  <c r="E44" i="9"/>
  <c r="E42" i="9"/>
  <c r="P5" i="54" s="1"/>
  <c r="B46" i="63" s="1"/>
  <c r="M38" i="9"/>
  <c r="K27" i="9" s="1"/>
  <c r="K26" i="9"/>
  <c r="K25" i="9"/>
  <c r="N68" i="9"/>
  <c r="R5" i="54"/>
  <c r="B48" i="63" s="1"/>
  <c r="D14" i="66"/>
  <c r="D63" i="9"/>
  <c r="D73" i="9" s="1"/>
  <c r="N73" i="9" s="1"/>
  <c r="D42" i="9"/>
  <c r="Q5" i="54" s="1"/>
  <c r="B47" i="63" s="1"/>
  <c r="N38" i="9"/>
  <c r="K28" i="9" s="1"/>
  <c r="K29" i="9" l="1"/>
  <c r="K30" i="9" s="1"/>
  <c r="R6" i="54"/>
  <c r="B50" i="63" s="1"/>
  <c r="M86" i="9"/>
  <c r="N86" i="9" s="1"/>
  <c r="M84" i="9"/>
  <c r="N84" i="9" s="1"/>
  <c r="M88" i="9"/>
  <c r="N88" i="9" s="1"/>
  <c r="M87" i="9"/>
  <c r="N87" i="9" s="1"/>
  <c r="M85" i="9"/>
  <c r="N85" i="9" s="1"/>
  <c r="M83" i="9"/>
  <c r="N83" i="9" s="1"/>
  <c r="C6" i="66"/>
  <c r="D6" i="66"/>
  <c r="F14" i="66"/>
  <c r="B5" i="66"/>
  <c r="E14" i="66"/>
  <c r="D71" i="9"/>
  <c r="D66" i="9" s="1"/>
  <c r="N72" i="9" s="1"/>
  <c r="D70" i="9"/>
  <c r="D77" i="9"/>
  <c r="N75" i="9" s="1"/>
  <c r="C90" i="9"/>
  <c r="C111" i="9"/>
  <c r="C104" i="9" s="1"/>
  <c r="C82" i="9"/>
  <c r="C81" i="9" s="1"/>
  <c r="C85" i="9" s="1"/>
  <c r="C86" i="9" s="1"/>
  <c r="D72" i="9" s="1"/>
  <c r="C103" i="9"/>
  <c r="C96" i="9"/>
  <c r="C91" i="9" s="1"/>
  <c r="N89" i="9" l="1"/>
  <c r="O89" i="9" s="1"/>
  <c r="C113" i="9"/>
  <c r="D5" i="66"/>
  <c r="C5" i="66"/>
  <c r="C97" i="9"/>
  <c r="C114" i="9" l="1"/>
  <c r="E114" i="9" s="1"/>
  <c r="E115" i="9" s="1"/>
  <c r="C98" i="9"/>
  <c r="E98" i="9" s="1"/>
  <c r="E99" i="9" s="1"/>
  <c r="C99" i="9" l="1"/>
  <c r="C115" i="9"/>
  <c r="D76" i="9" s="1"/>
  <c r="D74" i="9" s="1"/>
  <c r="N74" i="9" s="1"/>
  <c r="O77" i="9" s="1"/>
  <c r="O79" i="9" s="1"/>
  <c r="O81" i="9" l="1"/>
  <c r="O80" i="9"/>
  <c r="Q77" i="9"/>
  <c r="O78" i="9"/>
  <c r="P84"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<sst xmlns="http://schemas.openxmlformats.org/spreadsheetml/2006/main" count="8953" uniqueCount="3583">
  <si>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</si>
  <si>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</si>
  <si>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</si>
  <si>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</si>
  <si>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</si>
  <si>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</si>
  <si>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</si>
  <si>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</si>
  <si>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</si>
  <si>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</si>
  <si>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</si>
  <si>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</si>
  <si>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</si>
  <si>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</si>
  <si>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</si>
  <si>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</si>
  <si>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</si>
  <si>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</si>
  <si>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</si>
  <si>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</si>
  <si>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</si>
  <si>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</si>
  <si>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</si>
  <si>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</si>
  <si>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</si>
  <si>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</si>
  <si>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</si>
  <si>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</si>
  <si>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</si>
  <si>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</si>
  <si>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</si>
  <si>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</si>
  <si>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</si>
  <si>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</si>
  <si>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</si>
  <si>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</si>
  <si>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</si>
  <si>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</si>
  <si>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</si>
  <si>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</si>
  <si>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</si>
  <si>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</si>
  <si>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</si>
  <si>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</si>
  <si>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</si>
  <si>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</si>
  <si>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</si>
  <si>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</si>
  <si>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</si>
  <si>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</si>
  <si>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</si>
  <si>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</si>
  <si>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</si>
  <si>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</si>
  <si>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</si>
  <si>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</si>
  <si>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</si>
  <si>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</si>
  <si>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</si>
  <si>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</si>
  <si>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</si>
  <si>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</si>
  <si>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</si>
  <si>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</si>
  <si>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</si>
  <si>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</si>
  <si>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</si>
  <si>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</si>
  <si>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</si>
  <si>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</si>
  <si>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</si>
  <si>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</si>
  <si>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</si>
  <si>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</si>
  <si>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</si>
  <si>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</si>
  <si>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</si>
  <si>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</si>
  <si>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</si>
  <si>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</si>
  <si>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</si>
  <si>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</si>
  <si>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</si>
  <si>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</si>
  <si>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</si>
  <si>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</si>
  <si>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</si>
  <si>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</si>
  <si>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</si>
  <si>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</si>
  <si>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</si>
  <si>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</si>
  <si>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</si>
  <si>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</si>
  <si>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</si>
  <si>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</si>
  <si>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</si>
  <si>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</si>
  <si>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</si>
  <si>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</si>
  <si>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</si>
  <si>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</si>
  <si>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</si>
  <si>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</si>
  <si>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</si>
  <si>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</si>
  <si>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</si>
  <si>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</si>
  <si>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</si>
  <si>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</si>
  <si>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</si>
  <si>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</si>
  <si>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</si>
  <si>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</si>
  <si>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</si>
  <si>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</si>
  <si>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</si>
  <si>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</si>
  <si>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</si>
  <si>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</si>
  <si>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</si>
  <si>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</si>
  <si>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</si>
  <si>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</si>
  <si>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</si>
  <si>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</si>
  <si>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</si>
  <si>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</si>
  <si>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</si>
  <si>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</si>
  <si>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</si>
  <si>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</si>
  <si>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</si>
  <si>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</si>
  <si>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</si>
  <si>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</si>
  <si>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</si>
  <si>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</si>
  <si>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</si>
  <si>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</si>
  <si>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</si>
  <si>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</si>
  <si>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</si>
  <si>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</si>
  <si>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</si>
  <si>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</si>
  <si>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</si>
  <si>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</si>
  <si>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</si>
  <si>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</si>
  <si>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</si>
  <si>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</si>
  <si>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</si>
  <si>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</si>
  <si>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</si>
  <si>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</si>
  <si>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</si>
  <si>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</si>
  <si>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</si>
  <si>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</si>
  <si>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</si>
  <si>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</si>
  <si>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</si>
  <si>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</si>
  <si>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</si>
  <si>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</si>
  <si>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</si>
  <si>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</si>
  <si>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</si>
  <si>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</si>
  <si>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</si>
  <si>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</si>
  <si>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</si>
  <si>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</si>
  <si>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</si>
  <si>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</si>
  <si>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</si>
  <si>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</si>
  <si>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</si>
  <si>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</si>
  <si>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</si>
  <si>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</si>
  <si>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</si>
  <si>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</si>
  <si>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</si>
  <si>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</si>
  <si>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</si>
  <si>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</si>
  <si>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</si>
  <si>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</si>
  <si>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</si>
  <si>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</si>
  <si>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</si>
  <si>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</si>
  <si>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</si>
  <si>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</si>
  <si>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</si>
  <si>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</si>
  <si>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</si>
  <si>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</si>
  <si>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</si>
  <si>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</si>
  <si>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</si>
  <si>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</si>
  <si>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</si>
  <si>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</si>
  <si>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</si>
  <si>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</si>
  <si>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</si>
  <si>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</si>
  <si>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</si>
  <si>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</si>
  <si>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</si>
  <si>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</si>
  <si>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</si>
  <si>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</si>
  <si>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</si>
  <si>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</si>
  <si>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</si>
  <si>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</si>
  <si>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</si>
  <si>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</si>
  <si>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</si>
  <si>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</si>
  <si>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</si>
  <si>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</si>
  <si>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</si>
  <si>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</si>
  <si>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</si>
  <si>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</si>
  <si>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</si>
  <si>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</si>
  <si>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</si>
  <si>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</si>
  <si>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</si>
  <si>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</si>
  <si>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</si>
  <si>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</si>
  <si>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</si>
  <si>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</si>
  <si>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</si>
  <si>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</si>
  <si>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</si>
  <si>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</si>
  <si>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</si>
  <si>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</si>
  <si>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</si>
  <si>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</si>
  <si>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</si>
  <si>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</si>
  <si>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</si>
  <si>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</si>
  <si>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</si>
  <si>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</si>
  <si>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</si>
  <si>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</si>
  <si>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</si>
  <si>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</si>
  <si>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</si>
  <si>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</si>
  <si>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</si>
  <si>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</si>
  <si>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</si>
  <si>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</si>
  <si>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</si>
  <si>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</si>
  <si>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</si>
  <si>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</si>
  <si>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</si>
  <si>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</si>
  <si>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</si>
  <si>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</si>
  <si>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</si>
  <si>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</si>
  <si>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</si>
  <si>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</si>
  <si>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</si>
  <si>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</si>
  <si>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</si>
  <si>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</si>
  <si>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</si>
  <si>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</si>
  <si>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</si>
  <si>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</si>
  <si>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</si>
  <si>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</si>
  <si>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</si>
  <si>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</si>
  <si>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</si>
  <si>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</si>
  <si>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</si>
  <si>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</si>
  <si>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</si>
  <si>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</si>
  <si>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</si>
  <si>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</si>
  <si>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</si>
  <si>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</si>
  <si>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</si>
  <si>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</si>
  <si>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</si>
  <si>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</si>
  <si>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</si>
  <si>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</si>
  <si>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</si>
  <si>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</si>
  <si>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</si>
  <si>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</si>
  <si>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</si>
  <si>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</si>
  <si>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</si>
  <si>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</si>
  <si>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</si>
  <si>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</si>
  <si>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</si>
  <si>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</si>
  <si>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</si>
  <si>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</si>
  <si>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</si>
  <si>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</si>
  <si>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</si>
  <si>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</si>
  <si>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</si>
  <si>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</si>
  <si>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</si>
  <si>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</si>
  <si>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</si>
  <si>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</si>
  <si>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</si>
  <si>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</si>
  <si>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</si>
  <si>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</si>
  <si>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</si>
  <si>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</si>
  <si>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</si>
  <si>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</si>
  <si>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</si>
  <si>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</si>
  <si>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</si>
  <si>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</si>
  <si>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</si>
  <si>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</si>
  <si>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</si>
  <si>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</si>
  <si>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</si>
  <si>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</si>
  <si>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</si>
  <si>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</si>
  <si>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</si>
  <si>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</si>
  <si>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</si>
  <si>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</si>
  <si>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</si>
  <si>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</si>
  <si>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</si>
  <si>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</si>
  <si>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</si>
  <si>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</si>
  <si>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</si>
  <si>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</si>
  <si>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</si>
  <si>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</si>
  <si>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</si>
  <si>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</si>
  <si>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</si>
  <si>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</si>
  <si>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</si>
  <si>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</si>
  <si>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</si>
  <si>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</si>
  <si>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</si>
  <si>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</si>
  <si>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</si>
  <si>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</si>
  <si>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</si>
  <si>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</si>
  <si>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</si>
  <si>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</si>
  <si>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</si>
  <si>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</si>
  <si>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</si>
  <si>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</si>
  <si>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</si>
  <si>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</si>
  <si>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</si>
  <si>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</si>
  <si>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</si>
  <si>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</si>
  <si>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</si>
  <si>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</si>
  <si>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</si>
  <si>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</si>
  <si>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</si>
  <si>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</si>
  <si>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</si>
  <si>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</si>
  <si>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</si>
  <si>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</si>
  <si>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</si>
  <si>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</si>
  <si>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</si>
  <si>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</si>
  <si>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</si>
  <si>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</si>
  <si>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</si>
  <si>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</si>
  <si>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</si>
  <si>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</si>
  <si>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</si>
  <si>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</si>
  <si>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</si>
  <si>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</si>
  <si>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</si>
  <si>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</si>
  <si>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</si>
  <si>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</si>
  <si>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</si>
  <si>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</si>
  <si>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</si>
  <si>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</si>
  <si>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</si>
  <si>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</si>
  <si>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</si>
  <si>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</si>
  <si>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</si>
  <si>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</si>
  <si>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</si>
  <si>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</si>
  <si>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</si>
  <si>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</si>
  <si>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</si>
  <si>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</si>
  <si>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</si>
  <si>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</si>
  <si>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</si>
  <si>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</si>
  <si>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</si>
  <si>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</si>
  <si>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</si>
  <si>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</si>
  <si>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</si>
  <si>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</si>
  <si>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</si>
  <si>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</si>
  <si>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</si>
  <si>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</si>
  <si>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</si>
  <si>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</si>
  <si>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</si>
  <si>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</si>
  <si>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</si>
  <si>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</si>
  <si>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</si>
  <si>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</si>
  <si>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</si>
  <si>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</si>
  <si>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</si>
  <si>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</si>
  <si>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</si>
  <si>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</si>
  <si>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</si>
  <si>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</si>
  <si>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</si>
  <si>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</si>
  <si>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</si>
  <si>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</si>
  <si>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</si>
  <si>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</si>
  <si>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</si>
  <si>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</si>
  <si>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</si>
  <si>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</si>
  <si>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</si>
  <si>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</si>
  <si>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</si>
  <si>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</si>
  <si>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</si>
  <si>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</si>
  <si>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</si>
  <si>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</si>
  <si>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</si>
  <si>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</si>
  <si>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</si>
  <si>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</si>
  <si>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</si>
  <si>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</si>
  <si>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</si>
  <si>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</si>
  <si>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</si>
  <si>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</si>
  <si>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</si>
  <si>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</si>
  <si>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</si>
  <si>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</si>
  <si>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</si>
  <si>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</si>
  <si>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</si>
  <si>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</si>
  <si>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</si>
  <si>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</si>
  <si>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</si>
  <si>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</si>
  <si>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</si>
  <si>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</si>
  <si>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</si>
  <si>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</si>
  <si>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</si>
  <si>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</si>
  <si>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</si>
  <si>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</si>
  <si>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</si>
  <si>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</si>
  <si>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</si>
  <si>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</si>
  <si>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</si>
  <si>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</si>
  <si>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</si>
  <si>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</si>
  <si>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</si>
  <si>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</si>
  <si>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</si>
  <si>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</si>
  <si>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</si>
  <si>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</si>
  <si>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</si>
  <si>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</si>
  <si>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</si>
  <si>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</si>
  <si>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</si>
  <si>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</si>
  <si>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</si>
  <si>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</si>
  <si>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</si>
  <si>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</si>
  <si>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</si>
  <si>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</si>
  <si>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</si>
  <si>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</si>
  <si>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</si>
  <si>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</si>
  <si>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</si>
  <si>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</si>
  <si>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</si>
  <si>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</si>
  <si>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</si>
  <si>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</si>
  <si>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</si>
  <si>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</si>
  <si>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</si>
  <si>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</si>
  <si>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</si>
  <si>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</si>
  <si>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</si>
  <si>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</si>
  <si>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</si>
  <si>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</si>
  <si>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</si>
  <si>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</si>
  <si>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</si>
  <si>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</si>
  <si>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</si>
  <si>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</si>
  <si>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</si>
  <si>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</si>
  <si>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</si>
  <si>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</si>
  <si>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</si>
  <si>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</si>
  <si>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</si>
  <si>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</si>
  <si>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</si>
  <si>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</si>
  <si>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</si>
  <si>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</si>
  <si>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</si>
  <si>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</si>
  <si>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</si>
  <si>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</si>
  <si>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</si>
  <si>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</si>
  <si>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</si>
  <si>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</si>
  <si>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</si>
  <si>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</si>
  <si>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</si>
  <si>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</si>
  <si>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</si>
  <si>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</si>
  <si>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</si>
  <si>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</si>
  <si>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</si>
  <si>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</si>
  <si>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</si>
  <si>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</si>
  <si>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</si>
  <si>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</si>
  <si>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</si>
  <si>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</si>
  <si>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</si>
  <si>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</si>
  <si>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</si>
  <si>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</si>
  <si>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</si>
  <si>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</si>
  <si>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</si>
  <si>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</si>
  <si>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</si>
  <si>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</si>
  <si>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</si>
  <si>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</si>
  <si>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</si>
  <si>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</si>
  <si>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</si>
  <si>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</si>
  <si>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</si>
  <si>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</si>
  <si>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</si>
  <si>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</si>
  <si>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</si>
  <si>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</si>
  <si>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</si>
  <si>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</si>
  <si>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</si>
  <si>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</si>
  <si>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</si>
  <si>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</si>
  <si>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</si>
  <si>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</si>
  <si>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</si>
  <si>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</si>
  <si>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</si>
  <si>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</si>
  <si>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</si>
  <si>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</si>
  <si>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</si>
  <si>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</si>
  <si>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</si>
  <si>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</si>
  <si>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</si>
  <si>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</si>
  <si>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</si>
  <si>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</si>
  <si>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</si>
  <si>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</si>
  <si>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</si>
  <si>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</si>
  <si>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</si>
  <si>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</si>
  <si>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</si>
  <si>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</si>
  <si>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</si>
  <si>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</si>
  <si>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</si>
  <si>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</si>
  <si>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</si>
  <si>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</si>
  <si>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</si>
  <si>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</si>
  <si>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</si>
  <si>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</si>
  <si>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</si>
  <si>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</si>
  <si>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</si>
  <si>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</si>
  <si>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</si>
  <si>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</si>
  <si>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</si>
  <si>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</si>
  <si>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</si>
  <si>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</si>
  <si>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</si>
  <si>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</si>
  <si>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</si>
  <si>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</si>
  <si>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</si>
  <si>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</si>
  <si>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</si>
  <si>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</si>
  <si>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</si>
  <si>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</si>
  <si>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</si>
  <si>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</si>
  <si>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</si>
  <si>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</si>
  <si>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</si>
  <si>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</si>
  <si>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</si>
  <si>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</si>
  <si>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</si>
  <si>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</si>
  <si>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</si>
  <si>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</si>
  <si>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</si>
  <si>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</si>
  <si>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</si>
  <si>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</si>
  <si>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</si>
  <si>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</si>
  <si>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</si>
  <si>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</si>
  <si>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</si>
  <si>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</si>
  <si>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</si>
  <si>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</si>
  <si>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</si>
  <si>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</si>
  <si>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</si>
  <si>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</si>
  <si>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</si>
  <si>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</si>
  <si>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</si>
  <si>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</si>
  <si>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</si>
  <si>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</si>
  <si>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</si>
  <si>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</si>
  <si>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</si>
  <si>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</si>
  <si>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</si>
  <si>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</si>
  <si>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</si>
  <si>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</si>
  <si>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</si>
  <si>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</si>
  <si>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</si>
  <si>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</si>
  <si>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</si>
  <si>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</si>
  <si>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</si>
  <si>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</si>
  <si>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</si>
  <si>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</si>
  <si>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</si>
  <si>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</si>
  <si>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</si>
  <si>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</si>
  <si>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</si>
  <si>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</si>
  <si>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</si>
  <si>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</si>
  <si>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</si>
  <si>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</si>
  <si>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</si>
  <si>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</si>
  <si>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</si>
  <si>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</si>
  <si>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</si>
  <si>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</si>
  <si>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</si>
  <si>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</si>
  <si>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</si>
  <si>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</si>
  <si>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</si>
  <si>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</si>
  <si>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</si>
  <si>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</si>
  <si>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</si>
  <si>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</si>
  <si>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</si>
  <si>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</si>
  <si>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</si>
  <si>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</si>
  <si>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</si>
  <si>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</si>
  <si>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</si>
  <si>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</si>
  <si>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</si>
  <si>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</si>
  <si>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</si>
  <si>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</si>
  <si>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</si>
  <si>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</si>
  <si>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</si>
  <si>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</si>
  <si>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</si>
  <si>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</si>
  <si>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</si>
  <si>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</si>
  <si>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</si>
  <si>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</si>
  <si>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</si>
  <si>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</si>
  <si>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</si>
  <si>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</si>
  <si>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</si>
  <si>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</si>
  <si>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</si>
  <si>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</si>
  <si>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</si>
  <si>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</si>
  <si>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</si>
  <si>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</si>
  <si>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</si>
  <si>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</si>
  <si>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</si>
  <si>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</si>
  <si>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</si>
  <si>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</si>
  <si>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</si>
  <si>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</si>
  <si>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</si>
  <si>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</si>
  <si>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</si>
  <si>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</si>
  <si>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</si>
  <si>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</si>
  <si>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</si>
  <si>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</si>
  <si>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</si>
  <si>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</si>
  <si>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</si>
  <si>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</si>
  <si>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</si>
  <si>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</si>
  <si>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</si>
  <si>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</si>
  <si>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</si>
  <si>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</si>
  <si>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</si>
  <si>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</si>
  <si>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</si>
  <si>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</si>
  <si>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</si>
  <si>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</si>
  <si>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</si>
  <si>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</si>
  <si>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</si>
  <si>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</si>
  <si>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</si>
  <si>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</si>
  <si>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</si>
  <si>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</si>
  <si>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</si>
  <si>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</si>
  <si>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</si>
  <si>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</si>
  <si>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</si>
  <si>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</si>
  <si>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</si>
  <si>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</si>
  <si>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</si>
  <si>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</si>
  <si>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</si>
  <si>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</si>
  <si>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</si>
  <si>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</si>
  <si>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</si>
  <si>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</si>
  <si>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</si>
  <si>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</si>
  <si>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</si>
  <si>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</si>
  <si>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</si>
  <si>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</si>
  <si>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</si>
  <si>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</si>
  <si>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</si>
  <si>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</si>
  <si>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</si>
  <si>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</si>
  <si>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</si>
  <si>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</si>
  <si>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</si>
  <si>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</si>
  <si>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</si>
  <si>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</si>
  <si>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</si>
  <si>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</si>
  <si>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</si>
  <si>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</si>
  <si>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</si>
  <si>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</si>
  <si>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</si>
  <si>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</si>
  <si>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</si>
  <si>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</si>
  <si>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</si>
  <si>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</si>
  <si>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</si>
  <si>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</si>
  <si>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</si>
  <si>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</si>
  <si>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</si>
  <si>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</si>
  <si>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</si>
  <si>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</si>
  <si>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</si>
  <si>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</si>
  <si>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</si>
  <si>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</si>
  <si>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</si>
  <si>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</si>
  <si>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</si>
  <si>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</si>
  <si>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</si>
  <si>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</si>
  <si>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</si>
  <si>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</si>
  <si>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</si>
  <si>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</si>
  <si>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</si>
  <si>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</si>
  <si>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</si>
  <si>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</si>
  <si>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</si>
  <si>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</si>
  <si>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</si>
  <si>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</si>
  <si>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</si>
  <si>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</si>
  <si>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</si>
  <si>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</si>
  <si>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</si>
  <si>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</si>
  <si>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</si>
  <si>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</si>
  <si>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</si>
  <si>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</si>
  <si>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</si>
  <si>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</si>
  <si>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</si>
  <si>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</si>
  <si>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</si>
  <si>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</si>
  <si>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</si>
  <si>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</si>
  <si>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</si>
  <si>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</si>
  <si>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</si>
  <si>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</si>
  <si>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</si>
  <si>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</si>
  <si>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</si>
  <si>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</si>
  <si>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</si>
  <si>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</si>
  <si>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</si>
  <si>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</si>
  <si>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</si>
  <si>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</si>
  <si>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</si>
  <si>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</si>
  <si>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</si>
  <si>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</si>
  <si>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</si>
  <si>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</si>
  <si>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</si>
  <si>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</si>
  <si>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</si>
  <si>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</si>
  <si>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</si>
  <si>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</si>
  <si>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</si>
  <si>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</si>
  <si>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</si>
  <si>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</si>
  <si>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</si>
  <si>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</si>
  <si>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</si>
  <si>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</si>
  <si>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</si>
  <si>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</si>
  <si>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</si>
  <si>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</si>
  <si>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</si>
  <si>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</si>
  <si>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</si>
  <si>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</si>
  <si>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</si>
  <si>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</si>
  <si>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</si>
  <si>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</si>
  <si>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</si>
  <si>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</si>
  <si>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</si>
  <si>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</si>
  <si>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</si>
  <si>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</si>
  <si>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</si>
  <si>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</si>
  <si>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</si>
  <si>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</si>
  <si>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</si>
  <si>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</si>
  <si>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</si>
  <si>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</si>
  <si>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</si>
  <si>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</si>
  <si>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</si>
  <si>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</si>
  <si>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</si>
  <si>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</si>
  <si>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</si>
  <si>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</si>
  <si>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</si>
  <si>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</si>
  <si>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</si>
  <si>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</si>
  <si>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</si>
  <si>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</si>
  <si>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</si>
  <si>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</si>
  <si>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</si>
  <si>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</si>
  <si>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</si>
  <si>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</si>
  <si>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</si>
  <si>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</si>
  <si>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</si>
  <si>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</si>
  <si>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</si>
  <si>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</si>
  <si>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</si>
  <si>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</si>
  <si>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</si>
  <si>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</si>
  <si>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</si>
  <si>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</si>
  <si>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</si>
  <si>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</si>
  <si>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</si>
  <si>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</si>
  <si>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</si>
  <si>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</si>
  <si>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</si>
  <si>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</si>
  <si>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</si>
  <si>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</si>
  <si>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</si>
  <si>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</si>
  <si>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</si>
  <si>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</si>
  <si>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</si>
  <si>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</si>
  <si>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</si>
  <si>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</si>
  <si>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</si>
  <si>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</si>
  <si>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</si>
  <si>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</si>
  <si>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</si>
  <si>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</si>
  <si>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</si>
  <si>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</si>
  <si>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</si>
  <si>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</si>
  <si>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</si>
  <si>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</si>
  <si>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</si>
  <si>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</si>
  <si>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</si>
  <si>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</si>
  <si>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</si>
  <si>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</si>
  <si>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</si>
  <si>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</si>
  <si>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</si>
  <si>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</si>
  <si>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</si>
  <si>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</si>
  <si>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</si>
  <si>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</si>
  <si>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</si>
  <si>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</si>
  <si>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</si>
  <si>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</si>
  <si>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</si>
  <si>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</si>
  <si>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</si>
  <si>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</si>
  <si>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</si>
  <si>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</si>
  <si>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</si>
  <si>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</si>
  <si>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</si>
  <si>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</si>
  <si>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</si>
  <si>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</si>
  <si>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</si>
  <si>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</si>
  <si>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</si>
  <si>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</si>
  <si>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</si>
  <si>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</si>
  <si>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</si>
  <si>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</si>
  <si>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</si>
  <si>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</si>
  <si>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</si>
  <si>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</si>
  <si>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</si>
  <si>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</si>
  <si>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</si>
  <si>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</si>
  <si>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</si>
  <si>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</si>
  <si>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</si>
  <si>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</si>
  <si>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</si>
  <si>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</si>
  <si>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</si>
  <si>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</si>
  <si>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</si>
  <si>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</si>
  <si>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</si>
  <si>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</si>
  <si>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</si>
  <si>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</si>
  <si>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</si>
  <si>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</si>
  <si>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</si>
  <si>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</si>
  <si>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</si>
  <si>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</si>
  <si>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</si>
  <si>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</si>
  <si>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</si>
  <si>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</si>
  <si>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</si>
  <si>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</si>
  <si>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</si>
  <si>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</si>
  <si>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</si>
  <si>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</si>
  <si>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</si>
  <si>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</si>
  <si>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</si>
  <si>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</si>
  <si>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</si>
  <si>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</si>
  <si>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</si>
  <si>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</si>
  <si>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</si>
  <si>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</si>
  <si>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</si>
  <si>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</si>
  <si>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</si>
  <si>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</si>
  <si>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</si>
  <si>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</si>
  <si>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</si>
  <si>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</si>
  <si>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</si>
  <si>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</si>
  <si>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</si>
  <si>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</si>
  <si>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</si>
  <si>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</si>
  <si>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</si>
  <si>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</si>
  <si>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</si>
  <si>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</si>
  <si>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</si>
  <si>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</si>
  <si>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</si>
  <si>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</si>
  <si>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</si>
  <si>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</si>
  <si>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</si>
  <si>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</si>
  <si>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</si>
  <si>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</si>
  <si>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</si>
  <si>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</si>
  <si>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</si>
  <si>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</si>
  <si>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</si>
  <si>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</si>
  <si>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</si>
  <si>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</si>
  <si>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</si>
  <si>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</si>
  <si>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</si>
  <si>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</si>
  <si>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</si>
  <si>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</si>
  <si>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</si>
  <si>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</si>
  <si>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</si>
  <si>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</si>
  <si>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</si>
  <si>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</si>
  <si>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</si>
  <si>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</si>
  <si>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</si>
  <si>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</si>
  <si>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</si>
  <si>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</si>
  <si>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</si>
  <si>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</si>
  <si>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</si>
  <si>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</si>
  <si>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</si>
  <si>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</si>
  <si>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</si>
  <si>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</si>
  <si>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</si>
  <si>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</si>
  <si>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</si>
  <si>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</si>
  <si>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</si>
  <si>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</si>
  <si>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</si>
  <si>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</si>
  <si>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</si>
  <si>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</si>
  <si>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</si>
  <si>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</si>
  <si>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</si>
  <si>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</si>
  <si>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</si>
  <si>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</si>
  <si>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</si>
  <si>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</si>
  <si>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</si>
  <si>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</si>
  <si>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</si>
  <si>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</si>
  <si>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</si>
  <si>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</si>
  <si>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</si>
  <si>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</si>
  <si>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</si>
  <si>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</si>
  <si>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</si>
  <si>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</si>
  <si>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</si>
  <si>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</si>
  <si>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</si>
  <si>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</si>
  <si>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</si>
  <si>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</si>
  <si>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</si>
  <si>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</si>
  <si>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</si>
  <si>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</si>
  <si>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</si>
  <si>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</si>
  <si>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</si>
  <si>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</si>
  <si>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</si>
  <si>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</si>
  <si>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</si>
  <si>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</si>
  <si>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</si>
  <si>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</si>
  <si>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</si>
  <si>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</si>
  <si>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</si>
  <si>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</si>
  <si>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</si>
  <si>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</si>
  <si>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</si>
  <si>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</si>
  <si>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</si>
  <si>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</si>
  <si>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</si>
  <si>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</si>
  <si>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</si>
  <si>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</si>
  <si>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</si>
  <si>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</si>
  <si>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</si>
  <si>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</si>
  <si>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</si>
  <si>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</si>
  <si>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</si>
  <si>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</si>
  <si>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</si>
  <si>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</si>
  <si>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</si>
  <si>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</si>
  <si>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</si>
  <si>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</si>
  <si>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</si>
  <si>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</si>
  <si>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</si>
  <si>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</si>
  <si>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</si>
  <si>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</si>
  <si>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</si>
  <si>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</si>
  <si>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</si>
  <si>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</si>
  <si>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</si>
  <si>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</si>
  <si>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</si>
  <si>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</si>
  <si>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</si>
  <si>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</si>
  <si>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</si>
  <si>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</si>
  <si>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</si>
  <si>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</si>
  <si>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</si>
  <si>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</si>
  <si>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</si>
  <si>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</si>
  <si>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</si>
  <si>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</si>
  <si>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</si>
  <si>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</si>
  <si>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</si>
  <si>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</si>
  <si>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</si>
  <si>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</si>
  <si>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</si>
  <si>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</si>
  <si>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</si>
  <si>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</si>
  <si>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</si>
  <si>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</si>
  <si>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</si>
  <si>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</si>
  <si>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</si>
  <si>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</si>
  <si>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</si>
  <si>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</si>
  <si>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</si>
  <si>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</si>
  <si>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</si>
  <si>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</si>
  <si>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</si>
  <si>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</si>
  <si>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</si>
  <si>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</si>
  <si>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</si>
  <si>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</si>
  <si>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</si>
  <si>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</si>
  <si>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</si>
  <si>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</si>
  <si>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</si>
  <si>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</si>
  <si>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</si>
  <si>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</si>
  <si>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</si>
  <si>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</si>
  <si>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</si>
  <si>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</si>
  <si>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</si>
  <si>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</si>
  <si>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</si>
  <si>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</si>
  <si>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</si>
  <si>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</si>
  <si>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</si>
  <si>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</si>
  <si>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</si>
  <si>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</si>
  <si>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</si>
  <si>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</si>
  <si>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</si>
  <si>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</si>
  <si>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</si>
  <si>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</si>
  <si>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</si>
  <si>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</si>
  <si>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</si>
  <si>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</si>
  <si>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</si>
  <si>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</si>
  <si>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</si>
  <si>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</si>
  <si>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</si>
  <si>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</si>
  <si>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</si>
  <si>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</si>
  <si>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</si>
  <si>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</si>
  <si>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</si>
  <si>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</si>
  <si>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</si>
  <si>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</si>
  <si>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</si>
  <si>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</si>
  <si>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</si>
  <si>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</si>
  <si>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</si>
  <si>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</si>
  <si>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</si>
  <si>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</si>
  <si>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</si>
  <si>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</si>
  <si>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</si>
  <si>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</si>
  <si>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</si>
  <si>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</si>
  <si>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</si>
  <si>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</si>
  <si>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</si>
  <si>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</si>
  <si>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</si>
  <si>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</si>
  <si>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</si>
  <si>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</si>
  <si>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</si>
  <si>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</si>
  <si>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</si>
  <si>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</si>
  <si>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</si>
  <si>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</si>
  <si>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</si>
  <si>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</si>
  <si>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</si>
  <si>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</si>
  <si>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</si>
  <si>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</si>
  <si>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</si>
  <si>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</si>
  <si>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</si>
  <si>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</si>
  <si>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</si>
  <si>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</si>
  <si>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</si>
  <si>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</si>
  <si>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</si>
  <si>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</si>
  <si>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</si>
  <si>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</si>
  <si>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</si>
  <si>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</si>
  <si>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</si>
  <si>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</si>
  <si>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</si>
  <si>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</si>
  <si>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</si>
  <si>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</si>
  <si>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</si>
  <si>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</si>
  <si>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</si>
  <si>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</si>
  <si>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</si>
  <si>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</si>
  <si>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</si>
  <si>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</si>
  <si>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</si>
  <si>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</si>
  <si>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</si>
  <si>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</si>
  <si>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</si>
  <si>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</si>
  <si>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</si>
  <si>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</si>
  <si>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</si>
  <si>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</si>
  <si>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</si>
  <si>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</si>
  <si>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</si>
  <si>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</si>
  <si>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</si>
  <si>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</si>
  <si>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</si>
  <si>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</si>
  <si>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</si>
  <si>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</si>
  <si>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</si>
  <si>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</si>
  <si>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</si>
  <si>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</si>
  <si>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</si>
  <si>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</si>
  <si>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</si>
  <si>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</si>
  <si>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</si>
  <si>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</si>
  <si>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</si>
  <si>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</si>
  <si>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</si>
  <si>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</si>
  <si>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</si>
  <si>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</si>
  <si>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</si>
  <si>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</si>
  <si>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</si>
  <si>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</si>
  <si>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</si>
  <si>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</si>
  <si>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</si>
  <si>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</si>
  <si>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</si>
  <si>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</si>
  <si>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</si>
  <si>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</si>
  <si>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</si>
  <si>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</si>
  <si>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</si>
  <si>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</si>
  <si>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</si>
  <si>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</si>
  <si>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</si>
  <si>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</si>
  <si>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</si>
  <si>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</si>
  <si>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</si>
  <si>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</si>
  <si>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</si>
  <si>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</si>
  <si>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</si>
  <si>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</si>
  <si>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</si>
  <si>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</si>
  <si>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</si>
  <si>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</si>
  <si>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</si>
  <si>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</si>
  <si>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</si>
  <si>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</si>
  <si>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</si>
  <si>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</si>
  <si>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</si>
  <si>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</si>
  <si>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</si>
  <si>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</si>
  <si>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</si>
  <si>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</si>
  <si>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</si>
  <si>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</si>
  <si>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</si>
  <si>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</si>
  <si>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</si>
  <si>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</si>
  <si>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</si>
  <si>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</si>
  <si>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</si>
  <si>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</si>
  <si>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</si>
  <si>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</si>
  <si>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</si>
  <si>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</si>
  <si>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</si>
  <si>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</si>
  <si>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</si>
  <si>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</si>
  <si>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</si>
  <si>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</si>
  <si>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</si>
  <si>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</si>
  <si>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</si>
  <si>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</si>
  <si>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</si>
  <si>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</si>
  <si>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</si>
  <si>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</si>
  <si>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</si>
  <si>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</si>
  <si>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</si>
  <si>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</si>
  <si>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</si>
  <si>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</si>
  <si>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</si>
  <si>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</si>
  <si>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</si>
  <si>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</si>
  <si>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</si>
  <si>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</si>
  <si>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</si>
  <si>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</si>
  <si>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</si>
  <si>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</si>
  <si>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</si>
  <si>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</si>
  <si>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</si>
  <si>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</si>
  <si>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</si>
  <si>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</si>
  <si>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</si>
  <si>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</si>
  <si>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</si>
  <si>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</si>
  <si>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</si>
  <si>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</si>
  <si>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</si>
  <si>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</si>
  <si>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</si>
  <si>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</si>
  <si>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</si>
  <si>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</si>
  <si>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</si>
  <si>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</si>
  <si>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</si>
  <si>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</si>
  <si>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</si>
  <si>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</si>
  <si>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</si>
  <si>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</si>
  <si>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</si>
  <si>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</si>
  <si>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</si>
  <si>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</si>
  <si>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</si>
  <si>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</si>
  <si>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</si>
  <si>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</si>
  <si>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</si>
  <si>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</si>
  <si>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</si>
  <si>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</si>
  <si>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</si>
  <si>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</si>
  <si>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</si>
  <si>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</si>
  <si>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</si>
  <si>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</si>
  <si>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</si>
  <si>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</si>
  <si>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</si>
  <si>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</si>
  <si>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</si>
  <si>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</si>
  <si>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</si>
  <si>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</si>
  <si>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</si>
  <si>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</si>
  <si>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</si>
  <si>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</si>
  <si>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</si>
  <si>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</si>
  <si>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</si>
  <si>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</si>
  <si>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</si>
  <si>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</si>
  <si>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</si>
  <si>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</si>
  <si>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</si>
  <si>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</si>
  <si>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</si>
  <si>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</si>
  <si>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</si>
  <si>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</si>
  <si>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</si>
  <si>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</si>
  <si>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</si>
  <si>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</si>
  <si>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</si>
  <si>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</si>
  <si>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</si>
  <si>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</si>
  <si>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</si>
  <si>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</si>
  <si>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</si>
  <si>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</si>
  <si>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</si>
  <si>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</si>
  <si>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</si>
  <si>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</si>
  <si>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</si>
  <si>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</si>
  <si>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</si>
  <si>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</si>
  <si>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</si>
  <si>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</si>
  <si>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</si>
  <si>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</si>
  <si>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</si>
  <si>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</si>
  <si>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</si>
  <si>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</si>
  <si>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</si>
  <si>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</si>
  <si>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</si>
  <si>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</si>
  <si>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</si>
  <si>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</si>
  <si>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</si>
  <si>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</si>
  <si>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</si>
  <si>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</si>
  <si>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</si>
  <si>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</si>
  <si>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</si>
  <si>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</si>
  <si>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</si>
  <si>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</si>
  <si>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</si>
  <si>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</si>
  <si>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</si>
  <si>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</si>
  <si>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</si>
  <si>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</si>
  <si>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</si>
  <si>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</si>
  <si>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</si>
  <si>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</si>
  <si>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</si>
  <si>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</si>
  <si>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</si>
  <si>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</si>
  <si>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</si>
  <si>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</si>
  <si>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</si>
  <si>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</si>
  <si>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</si>
  <si>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</si>
  <si>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</si>
  <si>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</si>
  <si>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</si>
  <si>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</si>
  <si>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</si>
  <si>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</si>
  <si>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</si>
  <si>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</si>
  <si>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</si>
  <si>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</si>
  <si>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</si>
  <si>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</si>
  <si>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</si>
  <si>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</si>
  <si>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</si>
  <si>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</si>
  <si>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</si>
  <si>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</si>
  <si>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</si>
  <si>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</si>
  <si>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</si>
  <si>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</si>
  <si>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</si>
  <si>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</si>
  <si>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</si>
  <si>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</si>
  <si>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</si>
  <si>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</si>
  <si>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</si>
  <si>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</si>
  <si>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</si>
  <si>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</si>
  <si>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</si>
  <si>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</si>
  <si>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</si>
  <si>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</si>
  <si>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</si>
  <si>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</si>
  <si>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</si>
  <si>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</si>
  <si>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</si>
  <si>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</si>
  <si>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</si>
  <si>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</si>
  <si>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</si>
  <si>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</si>
  <si>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</si>
  <si>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</si>
  <si>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</si>
  <si>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</si>
  <si>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</si>
  <si>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</si>
  <si>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</si>
  <si>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</si>
  <si>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</si>
  <si>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</si>
  <si>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</si>
  <si>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</si>
  <si>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</si>
  <si>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</si>
  <si>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</si>
  <si>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</si>
  <si>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</si>
  <si>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</si>
  <si>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</si>
  <si>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</si>
  <si>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</si>
  <si>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</si>
  <si>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</si>
  <si>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</si>
  <si>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</si>
  <si>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</si>
  <si>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</si>
  <si>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</si>
  <si>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</si>
  <si>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</si>
  <si>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</si>
  <si>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</si>
  <si>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</si>
  <si>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</si>
  <si>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</si>
  <si>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</si>
  <si>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</si>
  <si>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</si>
  <si>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</si>
  <si>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</si>
  <si>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</si>
  <si>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</si>
  <si>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</si>
  <si>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</si>
  <si>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</si>
  <si>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</si>
  <si>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</si>
  <si>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</si>
  <si>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</si>
  <si>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</si>
  <si>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</si>
  <si>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</si>
  <si>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</si>
  <si>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</si>
  <si>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</si>
  <si>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</si>
  <si>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</si>
  <si>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</si>
  <si>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</si>
  <si>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</si>
  <si>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</si>
  <si>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</si>
  <si>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</si>
  <si>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</si>
  <si>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</si>
  <si>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</si>
  <si>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</si>
  <si>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</si>
  <si>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</si>
  <si>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</si>
  <si>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</si>
  <si>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</si>
  <si>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</si>
  <si>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</si>
  <si>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</si>
  <si>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</si>
  <si>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</si>
  <si>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</si>
  <si>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</si>
  <si>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</si>
  <si>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</si>
  <si>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</si>
  <si>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</si>
  <si>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</si>
  <si>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</si>
  <si>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</si>
  <si>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</si>
  <si>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</si>
  <si>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</si>
  <si>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</si>
  <si>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</si>
  <si>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</si>
  <si>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</si>
  <si>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</si>
  <si>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</si>
  <si>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</si>
  <si>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</si>
  <si>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</si>
  <si>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</si>
  <si>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</si>
  <si>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</si>
  <si>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</si>
  <si>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</si>
  <si>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</si>
  <si>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</si>
  <si>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</si>
  <si>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</si>
  <si>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</si>
  <si>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</si>
  <si>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</si>
  <si>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</si>
  <si>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</si>
  <si>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</si>
  <si>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</si>
  <si>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</si>
  <si>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</si>
  <si>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</si>
  <si>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</si>
  <si>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</si>
  <si>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</si>
  <si>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</si>
  <si>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</si>
  <si>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</si>
  <si>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</si>
  <si>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</si>
  <si>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</si>
  <si>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</si>
  <si>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</si>
  <si>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</si>
  <si>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</si>
  <si>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</si>
  <si>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</si>
  <si>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</si>
  <si>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</si>
  <si>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</si>
  <si>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</si>
  <si>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</si>
  <si>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</si>
  <si>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</si>
  <si>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</si>
  <si>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</si>
  <si>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</si>
  <si>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</si>
  <si>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</si>
  <si>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</si>
  <si>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</si>
  <si>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</si>
  <si>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</si>
  <si>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</si>
  <si>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</si>
  <si>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</si>
  <si>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</si>
  <si>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</si>
  <si>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</si>
  <si>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</si>
  <si>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</si>
  <si>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</si>
  <si>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</si>
  <si>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</si>
  <si>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</si>
  <si>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</si>
  <si>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</si>
  <si>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</si>
  <si>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</si>
  <si>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</si>
  <si>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</si>
  <si>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</si>
  <si>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</si>
  <si>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</si>
  <si>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</si>
  <si>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</si>
  <si>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</si>
  <si>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</si>
  <si>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</si>
  <si>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</si>
  <si>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</si>
  <si>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</si>
  <si>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</si>
  <si>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</si>
  <si>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</si>
  <si>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</si>
  <si>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</si>
  <si>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</si>
  <si>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</si>
  <si>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</si>
  <si>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</si>
  <si>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</si>
  <si>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</si>
  <si>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</si>
  <si>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</si>
  <si>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</si>
  <si>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</si>
  <si>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</si>
  <si>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</si>
  <si>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</si>
  <si>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</si>
  <si>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</si>
  <si>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</si>
  <si>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</si>
  <si>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</si>
  <si>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</si>
  <si>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</si>
  <si>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</si>
  <si>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</si>
  <si>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</si>
  <si>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</si>
  <si>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</si>
  <si>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</si>
  <si>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</si>
  <si>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</si>
  <si>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</si>
  <si>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</si>
  <si>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</si>
  <si>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</si>
  <si>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</si>
  <si>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</si>
  <si>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</si>
  <si>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</si>
  <si>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</si>
  <si>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</si>
  <si>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</si>
  <si>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</si>
  <si>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</si>
  <si>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</si>
  <si>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</si>
  <si>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</si>
  <si>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</si>
  <si>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</si>
  <si>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</si>
  <si>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</si>
  <si>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</si>
  <si>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</si>
  <si>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</si>
  <si>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</si>
  <si>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</si>
  <si>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</si>
  <si>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</si>
  <si>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</si>
  <si>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</si>
  <si>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</si>
  <si>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</si>
  <si>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</si>
  <si>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</si>
  <si>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</si>
  <si>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</si>
  <si>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</si>
  <si>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</si>
  <si>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</si>
  <si>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</si>
  <si>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</si>
  <si>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</si>
  <si>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</si>
  <si>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</si>
  <si>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</si>
  <si>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</si>
  <si>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</si>
  <si>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</si>
  <si>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</si>
  <si>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</si>
  <si>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</si>
  <si>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</si>
  <si>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</si>
  <si>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</si>
  <si>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</si>
  <si>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</si>
  <si>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</si>
  <si>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</si>
  <si>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</si>
  <si>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</si>
  <si>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</si>
  <si>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</si>
  <si>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</si>
  <si>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</si>
  <si>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</si>
  <si>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</si>
  <si>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</si>
  <si>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</si>
  <si>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</si>
  <si>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</si>
  <si>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</si>
  <si>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</si>
  <si>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</si>
  <si>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</si>
  <si>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</si>
  <si>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</si>
  <si>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</si>
  <si>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</si>
  <si>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</si>
  <si>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</si>
  <si>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</si>
  <si>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</si>
  <si>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</si>
  <si>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</si>
  <si>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</si>
  <si>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</si>
  <si>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</si>
  <si>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</si>
  <si>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</si>
  <si>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</si>
  <si>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</si>
  <si>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</si>
  <si>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</si>
  <si>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</si>
  <si>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</si>
  <si>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</si>
  <si>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</si>
  <si>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</si>
  <si>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</si>
  <si>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</si>
  <si>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</si>
  <si>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</si>
  <si>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</si>
  <si>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</si>
  <si>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</si>
  <si>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</si>
  <si>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</si>
  <si>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</si>
  <si>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</si>
  <si>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</si>
  <si>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</si>
  <si>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</si>
  <si>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</si>
  <si>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</si>
  <si>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</si>
  <si>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</si>
  <si>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</si>
  <si>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</si>
  <si>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</si>
  <si>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</si>
  <si>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</si>
  <si>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</si>
  <si>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</si>
  <si>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</si>
  <si>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</si>
  <si>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</si>
  <si>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</si>
  <si>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</si>
  <si>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</si>
  <si>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</si>
  <si>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</si>
  <si>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</si>
  <si>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</si>
  <si>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</si>
  <si>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</si>
  <si>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</si>
  <si>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</si>
  <si>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</si>
  <si>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</si>
  <si>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</si>
  <si>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</si>
  <si>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</si>
  <si>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</si>
  <si>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</si>
  <si>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</si>
  <si>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</si>
  <si>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</si>
  <si>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</si>
  <si>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</si>
  <si>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</si>
  <si>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</si>
  <si>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</si>
  <si>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</si>
  <si>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</si>
  <si>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</si>
  <si>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</si>
  <si>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</si>
  <si>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</si>
  <si>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</si>
  <si>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</si>
  <si>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</si>
  <si>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</si>
  <si>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</si>
  <si>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</si>
  <si>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</si>
  <si>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</si>
  <si>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</si>
  <si>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</si>
  <si>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</si>
  <si>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</si>
  <si>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</si>
  <si>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</si>
  <si>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</si>
  <si>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</si>
  <si>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</si>
  <si>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</si>
  <si>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</si>
  <si>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</si>
  <si>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</si>
  <si>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</si>
  <si>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</si>
  <si>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</si>
  <si>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</si>
  <si>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</si>
  <si>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</si>
  <si>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</si>
  <si>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</si>
  <si>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</si>
  <si>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</si>
  <si>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</si>
  <si>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</si>
  <si>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</si>
  <si>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</si>
  <si>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</si>
  <si>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</si>
  <si>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</si>
  <si>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</si>
  <si>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</si>
  <si>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</si>
  <si>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</si>
  <si>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</si>
  <si>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</si>
  <si>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</si>
  <si>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</si>
  <si>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</si>
  <si>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</si>
  <si>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</si>
  <si>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</si>
  <si>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</si>
  <si>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</si>
  <si>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</si>
  <si>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</si>
  <si>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</si>
  <si>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</si>
  <si>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</si>
  <si>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</si>
  <si>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</si>
  <si>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</si>
  <si>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</si>
  <si>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</si>
  <si>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</si>
  <si>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</si>
  <si>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</si>
  <si>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</si>
  <si>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</si>
  <si>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</si>
  <si>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</si>
  <si>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</si>
  <si>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</si>
  <si>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</si>
  <si>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</si>
  <si>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</si>
  <si>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</si>
  <si>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</si>
  <si>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</si>
  <si>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</si>
  <si>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</si>
  <si>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</si>
  <si>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</si>
  <si>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</si>
  <si>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</si>
  <si>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</si>
  <si>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</si>
  <si>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</si>
  <si>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</si>
  <si>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</si>
  <si>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</si>
  <si>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</si>
  <si>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</si>
  <si>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</si>
  <si>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</si>
  <si>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</si>
  <si>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</si>
  <si>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</si>
  <si>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</si>
  <si>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</si>
  <si>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</si>
  <si>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</si>
  <si>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</si>
  <si>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</si>
  <si>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</si>
  <si>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</si>
  <si>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</si>
  <si>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</si>
  <si>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</si>
  <si>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</si>
  <si>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</si>
  <si>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</si>
  <si>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</si>
  <si>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</si>
  <si>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</si>
  <si>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</si>
  <si>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</si>
  <si>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</si>
  <si>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</si>
  <si>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</si>
  <si>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</si>
  <si>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</si>
  <si>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</si>
  <si>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</si>
  <si>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</si>
  <si>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</si>
  <si>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</si>
  <si>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</si>
  <si>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</si>
  <si>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</si>
  <si>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</si>
  <si>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</si>
  <si>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</si>
  <si>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</si>
  <si>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</si>
  <si>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</si>
  <si>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</si>
  <si>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</si>
  <si>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</si>
  <si>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</si>
  <si>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</si>
  <si>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</si>
  <si>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</si>
  <si>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</si>
  <si>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</si>
  <si>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</si>
  <si>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</si>
  <si>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</si>
  <si>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</si>
  <si>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</si>
  <si>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</si>
  <si>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</si>
  <si>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</si>
  <si>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</si>
  <si>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</si>
  <si>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</si>
  <si>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</si>
  <si>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</si>
  <si>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</si>
  <si>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</si>
  <si>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</si>
  <si>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</si>
  <si>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</si>
  <si>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</si>
  <si>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</si>
  <si>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</si>
  <si>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</si>
  <si>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</si>
  <si>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</si>
  <si>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</si>
  <si>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</si>
  <si>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</si>
  <si>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</si>
  <si>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</si>
  <si>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</si>
  <si>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</si>
  <si>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</si>
  <si>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</si>
  <si>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</si>
  <si>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</si>
  <si>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</si>
  <si>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</si>
  <si>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</si>
  <si>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</si>
  <si>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</si>
  <si>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</si>
  <si>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</si>
  <si>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</si>
  <si>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</si>
  <si>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</si>
  <si>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</si>
  <si>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</si>
  <si>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</si>
  <si>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</si>
  <si>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</si>
  <si>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</si>
  <si>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</si>
  <si>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</si>
  <si>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</si>
  <si>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</si>
  <si>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</si>
  <si>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</si>
  <si>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</si>
  <si>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</si>
  <si>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</si>
  <si>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</si>
  <si>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</si>
  <si>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</si>
  <si>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</si>
  <si>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</si>
  <si>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</si>
  <si>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</si>
  <si>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</si>
  <si>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</si>
  <si>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</si>
  <si>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</si>
  <si>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</si>
  <si>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</si>
  <si>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</si>
  <si>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</si>
  <si>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</si>
  <si>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</si>
  <si>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</si>
  <si>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</si>
  <si>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</si>
  <si>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</si>
  <si>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</si>
  <si>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</si>
  <si>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</si>
  <si>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</si>
  <si>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</si>
  <si>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</si>
  <si>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</si>
  <si>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</si>
  <si>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</si>
  <si>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</si>
  <si>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</si>
  <si>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</si>
  <si>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</si>
  <si>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</si>
  <si>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</si>
  <si>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</si>
  <si>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</si>
  <si>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</si>
  <si>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</si>
  <si>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</si>
  <si>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</si>
  <si>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</si>
  <si>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</si>
  <si>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</si>
  <si>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</si>
  <si>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</si>
  <si>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</si>
  <si>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</si>
  <si>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</si>
  <si>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</si>
  <si>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</si>
  <si>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</si>
  <si>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</si>
  <si>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</si>
  <si>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</si>
  <si>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</si>
  <si>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</si>
  <si>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</si>
  <si>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</si>
  <si>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</si>
  <si>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</si>
  <si>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</si>
  <si>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</si>
  <si>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</si>
  <si>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</si>
  <si>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</si>
  <si>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</si>
  <si>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</si>
  <si>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</si>
  <si>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</si>
  <si>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</si>
  <si>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</si>
  <si>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</si>
  <si>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</si>
  <si>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</si>
  <si>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</si>
  <si>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</si>
  <si>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</si>
  <si>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</si>
  <si>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</si>
  <si>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</si>
  <si>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</si>
  <si>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</si>
  <si>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</si>
  <si>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</si>
  <si>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</si>
  <si>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</si>
  <si>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</si>
  <si>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</si>
  <si>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</si>
  <si>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</si>
  <si>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</si>
  <si>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</si>
  <si>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</si>
  <si>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</si>
  <si>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</si>
  <si>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</si>
  <si>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</si>
  <si>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</si>
  <si>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</si>
  <si>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</si>
  <si>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</si>
  <si>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</si>
  <si>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</si>
  <si>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</si>
  <si>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</si>
  <si>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</si>
  <si>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</si>
  <si>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</si>
  <si>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</si>
  <si>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</si>
  <si>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</si>
  <si>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</si>
  <si>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</si>
  <si>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</si>
  <si>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</si>
  <si>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</si>
  <si>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</si>
  <si>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</si>
  <si>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</si>
  <si>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</si>
  <si>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</si>
  <si>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</si>
  <si>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</si>
  <si>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</si>
  <si>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</si>
  <si>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</si>
  <si>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</si>
  <si>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</si>
  <si>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</si>
  <si>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</si>
  <si>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</si>
  <si>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</si>
  <si>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</si>
  <si>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</si>
  <si>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</si>
  <si>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</si>
  <si>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</si>
  <si>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</si>
  <si>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</si>
  <si>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</si>
  <si>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</si>
  <si>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</si>
  <si>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</si>
  <si>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</si>
  <si>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</si>
  <si>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</si>
  <si>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</si>
  <si>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</si>
  <si>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</si>
  <si>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</si>
  <si>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</si>
  <si>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</si>
  <si>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</si>
  <si>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</si>
  <si>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</si>
  <si>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</si>
  <si>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</si>
  <si>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</si>
  <si>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</si>
  <si>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</si>
  <si>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</si>
  <si>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</si>
  <si>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</si>
  <si>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</si>
  <si>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</si>
  <si>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</si>
  <si>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</si>
  <si>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</si>
  <si>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</si>
  <si>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</si>
  <si>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</si>
  <si>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</si>
  <si>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</si>
  <si>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</si>
  <si>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</si>
  <si>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</si>
  <si>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</si>
  <si>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</si>
  <si>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</si>
  <si>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</si>
  <si>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</si>
  <si>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</si>
  <si>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</si>
  <si>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</si>
  <si>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</si>
  <si>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</si>
  <si>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</si>
  <si>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</si>
  <si>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</si>
  <si>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</si>
  <si>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</si>
  <si>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</si>
  <si>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</si>
  <si>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</si>
  <si>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</si>
  <si>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</si>
  <si>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</si>
  <si>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</si>
  <si>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</si>
  <si>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</si>
  <si>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</si>
  <si>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</si>
  <si>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</si>
  <si>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</si>
  <si>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</si>
  <si>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</si>
  <si>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</si>
  <si>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</si>
  <si>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</si>
  <si>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</si>
  <si>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</si>
  <si>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</si>
  <si>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</si>
  <si>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</si>
  <si>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</si>
  <si>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</si>
  <si>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</si>
  <si>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</si>
  <si>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</si>
  <si>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</si>
  <si>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</si>
  <si>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</si>
  <si>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</si>
  <si>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</si>
  <si>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</si>
  <si>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</si>
  <si>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</si>
  <si>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</si>
  <si>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</si>
  <si>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</si>
  <si>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</si>
  <si>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</si>
  <si>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</si>
  <si>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</si>
  <si>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</si>
  <si>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</si>
  <si>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</si>
  <si>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</si>
  <si>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</si>
  <si>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</si>
  <si>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</si>
  <si>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</si>
  <si>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</si>
  <si>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</si>
  <si>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</si>
  <si>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</si>
  <si>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</si>
  <si>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</si>
  <si>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</si>
  <si>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</si>
  <si>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</si>
  <si>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</si>
  <si>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</si>
  <si>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</si>
  <si>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</si>
  <si>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</si>
  <si>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</si>
  <si>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</si>
  <si>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</si>
  <si>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</si>
  <si>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</si>
  <si>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</si>
  <si>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</si>
  <si>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</si>
  <si>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</si>
  <si>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</si>
  <si>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</si>
  <si>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</si>
  <si>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</si>
  <si>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</si>
  <si>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</si>
  <si>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</si>
  <si>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</si>
  <si>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</si>
  <si>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</si>
  <si>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</si>
  <si>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</si>
  <si>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</si>
  <si>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</si>
  <si>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</si>
  <si>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</si>
  <si>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</si>
  <si>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</si>
  <si>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</si>
  <si>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</si>
  <si>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</si>
  <si>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</si>
  <si>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</si>
  <si>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</si>
  <si>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</si>
  <si>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</si>
  <si>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</si>
  <si>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</si>
  <si>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</si>
  <si>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</si>
  <si>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</si>
  <si>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</si>
  <si>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</si>
  <si>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</si>
  <si>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</si>
  <si>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</si>
  <si>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</si>
  <si>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</si>
  <si>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</si>
  <si>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</si>
  <si>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</si>
  <si>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</si>
  <si>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</si>
  <si>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</si>
  <si>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</si>
  <si>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</si>
  <si>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</si>
  <si>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</si>
  <si>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</si>
  <si>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</si>
  <si>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</si>
  <si>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</si>
  <si>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</si>
  <si>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</si>
  <si>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</si>
  <si>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</si>
  <si>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</si>
  <si>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</si>
  <si>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</si>
  <si>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</si>
  <si>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</si>
  <si>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</si>
  <si>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</si>
  <si>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</si>
  <si>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</si>
  <si>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</si>
  <si>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</si>
  <si>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</si>
  <si>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</si>
  <si>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</si>
  <si>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</si>
  <si>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</si>
  <si>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</si>
  <si>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</si>
  <si>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</si>
  <si>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</si>
  <si>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</si>
  <si>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</si>
  <si>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</si>
  <si>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</si>
  <si>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</si>
  <si>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</si>
  <si>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</si>
  <si>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</si>
  <si>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</si>
  <si>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</si>
  <si>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</si>
  <si>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</si>
  <si>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</si>
  <si>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</si>
  <si>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</si>
  <si>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</si>
  <si>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</si>
  <si>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</si>
  <si>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</si>
  <si>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</si>
  <si>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</si>
  <si>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</si>
  <si>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</si>
  <si>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</si>
  <si>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</si>
  <si>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</si>
  <si>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</si>
  <si>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</si>
  <si>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</si>
  <si>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</si>
  <si>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</si>
  <si>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</si>
  <si>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</si>
  <si>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</si>
  <si>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</si>
  <si>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</si>
  <si>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</si>
  <si>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</si>
  <si>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</si>
  <si>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</si>
  <si>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</si>
  <si>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</si>
  <si>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</si>
  <si>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</si>
  <si>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</si>
  <si>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</si>
  <si>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</si>
  <si>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</si>
  <si>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</si>
  <si>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</si>
  <si>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</si>
  <si>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</si>
  <si>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</si>
  <si>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</si>
  <si>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</si>
  <si>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</si>
  <si>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</si>
  <si>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</si>
  <si>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</si>
  <si>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</si>
  <si>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</si>
  <si>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</si>
  <si>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</si>
  <si>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</si>
  <si>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</si>
  <si>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</si>
  <si>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</si>
  <si>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</si>
  <si>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</si>
  <si>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</si>
  <si>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</si>
  <si>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</si>
  <si>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</si>
  <si>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</si>
  <si>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</si>
  <si>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</si>
  <si>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</si>
  <si>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</si>
  <si>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</si>
  <si>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</si>
  <si>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</si>
  <si>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</si>
  <si>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</si>
  <si>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</si>
  <si>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</si>
  <si>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</si>
  <si>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</si>
  <si>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</si>
  <si>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</si>
  <si>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</si>
  <si>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</si>
  <si>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</si>
  <si>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</si>
  <si>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</si>
  <si>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</si>
  <si>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</si>
  <si>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</si>
  <si>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</si>
  <si>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</si>
  <si>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</si>
  <si>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</si>
  <si>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</si>
  <si>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</si>
  <si>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</si>
  <si>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</si>
  <si>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</si>
  <si>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</si>
  <si>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</si>
  <si>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</si>
  <si>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</si>
  <si>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</si>
  <si>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</si>
  <si>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</si>
  <si>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</si>
  <si>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</si>
  <si>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</si>
  <si>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</si>
  <si>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</si>
  <si>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</si>
  <si>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</si>
  <si>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</si>
  <si>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</si>
  <si>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</si>
  <si>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</si>
  <si>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</si>
  <si>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</si>
  <si>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</si>
  <si>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</si>
  <si>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</si>
  <si>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</si>
  <si>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</si>
  <si>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</si>
  <si>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</si>
  <si>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</si>
  <si>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</si>
  <si>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</si>
  <si>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</si>
  <si>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</si>
  <si>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</si>
  <si>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</si>
  <si>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</si>
  <si>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</si>
  <si>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</si>
  <si>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</si>
  <si>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</si>
  <si>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</si>
  <si>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</si>
  <si>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</si>
  <si>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</si>
  <si>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</si>
  <si>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</si>
  <si>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</si>
  <si>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</si>
  <si>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</si>
  <si>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</si>
  <si>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</si>
  <si>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</si>
  <si>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</si>
  <si>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</si>
  <si>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</si>
  <si>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</si>
  <si>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</si>
  <si>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</si>
  <si>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</si>
  <si>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</si>
  <si>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</si>
  <si>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</si>
  <si>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</si>
  <si>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</si>
  <si>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</si>
  <si>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</si>
  <si>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</si>
  <si>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</si>
  <si>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</si>
  <si>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</si>
  <si>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</si>
  <si>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</si>
  <si>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</si>
  <si>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</si>
  <si>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</si>
  <si>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</si>
  <si>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</si>
  <si>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</si>
  <si>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</si>
  <si>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</si>
  <si>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</si>
  <si>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</si>
  <si>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</si>
  <si>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</si>
  <si>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</si>
  <si>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</si>
  <si>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</si>
  <si>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</si>
  <si>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</si>
  <si>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</si>
  <si>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</si>
  <si>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</si>
  <si>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</si>
  <si>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</si>
  <si>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</si>
  <si>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</si>
  <si>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</si>
  <si>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</si>
  <si>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</si>
  <si>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</si>
  <si>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</si>
  <si>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</si>
  <si>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</si>
  <si>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</si>
  <si>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</si>
  <si>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</si>
  <si>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</si>
  <si>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</si>
  <si>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</si>
  <si>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</si>
  <si>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</si>
  <si>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</si>
  <si>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</si>
  <si>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</si>
  <si>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</si>
  <si>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</si>
  <si>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</si>
  <si>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</si>
  <si>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</si>
  <si>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</si>
  <si>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</si>
  <si>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</si>
  <si>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</si>
  <si>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</si>
  <si>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</si>
  <si>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</si>
  <si>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</si>
  <si>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</si>
  <si>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</si>
  <si>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</si>
  <si>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</si>
  <si>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</si>
  <si>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</si>
  <si>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</si>
  <si>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</si>
  <si>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</si>
  <si>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</si>
  <si>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</si>
  <si>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</si>
  <si>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</si>
  <si>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</si>
  <si>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</si>
  <si>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</si>
  <si>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</si>
  <si>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</si>
  <si>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</si>
  <si>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</si>
  <si>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</si>
  <si>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</si>
  <si>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</si>
  <si>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</si>
  <si>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</si>
  <si>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</si>
  <si>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</si>
  <si>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</si>
  <si>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</si>
  <si>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</si>
  <si>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</si>
  <si>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</si>
  <si>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</si>
  <si>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</si>
  <si>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</si>
  <si>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</si>
  <si>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</si>
  <si>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</si>
  <si>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</si>
  <si>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</si>
  <si>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</si>
  <si>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</si>
  <si>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</si>
  <si>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</si>
  <si>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</si>
  <si>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</si>
  <si>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</si>
  <si>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</si>
  <si>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</si>
  <si>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</si>
  <si>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</si>
  <si>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</si>
  <si>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</si>
  <si>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</si>
  <si>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</si>
  <si>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</si>
  <si>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</si>
  <si>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</si>
  <si>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</si>
  <si>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</si>
  <si>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</si>
  <si>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</si>
  <si>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</si>
  <si>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</si>
  <si>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</si>
  <si>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</si>
  <si>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</si>
  <si>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</si>
  <si>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</si>
  <si>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</si>
  <si>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</si>
  <si>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</si>
  <si>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</si>
  <si>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</si>
  <si>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</si>
  <si>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</si>
  <si>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</si>
  <si>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</si>
  <si>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</si>
  <si>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</si>
  <si>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</si>
  <si>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</si>
  <si>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</si>
  <si>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</si>
  <si>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</si>
  <si>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</si>
  <si>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</si>
  <si>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</si>
  <si>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</si>
  <si>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</si>
  <si>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</si>
  <si>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</si>
  <si>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</si>
  <si>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</si>
  <si>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</si>
  <si>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</si>
  <si>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</si>
  <si>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</si>
  <si>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</si>
  <si>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</si>
  <si>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</si>
  <si>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</si>
  <si>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</si>
  <si>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</si>
  <si>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</si>
  <si>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</si>
  <si>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</si>
  <si>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国民信托</t>
    <phoneticPr fontId="6" type="noConversion"/>
  </si>
  <si>
    <t>抵押</t>
  </si>
  <si>
    <t>抵押价格</t>
  </si>
  <si>
    <t>其他：</t>
  </si>
  <si>
    <t>企业</t>
  </si>
  <si>
    <t>商业</t>
  </si>
  <si>
    <t>车库</t>
  </si>
  <si>
    <t>否</t>
  </si>
  <si>
    <t>地上</t>
  </si>
  <si>
    <t>地下</t>
  </si>
  <si>
    <t>住宅</t>
    <phoneticPr fontId="7" type="noConversion"/>
  </si>
  <si>
    <t>商业</t>
    <phoneticPr fontId="7" type="noConversion"/>
  </si>
  <si>
    <t>车库</t>
    <phoneticPr fontId="7" type="noConversion"/>
  </si>
  <si>
    <t>不动产收益法</t>
  </si>
  <si>
    <t>不动产收益法 (车库)</t>
  </si>
  <si>
    <r>
      <t>不动产收益法</t>
    </r>
    <r>
      <rPr>
        <sz val="11"/>
        <color theme="1"/>
        <rFont val="Arial"/>
        <family val="2"/>
      </rPr>
      <t xml:space="preserve"> (</t>
    </r>
    <r>
      <rPr>
        <sz val="11"/>
        <color theme="1"/>
        <rFont val="宋体"/>
        <family val="3"/>
        <charset val="134"/>
      </rPr>
      <t>车库</t>
    </r>
    <r>
      <rPr>
        <sz val="11"/>
        <color theme="1"/>
        <rFont val="Arial"/>
        <family val="2"/>
      </rPr>
      <t>)</t>
    </r>
  </si>
  <si>
    <t>按租金收入计税</t>
  </si>
  <si>
    <t>钢混</t>
  </si>
  <si>
    <t>押一</t>
  </si>
  <si>
    <t>土地（套用方法）</t>
  </si>
  <si>
    <t>正常</t>
  </si>
  <si>
    <t>住宅</t>
    <phoneticPr fontId="21" type="noConversion"/>
  </si>
  <si>
    <t>较好</t>
  </si>
  <si>
    <t>一般</t>
  </si>
  <si>
    <t>鹏润悦秀天宸</t>
    <phoneticPr fontId="3" type="noConversion"/>
  </si>
  <si>
    <t>精装</t>
  </si>
  <si>
    <t>精装</t>
    <phoneticPr fontId="21" type="noConversion"/>
  </si>
  <si>
    <t>专业</t>
  </si>
  <si>
    <t>专业</t>
    <phoneticPr fontId="21" type="noConversion"/>
  </si>
  <si>
    <t>钢混</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</si>
  <si>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</si>
  <si>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</si>
  <si>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</si>
  <si>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</si>
  <si>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</si>
  <si>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别墅</t>
    <phoneticPr fontId="21" type="noConversion"/>
  </si>
  <si>
    <t>洋房</t>
    <phoneticPr fontId="21" type="noConversion"/>
  </si>
  <si>
    <t>高层</t>
  </si>
  <si>
    <t>高层</t>
    <phoneticPr fontId="21" type="noConversion"/>
  </si>
  <si>
    <t>六通</t>
  </si>
  <si>
    <t>毛坯</t>
  </si>
  <si>
    <t>毛坯</t>
    <phoneticPr fontId="21" type="noConversion"/>
  </si>
  <si>
    <t>七通</t>
    <phoneticPr fontId="21" type="noConversion"/>
  </si>
  <si>
    <t>六通</t>
    <phoneticPr fontId="21" type="noConversion"/>
  </si>
  <si>
    <t>五通</t>
  </si>
  <si>
    <t>五通</t>
    <phoneticPr fontId="21" type="noConversion"/>
  </si>
  <si>
    <t>好</t>
    <phoneticPr fontId="21" type="noConversion"/>
  </si>
  <si>
    <t>较好</t>
    <phoneticPr fontId="21" type="noConversion"/>
  </si>
  <si>
    <t>一般</t>
    <phoneticPr fontId="21" type="noConversion"/>
  </si>
  <si>
    <t>大</t>
  </si>
  <si>
    <t>中</t>
  </si>
  <si>
    <t>中</t>
    <phoneticPr fontId="21" type="noConversion"/>
  </si>
  <si>
    <t>小</t>
  </si>
  <si>
    <t>小</t>
    <phoneticPr fontId="21" type="noConversion"/>
  </si>
  <si>
    <t>大</t>
    <phoneticPr fontId="21" type="noConversion"/>
  </si>
  <si>
    <t>40-50（含）</t>
  </si>
  <si>
    <t>售价</t>
  </si>
  <si>
    <t>剩余法-待开发</t>
  </si>
  <si>
    <t>比较法-住宅、综合</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</si>
  <si>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</si>
  <si>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</si>
  <si>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</si>
  <si>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</si>
  <si>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</si>
  <si>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</si>
  <si>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</si>
  <si>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</si>
  <si>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</si>
  <si>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</si>
  <si>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</si>
  <si>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</si>
  <si>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</si>
  <si>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工业园区南区G9-02/01(规划编号E-53-02)地块</t>
  </si>
  <si>
    <t>重庆市</t>
  </si>
  <si>
    <t>住宅用地</t>
  </si>
  <si>
    <t>＞1并且≤1.5</t>
  </si>
  <si>
    <t>挂牌</t>
  </si>
  <si>
    <t>2019-06-25</t>
  </si>
  <si>
    <t>重庆市金潼工业建设投资有限公司</t>
  </si>
  <si>
    <t>2星</t>
  </si>
  <si>
    <t>工业园区南区G9-06/01(规划编号E-52-02)地块</t>
  </si>
  <si>
    <t>大于1并且小于或等于1.5</t>
  </si>
  <si>
    <t>0星</t>
  </si>
  <si>
    <t>工业园区北区B-97-01/01、B-97-02/01(规划编号B-97-03/01、B-97-02/01)地块</t>
  </si>
  <si>
    <t>综合用地(含住宅)</t>
  </si>
  <si>
    <t>农广校片区D-27(规划编号组团江南片区分区F-27号)地块</t>
  </si>
  <si>
    <t>＞1并且≤3</t>
  </si>
  <si>
    <t>拍卖</t>
  </si>
  <si>
    <t>重庆市潼南区晨天实业有限公司</t>
  </si>
  <si>
    <t>工业园区南区G11-02/01(规划编号E-47)地块</t>
  </si>
  <si>
    <t>组团江北新城分区D7号地块</t>
  </si>
  <si>
    <t>＞1并且≤2</t>
  </si>
  <si>
    <t>2019-02-20</t>
  </si>
  <si>
    <t>恒大地产集团重庆有限公司</t>
  </si>
  <si>
    <t>3星</t>
  </si>
  <si>
    <t>组团江北新城分区D6-6号地块</t>
  </si>
  <si>
    <t>＞1并且≤2.5</t>
  </si>
  <si>
    <t>组团江北新城分区D3-6号地块</t>
  </si>
  <si>
    <t>江北新城组团两桥片区分区B-92-03/01地块</t>
  </si>
  <si>
    <t>2018-11-20</t>
  </si>
  <si>
    <t>重庆市潼南区涪源商业管理有限公司</t>
  </si>
  <si>
    <t>江北新城组团金福分区A40-01/02地块</t>
  </si>
  <si>
    <t>组团江北新城片区分区A2-3地块</t>
  </si>
  <si>
    <t>朱志轩</t>
  </si>
  <si>
    <t>江北新城组团金福分区A37-01/02地块</t>
  </si>
  <si>
    <t>上和组团分区B-35-1地块</t>
  </si>
  <si>
    <t>≥1并且≤4.4</t>
  </si>
  <si>
    <t>重庆市潼南区佳盛实业有限公司</t>
  </si>
  <si>
    <t>梓潼街道卫星村1社、双江镇五里村6社</t>
  </si>
  <si>
    <t>江北新城组团两桥片区分区B-92-01/01地块</t>
  </si>
  <si>
    <t>江北新城组团金福分区A36-01/02地块</t>
  </si>
  <si>
    <t>江北新城组团两桥片区分区B-93-02/01地块</t>
  </si>
  <si>
    <t>梓潼组团工业园区南区分区C2-01/02、C2-02/02地块</t>
  </si>
  <si>
    <t>＞1并且≤2.6</t>
  </si>
  <si>
    <t>2018-08-10</t>
  </si>
  <si>
    <t>重庆蕴鸥地产有限公司</t>
  </si>
  <si>
    <t>旧城片区分区B-14-03地块</t>
  </si>
  <si>
    <t>≥1并且≤1.85</t>
  </si>
  <si>
    <t>2018-02-06</t>
  </si>
  <si>
    <t>重庆市潼南区八角房地产开发有限公司</t>
  </si>
  <si>
    <t>江南片区分区E7-11-01地块</t>
  </si>
  <si>
    <t>≥1并且≤2</t>
  </si>
  <si>
    <t>2017-12-26</t>
  </si>
  <si>
    <t>重庆市潼南区凯星商业管理有限公司</t>
  </si>
  <si>
    <t>江南片区分区E7-14-01地块</t>
  </si>
  <si>
    <t>梓潼组团旧城分区方碑坡棚户区改造地块</t>
  </si>
  <si>
    <t>大于1并且≤4.36</t>
  </si>
  <si>
    <t>2017-06-02</t>
  </si>
  <si>
    <t>重庆市潼南双龙房地产开发有限公司</t>
  </si>
  <si>
    <t>梓潼组团旧城分区B-14-02地块</t>
  </si>
  <si>
    <t>≥1,≤5.5</t>
  </si>
  <si>
    <t>2016-09-26</t>
  </si>
  <si>
    <t>谭必冬</t>
  </si>
  <si>
    <t>住宅</t>
    <phoneticPr fontId="26"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</si>
  <si>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</si>
  <si>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</si>
  <si>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</si>
  <si>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</si>
  <si>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</si>
  <si>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较好</t>
    <phoneticPr fontId="26" type="noConversion"/>
  </si>
  <si>
    <t>六通</t>
    <phoneticPr fontId="26" type="noConversion"/>
  </si>
  <si>
    <t>规则</t>
    <phoneticPr fontId="26" type="noConversion"/>
  </si>
  <si>
    <t>较规则</t>
  </si>
  <si>
    <t>较规则</t>
    <phoneticPr fontId="26" type="noConversion"/>
  </si>
  <si>
    <t>一般</t>
    <phoneticPr fontId="26" type="noConversion"/>
  </si>
  <si>
    <t>五通</t>
    <phoneticPr fontId="26" type="noConversion"/>
  </si>
  <si>
    <t>较适宜</t>
  </si>
  <si>
    <t>较适宜</t>
    <phoneticPr fontId="26" type="noConversion"/>
  </si>
  <si>
    <t>楼面地价</t>
  </si>
  <si>
    <t>估价对象周边商业为项目内部商业街，周边商业氛围较好，人流量较大，商业繁华度较好</t>
  </si>
  <si>
    <t>周边道路密集程度一般、公共交通通达情况一般，有107路，203路、等公交线路通过，停车便捷程度一般，综合评价交通便捷度一般。</t>
    <phoneticPr fontId="3" type="noConversion"/>
  </si>
  <si>
    <t>所在区域基础设施水平达六通</t>
  </si>
  <si>
    <t>所在区域基础设施水平达六通</t>
    <phoneticPr fontId="3" type="noConversion"/>
  </si>
  <si>
    <t>所在区域2公里范围内有银行（中国邮政储蓄银行）、学校（巴川中学）、商业（无）、医院（无）等配套设施，公共配套设施较差；</t>
    <phoneticPr fontId="21" type="noConversion"/>
  </si>
  <si>
    <t>区域土地利用方向较一致；</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</si>
  <si>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创意大道</t>
    </r>
    <phoneticPr fontId="21" type="noConversion"/>
  </si>
  <si>
    <t>次干道</t>
  </si>
  <si>
    <t>主干道</t>
  </si>
  <si>
    <t>巴渝大道</t>
    <phoneticPr fontId="26" type="noConversion"/>
  </si>
  <si>
    <t>潼南大道</t>
    <phoneticPr fontId="26" type="noConversion"/>
  </si>
  <si>
    <t>估价对象周边商业为项目住宅商业，周边商业氛围一般，人流量一般，商业繁华度一般</t>
  </si>
  <si>
    <t>周边道路密集程度一般、公共交通通达情况一般，有109路，203路、等公交线路通过，停车便捷程度一般，综合评价交通便捷度一般。</t>
  </si>
  <si>
    <t>周边自然环境（无）；人文环境（无），综合评价环境状况较差；</t>
  </si>
  <si>
    <t>较差</t>
  </si>
  <si>
    <t>周边居住氛围一遍，有富乐小区、恒泰美庭、卓然水晶之城等住宅小区，居住社区成熟度较好</t>
  </si>
  <si>
    <t>周边居住氛围一遍，有键能绿都、芭堤香郡等住宅小区，居住社区成熟度较好</t>
    <phoneticPr fontId="26" type="noConversion"/>
  </si>
  <si>
    <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</si>
  <si>
    <t>周边自然环境（滨江公园）；人文环境（潼南区图书馆），综合评价环境状况较好；</t>
  </si>
  <si>
    <t>所在区域2公里范围内有银行（中国农业银行）、学校（潼南区人民小学）、商业（重百潼南商场）、医院（潼南区中医院）等配套设施，公共配套设施较好；</t>
  </si>
  <si>
    <t>周边居住氛围一遍，有潼南天地、卓然铂金公馆等住宅小区，居住社区成熟度较好</t>
    <phoneticPr fontId="21" type="noConversion"/>
  </si>
  <si>
    <t>周边居住氛围一遍，有华夏一品、蓝垭丽都公馆等住宅小区，居住社区成熟度较好</t>
    <phoneticPr fontId="3" type="noConversion"/>
  </si>
  <si>
    <r>
      <rPr>
        <sz val="11"/>
        <rFont val="宋体"/>
        <family val="3"/>
        <charset val="134"/>
      </rPr>
      <t>周边道路密集程度一般、公共交通通达情况一般，有</t>
    </r>
    <r>
      <rPr>
        <sz val="11"/>
        <rFont val="Arial"/>
        <family val="2"/>
      </rPr>
      <t>107</t>
    </r>
    <r>
      <rPr>
        <sz val="11"/>
        <rFont val="宋体"/>
        <family val="3"/>
        <charset val="134"/>
      </rPr>
      <t>路，</t>
    </r>
    <r>
      <rPr>
        <sz val="11"/>
        <rFont val="Arial"/>
        <family val="2"/>
      </rPr>
      <t>101</t>
    </r>
    <r>
      <rPr>
        <sz val="11"/>
        <rFont val="宋体"/>
        <family val="3"/>
        <charset val="134"/>
      </rPr>
      <t>路、等公交线路通过，停车便捷程度一般，综合评价交通便捷度一般。</t>
    </r>
    <phoneticPr fontId="3"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</si>
  <si>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3" type="noConversion"/>
  </si>
  <si>
    <r>
      <rPr>
        <sz val="11"/>
        <color indexed="8"/>
        <rFont val="宋体"/>
        <family val="3"/>
        <charset val="134"/>
      </rPr>
      <t>主干道</t>
    </r>
    <r>
      <rPr>
        <sz val="11"/>
        <color indexed="8"/>
        <rFont val="Arial"/>
        <family val="2"/>
      </rPr>
      <t/>
    </r>
    <phoneticPr fontId="3" type="noConversion"/>
  </si>
  <si>
    <r>
      <rPr>
        <sz val="11"/>
        <color indexed="8"/>
        <rFont val="宋体"/>
        <family val="3"/>
        <charset val="134"/>
      </rPr>
      <t>次干道</t>
    </r>
    <r>
      <rPr>
        <sz val="11"/>
        <color indexed="8"/>
        <rFont val="Arial"/>
        <family val="2"/>
      </rPr>
      <t/>
    </r>
    <phoneticPr fontId="3" type="noConversion"/>
  </si>
  <si>
    <t>周边居住氛围一遍，有永嘉柏林公馆、卓然水晶之城等住宅小区，居住社区成熟度较好</t>
  </si>
  <si>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3" type="noConversion"/>
  </si>
  <si>
    <r>
      <rPr>
        <sz val="11"/>
        <rFont val="宋体"/>
        <family val="3"/>
        <charset val="134"/>
      </rPr>
      <t>所在区域</t>
    </r>
    <r>
      <rPr>
        <sz val="11"/>
        <rFont val="Arial"/>
        <family val="2"/>
      </rPr>
      <t>2</t>
    </r>
    <r>
      <rPr>
        <sz val="11"/>
        <rFont val="宋体"/>
        <family val="3"/>
        <charset val="134"/>
      </rPr>
      <t>公里范围内有银行（中国农业银行）、学校（潼南区人民小学）、商业（新世纪百货）、医院（潼南区中医院）等配套设施，公共配套设施较好；</t>
    </r>
    <phoneticPr fontId="3" type="noConversion"/>
  </si>
  <si>
    <t>周边自然环境（滨江公园）；人文环境（潼南区图书馆），综合评价环境状况较好；</t>
    <phoneticPr fontId="3" type="noConversion"/>
  </si>
  <si>
    <r>
      <rPr>
        <sz val="11"/>
        <color indexed="8"/>
        <rFont val="宋体"/>
        <family val="3"/>
        <charset val="134"/>
      </rPr>
      <t>支路</t>
    </r>
    <r>
      <rPr>
        <sz val="11"/>
        <color indexed="8"/>
        <rFont val="Arial"/>
        <family val="2"/>
      </rPr>
      <t/>
    </r>
    <phoneticPr fontId="3" type="noConversion"/>
  </si>
  <si>
    <t>周边居住氛围一遍，有华夏天宇、蓝垭丽都公馆等住宅小区，居住社区成熟度较好</t>
    <phoneticPr fontId="3" type="noConversion"/>
  </si>
  <si>
    <r>
      <rPr>
        <sz val="11"/>
        <rFont val="宋体"/>
        <family val="3"/>
        <charset val="134"/>
      </rPr>
      <t>主干道</t>
    </r>
    <r>
      <rPr>
        <sz val="11"/>
        <rFont val="Arial"/>
        <family val="2"/>
      </rPr>
      <t>-S205</t>
    </r>
    <phoneticPr fontId="3" type="noConversion"/>
  </si>
  <si>
    <r>
      <rPr>
        <sz val="11"/>
        <rFont val="宋体"/>
        <family val="3"/>
        <charset val="134"/>
      </rPr>
      <t>主干道</t>
    </r>
    <r>
      <rPr>
        <sz val="11"/>
        <rFont val="Arial"/>
        <family val="2"/>
      </rPr>
      <t>-</t>
    </r>
    <r>
      <rPr>
        <sz val="11"/>
        <rFont val="宋体"/>
        <family val="3"/>
        <charset val="134"/>
      </rPr>
      <t>渝南大道</t>
    </r>
    <phoneticPr fontId="3" type="noConversion"/>
  </si>
  <si>
    <t>主干道</t>
    <phoneticPr fontId="3" type="noConversion"/>
  </si>
  <si>
    <t>所在区域2公里范围内有银行（中国邮政储蓄银行）、学校（巴川中学）、商业（无）、医院（无）等配套设施，公共配套设施一般；</t>
    <phoneticPr fontId="3" type="noConversion"/>
  </si>
  <si>
    <t>周边自然环境（无）；人文环境（潼南区图书馆），综合评价环境状况一般；</t>
    <phoneticPr fontId="3" type="noConversion"/>
  </si>
  <si>
    <t>八期建筑面积及计容建筑面积明细表</t>
    <phoneticPr fontId="3" type="noConversion"/>
  </si>
  <si>
    <t>栋号</t>
  </si>
  <si>
    <t>部位</t>
  </si>
  <si>
    <t>部位
编号</t>
  </si>
  <si>
    <t>主要
功能</t>
  </si>
  <si>
    <t>层高(米)</t>
  </si>
  <si>
    <t>层数(层)</t>
  </si>
  <si>
    <r>
      <t>标准层建筑面积（m</t>
    </r>
    <r>
      <rPr>
        <b/>
        <vertAlign val="superscript"/>
        <sz val="12"/>
        <rFont val="宋体"/>
        <family val="3"/>
        <charset val="134"/>
      </rPr>
      <t>2</t>
    </r>
    <r>
      <rPr>
        <b/>
        <sz val="12"/>
        <rFont val="宋体"/>
        <family val="3"/>
        <charset val="134"/>
      </rPr>
      <t>）</t>
    </r>
  </si>
  <si>
    <r>
      <t>标准层计容建筑面积（</t>
    </r>
    <r>
      <rPr>
        <sz val="12"/>
        <rFont val="宋体"/>
        <family val="3"/>
        <charset val="134"/>
      </rPr>
      <t>m</t>
    </r>
    <r>
      <rPr>
        <vertAlign val="superscript"/>
        <sz val="12"/>
        <rFont val="宋体"/>
        <family val="3"/>
        <charset val="134"/>
      </rPr>
      <t>2</t>
    </r>
    <r>
      <rPr>
        <b/>
        <sz val="12"/>
        <rFont val="宋体"/>
        <family val="3"/>
        <charset val="134"/>
      </rPr>
      <t>）</t>
    </r>
  </si>
  <si>
    <r>
      <t>总建筑面积（m</t>
    </r>
    <r>
      <rPr>
        <b/>
        <vertAlign val="superscript"/>
        <sz val="12"/>
        <rFont val="宋体"/>
        <family val="3"/>
        <charset val="134"/>
      </rPr>
      <t>2</t>
    </r>
    <r>
      <rPr>
        <b/>
        <sz val="12"/>
        <rFont val="宋体"/>
        <family val="3"/>
        <charset val="134"/>
      </rPr>
      <t>）</t>
    </r>
  </si>
  <si>
    <r>
      <t>总计容建筑面积（</t>
    </r>
    <r>
      <rPr>
        <sz val="12"/>
        <rFont val="宋体"/>
        <family val="3"/>
        <charset val="134"/>
      </rPr>
      <t>m</t>
    </r>
    <r>
      <rPr>
        <vertAlign val="superscript"/>
        <sz val="12"/>
        <rFont val="宋体"/>
        <family val="3"/>
        <charset val="134"/>
      </rPr>
      <t>2</t>
    </r>
    <r>
      <rPr>
        <b/>
        <sz val="12"/>
        <rFont val="宋体"/>
        <family val="3"/>
        <charset val="134"/>
      </rPr>
      <t>）</t>
    </r>
  </si>
  <si>
    <t>备注</t>
    <phoneticPr fontId="3" type="noConversion"/>
  </si>
  <si>
    <t>户数</t>
    <phoneticPr fontId="3" type="noConversion"/>
  </si>
  <si>
    <t>B-1#楼</t>
    <phoneticPr fontId="3" type="noConversion"/>
  </si>
  <si>
    <t>塔楼</t>
    <phoneticPr fontId="3" type="noConversion"/>
  </si>
  <si>
    <t>1层</t>
  </si>
  <si>
    <t>4.2/4.8</t>
    <phoneticPr fontId="3" type="noConversion"/>
  </si>
  <si>
    <t>住宅</t>
    <phoneticPr fontId="3" type="noConversion"/>
  </si>
  <si>
    <t>物管用房</t>
    <phoneticPr fontId="3" type="noConversion"/>
  </si>
  <si>
    <t>商业</t>
    <phoneticPr fontId="3" type="noConversion"/>
  </si>
  <si>
    <t>商业烟道</t>
    <phoneticPr fontId="3" type="noConversion"/>
  </si>
  <si>
    <t>架空+物管</t>
    <phoneticPr fontId="3" type="noConversion"/>
  </si>
  <si>
    <t>设备</t>
  </si>
  <si>
    <t>架空层</t>
    <phoneticPr fontId="3" type="noConversion"/>
  </si>
  <si>
    <t>物业用房</t>
    <phoneticPr fontId="3" type="noConversion"/>
  </si>
  <si>
    <t>入户大堂</t>
    <phoneticPr fontId="3" type="noConversion"/>
  </si>
  <si>
    <t>不计容设备用房</t>
    <phoneticPr fontId="228" type="noConversion"/>
  </si>
  <si>
    <t>2层</t>
    <phoneticPr fontId="3" type="noConversion"/>
  </si>
  <si>
    <t>住宅</t>
    <phoneticPr fontId="3" type="noConversion"/>
  </si>
  <si>
    <t>物管用房</t>
  </si>
  <si>
    <t>商业烟道</t>
    <phoneticPr fontId="3" type="noConversion"/>
  </si>
  <si>
    <t>3层</t>
  </si>
  <si>
    <t>4-7层</t>
    <phoneticPr fontId="3" type="noConversion"/>
  </si>
  <si>
    <t>8层</t>
    <phoneticPr fontId="3" type="noConversion"/>
  </si>
  <si>
    <t>B-2#楼</t>
    <phoneticPr fontId="3" type="noConversion"/>
  </si>
  <si>
    <t>1层</t>
    <phoneticPr fontId="3" type="noConversion"/>
  </si>
  <si>
    <t>3层</t>
    <phoneticPr fontId="3" type="noConversion"/>
  </si>
  <si>
    <t>物业用房</t>
  </si>
  <si>
    <t>8层</t>
    <phoneticPr fontId="3" type="noConversion"/>
  </si>
  <si>
    <t>小计</t>
    <phoneticPr fontId="3" type="noConversion"/>
  </si>
  <si>
    <t>B-3#楼</t>
    <phoneticPr fontId="3" type="noConversion"/>
  </si>
  <si>
    <t>塔楼</t>
    <phoneticPr fontId="3" type="noConversion"/>
  </si>
  <si>
    <t>住宅</t>
    <phoneticPr fontId="3" type="noConversion"/>
  </si>
  <si>
    <t>入户大堂</t>
    <phoneticPr fontId="3" type="noConversion"/>
  </si>
  <si>
    <t>商业</t>
    <phoneticPr fontId="3" type="noConversion"/>
  </si>
  <si>
    <t>架空层</t>
    <phoneticPr fontId="3" type="noConversion"/>
  </si>
  <si>
    <t>设备</t>
    <phoneticPr fontId="3" type="noConversion"/>
  </si>
  <si>
    <t>2层</t>
    <phoneticPr fontId="3" type="noConversion"/>
  </si>
  <si>
    <t>住宅</t>
    <phoneticPr fontId="3" type="noConversion"/>
  </si>
  <si>
    <t>商业烟道</t>
    <phoneticPr fontId="3" type="noConversion"/>
  </si>
  <si>
    <t>3-5层</t>
    <phoneticPr fontId="3" type="noConversion"/>
  </si>
  <si>
    <t>商业烟道</t>
    <phoneticPr fontId="3" type="noConversion"/>
  </si>
  <si>
    <t>6层</t>
    <phoneticPr fontId="3" type="noConversion"/>
  </si>
  <si>
    <t>商业烟道</t>
    <phoneticPr fontId="3" type="noConversion"/>
  </si>
  <si>
    <t>B-4#楼</t>
    <phoneticPr fontId="3" type="noConversion"/>
  </si>
  <si>
    <t>塔楼</t>
    <phoneticPr fontId="3" type="noConversion"/>
  </si>
  <si>
    <t>1层</t>
    <phoneticPr fontId="3" type="noConversion"/>
  </si>
  <si>
    <t>商业</t>
    <phoneticPr fontId="3" type="noConversion"/>
  </si>
  <si>
    <t>商业烟道</t>
    <phoneticPr fontId="3" type="noConversion"/>
  </si>
  <si>
    <t>2层</t>
    <phoneticPr fontId="3" type="noConversion"/>
  </si>
  <si>
    <t>住宅</t>
    <phoneticPr fontId="3" type="noConversion"/>
  </si>
  <si>
    <t>商业烟道</t>
    <phoneticPr fontId="3" type="noConversion"/>
  </si>
  <si>
    <t>3层</t>
    <phoneticPr fontId="3" type="noConversion"/>
  </si>
  <si>
    <t>4-7层</t>
    <phoneticPr fontId="3" type="noConversion"/>
  </si>
  <si>
    <t>8层</t>
    <phoneticPr fontId="3" type="noConversion"/>
  </si>
  <si>
    <t>B-5#楼</t>
    <phoneticPr fontId="3" type="noConversion"/>
  </si>
  <si>
    <t>塔楼</t>
    <phoneticPr fontId="3" type="noConversion"/>
  </si>
  <si>
    <t>1层</t>
    <phoneticPr fontId="3" type="noConversion"/>
  </si>
  <si>
    <t>商业</t>
    <phoneticPr fontId="3" type="noConversion"/>
  </si>
  <si>
    <t>住宅</t>
    <phoneticPr fontId="3" type="noConversion"/>
  </si>
  <si>
    <t>商业烟道</t>
    <phoneticPr fontId="3" type="noConversion"/>
  </si>
  <si>
    <t>2层</t>
    <phoneticPr fontId="3" type="noConversion"/>
  </si>
  <si>
    <t>住宅</t>
    <phoneticPr fontId="3" type="noConversion"/>
  </si>
  <si>
    <t>3层</t>
    <phoneticPr fontId="3" type="noConversion"/>
  </si>
  <si>
    <t>4-7层</t>
    <phoneticPr fontId="3" type="noConversion"/>
  </si>
  <si>
    <t>8层</t>
    <phoneticPr fontId="3" type="noConversion"/>
  </si>
  <si>
    <t>B-6#楼</t>
    <phoneticPr fontId="3" type="noConversion"/>
  </si>
  <si>
    <t>塔楼</t>
    <phoneticPr fontId="3" type="noConversion"/>
  </si>
  <si>
    <t>1层</t>
    <phoneticPr fontId="3" type="noConversion"/>
  </si>
  <si>
    <t>商业</t>
    <phoneticPr fontId="3" type="noConversion"/>
  </si>
  <si>
    <t>小计</t>
    <phoneticPr fontId="3" type="noConversion"/>
  </si>
  <si>
    <t>B-7#楼</t>
    <phoneticPr fontId="3" type="noConversion"/>
  </si>
  <si>
    <t>B-8#楼</t>
    <phoneticPr fontId="3" type="noConversion"/>
  </si>
  <si>
    <t>B-9#楼</t>
    <phoneticPr fontId="3" type="noConversion"/>
  </si>
  <si>
    <t>B-10#楼</t>
    <phoneticPr fontId="3" type="noConversion"/>
  </si>
  <si>
    <t>B-11#楼</t>
    <phoneticPr fontId="3" type="noConversion"/>
  </si>
  <si>
    <t>B-12#楼</t>
    <phoneticPr fontId="3" type="noConversion"/>
  </si>
  <si>
    <t>入户大堂</t>
    <phoneticPr fontId="3" type="noConversion"/>
  </si>
  <si>
    <t>架空层</t>
    <phoneticPr fontId="3" type="noConversion"/>
  </si>
  <si>
    <t>架空</t>
    <phoneticPr fontId="3" type="noConversion"/>
  </si>
  <si>
    <t>4-6层</t>
    <phoneticPr fontId="3" type="noConversion"/>
  </si>
  <si>
    <t>7层</t>
    <phoneticPr fontId="3" type="noConversion"/>
  </si>
  <si>
    <t>B-13#楼</t>
    <phoneticPr fontId="3" type="noConversion"/>
  </si>
  <si>
    <t>B-14#楼</t>
    <phoneticPr fontId="3" type="noConversion"/>
  </si>
  <si>
    <t>幼儿园</t>
    <phoneticPr fontId="3" type="noConversion"/>
  </si>
  <si>
    <t>幼儿园</t>
  </si>
  <si>
    <t>B-15#楼</t>
    <phoneticPr fontId="3" type="noConversion"/>
  </si>
  <si>
    <t>3层</t>
    <phoneticPr fontId="3" type="noConversion"/>
  </si>
  <si>
    <t>B-16#楼</t>
    <phoneticPr fontId="3" type="noConversion"/>
  </si>
  <si>
    <t>B-17#楼</t>
    <phoneticPr fontId="3" type="noConversion"/>
  </si>
  <si>
    <t>B-18#楼</t>
    <phoneticPr fontId="3" type="noConversion"/>
  </si>
  <si>
    <t>大门</t>
    <phoneticPr fontId="3" type="noConversion"/>
  </si>
  <si>
    <t>B-1#景观大门</t>
    <phoneticPr fontId="3" type="noConversion"/>
  </si>
  <si>
    <t>门卫</t>
    <phoneticPr fontId="3" type="noConversion"/>
  </si>
  <si>
    <t>设备</t>
    <phoneticPr fontId="3" type="noConversion"/>
  </si>
  <si>
    <t>B-2#门卫</t>
    <phoneticPr fontId="3" type="noConversion"/>
  </si>
  <si>
    <t>B-1#车库</t>
    <phoneticPr fontId="3" type="noConversion"/>
  </si>
  <si>
    <t>地下室</t>
  </si>
  <si>
    <t>负1层</t>
  </si>
  <si>
    <t>车库</t>
    <phoneticPr fontId="3" type="noConversion"/>
  </si>
  <si>
    <t>设备用房</t>
  </si>
  <si>
    <t>地下设备</t>
    <phoneticPr fontId="3" type="noConversion"/>
  </si>
  <si>
    <t>总计</t>
  </si>
  <si>
    <t>注：  1、“大底板”建筑，以一块完整的“底板”为一个栋号单位，塔楼、裙楼和地下层部分分别计算列表，楼层数按纳入计算面积部分的层数统计计算，高度按纳入计算面积部分的屋顶标高列表，裙楼、地下层部分可分层计算，也可综合计算。在同一“大底板”上的建筑应汇总小计。
      2、无地下层、无裙楼的建筑以单体建筑为一个栋号单位，按“小计”栏的内容填写；对单栋建筑，可根据实际情况对上表内容取舍填写，但地下层部分内容须单列。</t>
  </si>
  <si>
    <t>建筑占地</t>
    <phoneticPr fontId="3" type="noConversion"/>
  </si>
  <si>
    <t>其它</t>
    <phoneticPr fontId="3" type="noConversion"/>
  </si>
  <si>
    <t>用地</t>
    <phoneticPr fontId="3" type="noConversion"/>
  </si>
  <si>
    <t>3/4/5/7/8/11/12</t>
    <phoneticPr fontId="228" type="noConversion"/>
  </si>
  <si>
    <t>为44亩范围建筑面积</t>
    <phoneticPr fontId="228" type="noConversion"/>
  </si>
  <si>
    <t>有土地证</t>
    <phoneticPr fontId="228" type="noConversion"/>
  </si>
  <si>
    <t>其余楼宇及幼儿园</t>
    <phoneticPr fontId="228" type="noConversion"/>
  </si>
  <si>
    <t>为77亩范围建筑面积</t>
    <phoneticPr fontId="228" type="noConversion"/>
  </si>
  <si>
    <t>无土地证</t>
    <phoneticPr fontId="228" type="noConversion"/>
  </si>
  <si>
    <t>建筑面积</t>
    <phoneticPr fontId="3" type="noConversion"/>
  </si>
  <si>
    <t>土地面积</t>
    <phoneticPr fontId="3" type="noConversion"/>
  </si>
  <si>
    <t>建筑面积</t>
    <phoneticPr fontId="228" type="noConversion"/>
  </si>
  <si>
    <r>
      <t>4</t>
    </r>
    <r>
      <rPr>
        <sz val="12"/>
        <rFont val="宋体"/>
        <family val="3"/>
        <charset val="134"/>
      </rPr>
      <t>4亩</t>
    </r>
    <phoneticPr fontId="3" type="noConversion"/>
  </si>
  <si>
    <t>住宅合计</t>
    <phoneticPr fontId="3" type="noConversion"/>
  </si>
  <si>
    <t>商业合计</t>
    <phoneticPr fontId="3" type="noConversion"/>
  </si>
  <si>
    <t>地下设备</t>
    <phoneticPr fontId="228" type="noConversion"/>
  </si>
  <si>
    <t>设备合计</t>
    <phoneticPr fontId="3" type="noConversion"/>
  </si>
  <si>
    <t>物业用房合计</t>
    <phoneticPr fontId="3" type="noConversion"/>
  </si>
  <si>
    <t>合计</t>
    <phoneticPr fontId="228" type="noConversion"/>
  </si>
  <si>
    <t>土地面积</t>
  </si>
  <si>
    <r>
      <t>7</t>
    </r>
    <r>
      <rPr>
        <sz val="12"/>
        <rFont val="宋体"/>
        <family val="3"/>
        <charset val="134"/>
      </rPr>
      <t>7亩</t>
    </r>
    <phoneticPr fontId="3" type="noConversion"/>
  </si>
  <si>
    <t>住宅合计</t>
    <phoneticPr fontId="3" type="noConversion"/>
  </si>
  <si>
    <t>车库</t>
    <phoneticPr fontId="3" type="noConversion"/>
  </si>
  <si>
    <t>商业合计</t>
    <phoneticPr fontId="3" type="noConversion"/>
  </si>
  <si>
    <t>地下设备</t>
    <phoneticPr fontId="228" type="noConversion"/>
  </si>
  <si>
    <t>设备合计</t>
    <phoneticPr fontId="3" type="noConversion"/>
  </si>
  <si>
    <t>物业用房合计</t>
  </si>
  <si>
    <t>每亩地价</t>
    <phoneticPr fontId="228" type="noConversion"/>
  </si>
  <si>
    <t>地面地价</t>
    <phoneticPr fontId="228" type="noConversion"/>
  </si>
  <si>
    <t>紫云府</t>
    <phoneticPr fontId="3" type="noConversion"/>
  </si>
  <si>
    <t>大</t>
    <phoneticPr fontId="21" type="noConversion"/>
  </si>
  <si>
    <t>周边自然环境（项目内部天鹅湖）；人文环境（潼南区图书馆），综合评价环境状况较好；</t>
    <phoneticPr fontId="3" type="noConversion"/>
  </si>
  <si>
    <t>不动产比较法-（商业)</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</si>
  <si>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</si>
  <si>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</si>
  <si>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</si>
  <si>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</si>
  <si>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</si>
  <si>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</si>
  <si>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</si>
  <si>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</si>
  <si>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</si>
  <si>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</si>
  <si>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</si>
  <si>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</si>
  <si>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</si>
  <si>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</si>
  <si>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</si>
  <si>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</si>
  <si>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</si>
  <si>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</si>
  <si>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t>鹏润悦秀天宸</t>
    <phoneticPr fontId="3" type="noConversion"/>
  </si>
  <si>
    <t>紫云府</t>
    <phoneticPr fontId="3" type="noConversion"/>
  </si>
  <si>
    <t>华夏城</t>
    <phoneticPr fontId="3" type="noConversion"/>
  </si>
  <si>
    <t>华夏城</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</si>
  <si>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</si>
  <si>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</si>
  <si>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</si>
  <si>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</si>
  <si>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</si>
  <si>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</si>
  <si>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</si>
  <si>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</si>
  <si>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</si>
  <si>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</si>
  <si>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住宅</t>
    <phoneticPr fontId="3" type="noConversion"/>
  </si>
  <si>
    <r>
      <rPr>
        <sz val="11"/>
        <color indexed="8"/>
        <rFont val="仿宋_GB2312"/>
        <family val="3"/>
        <charset val="134"/>
      </rPr>
      <t>权益状况</t>
    </r>
    <phoneticPr fontId="3" type="noConversion"/>
  </si>
  <si>
    <t>区域因素</t>
    <phoneticPr fontId="3" type="noConversion"/>
  </si>
  <si>
    <t>周边居住氛围一遍，有华夏一品、蓝垭丽都公馆等住宅小区，居住社区成熟度较好</t>
    <phoneticPr fontId="3" type="noConversion"/>
  </si>
  <si>
    <t>周边居住氛围一遍，有华润二十四城、万象里公馆等住宅小区，居住社区成熟度较好</t>
    <phoneticPr fontId="3" type="noConversion"/>
  </si>
  <si>
    <t>周边居住氛围一遍，有永嘉柏林公馆、卓然水晶之城等住宅小区，居住社区成熟度较好</t>
    <phoneticPr fontId="3" type="noConversion"/>
  </si>
  <si>
    <r>
      <rPr>
        <sz val="11"/>
        <rFont val="仿宋_GB2312"/>
        <family val="3"/>
        <charset val="134"/>
      </rPr>
      <t>区位状况</t>
    </r>
    <phoneticPr fontId="3" type="noConversion"/>
  </si>
  <si>
    <r>
      <rPr>
        <sz val="11"/>
        <rFont val="宋体"/>
        <family val="3"/>
        <charset val="134"/>
      </rPr>
      <t>周边道路密集程度一般、公共交通通达情况一般，有</t>
    </r>
    <r>
      <rPr>
        <sz val="11"/>
        <rFont val="Arial"/>
        <family val="2"/>
      </rPr>
      <t>107</t>
    </r>
    <r>
      <rPr>
        <sz val="11"/>
        <rFont val="宋体"/>
        <family val="3"/>
        <charset val="134"/>
      </rPr>
      <t>路，</t>
    </r>
    <r>
      <rPr>
        <sz val="11"/>
        <rFont val="Arial"/>
        <family val="2"/>
      </rPr>
      <t>101</t>
    </r>
    <r>
      <rPr>
        <sz val="11"/>
        <rFont val="宋体"/>
        <family val="3"/>
        <charset val="134"/>
      </rPr>
      <t>路、等公交线路通过，停车便捷程度一般，综合评价交通便捷度一般。</t>
    </r>
    <phoneticPr fontId="3" type="noConversion"/>
  </si>
  <si>
    <r>
      <rPr>
        <sz val="11"/>
        <rFont val="宋体"/>
        <family val="3"/>
        <charset val="134"/>
      </rPr>
      <t>周边道路密集程度一般、公共交通通达情况一般，有</t>
    </r>
    <r>
      <rPr>
        <sz val="11"/>
        <rFont val="Arial"/>
        <family val="2"/>
      </rPr>
      <t>207</t>
    </r>
    <r>
      <rPr>
        <sz val="11"/>
        <rFont val="宋体"/>
        <family val="3"/>
        <charset val="134"/>
      </rPr>
      <t>路，</t>
    </r>
    <r>
      <rPr>
        <sz val="11"/>
        <rFont val="Arial"/>
        <family val="2"/>
      </rPr>
      <t>412</t>
    </r>
    <r>
      <rPr>
        <sz val="11"/>
        <rFont val="宋体"/>
        <family val="3"/>
        <charset val="134"/>
      </rPr>
      <t>路、等公交线路通过，停车便捷程度一般，综合评价交通便捷度一般。</t>
    </r>
    <phoneticPr fontId="3" type="noConversion"/>
  </si>
  <si>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3" type="noConversion"/>
  </si>
  <si>
    <t>100/</t>
    <phoneticPr fontId="3" type="noConversion"/>
  </si>
  <si>
    <t>公共配套设施</t>
    <phoneticPr fontId="3"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</si>
  <si>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3" type="noConversion"/>
  </si>
  <si>
    <r>
      <rPr>
        <sz val="11"/>
        <rFont val="宋体"/>
        <family val="3"/>
        <charset val="134"/>
      </rPr>
      <t>所在区域</t>
    </r>
    <r>
      <rPr>
        <sz val="11"/>
        <rFont val="Arial"/>
        <family val="2"/>
      </rPr>
      <t>2</t>
    </r>
    <r>
      <rPr>
        <sz val="11"/>
        <rFont val="宋体"/>
        <family val="3"/>
        <charset val="134"/>
      </rPr>
      <t>公里范围内有银行（民生银行）、学校（潼南一中）、商业（重百潼南商场）、医院（重庆潼南区人民医院）等配套设施，公共配套设施较好；</t>
    </r>
    <phoneticPr fontId="3" type="noConversion"/>
  </si>
  <si>
    <r>
      <rPr>
        <sz val="11"/>
        <rFont val="宋体"/>
        <family val="3"/>
        <charset val="134"/>
      </rPr>
      <t>所在区域</t>
    </r>
    <r>
      <rPr>
        <sz val="11"/>
        <rFont val="Arial"/>
        <family val="2"/>
      </rPr>
      <t>2</t>
    </r>
    <r>
      <rPr>
        <sz val="11"/>
        <rFont val="宋体"/>
        <family val="3"/>
        <charset val="134"/>
      </rPr>
      <t>公里范围内有银行（中国农业银行）、学校（潼南区人民小学）、商业（新世纪百货）、医院（潼南区中医院）等配套设施，公共配套设施较好；</t>
    </r>
    <phoneticPr fontId="3" type="noConversion"/>
  </si>
  <si>
    <t>基础设施水平</t>
    <phoneticPr fontId="3" type="noConversion"/>
  </si>
  <si>
    <t>周边自然环境（无）；人文环境（潼南区图书馆），综合评价环境状况一般；</t>
    <phoneticPr fontId="3" type="noConversion"/>
  </si>
  <si>
    <t>周边自然环境（滨江公园）；人文环境（潼南区图书馆），综合评价环境状况较好；</t>
    <phoneticPr fontId="3" type="noConversion"/>
  </si>
  <si>
    <t>楼层-1</t>
    <phoneticPr fontId="3" type="noConversion"/>
  </si>
  <si>
    <r>
      <rPr>
        <sz val="11"/>
        <color indexed="8"/>
        <rFont val="仿宋_GB2312"/>
        <family val="3"/>
        <charset val="134"/>
      </rPr>
      <t>道路级别</t>
    </r>
    <phoneticPr fontId="3" type="noConversion"/>
  </si>
  <si>
    <t>次干道</t>
    <phoneticPr fontId="3" type="noConversion"/>
  </si>
  <si>
    <t>主干道</t>
    <phoneticPr fontId="3" type="noConversion"/>
  </si>
  <si>
    <t>支路</t>
    <phoneticPr fontId="3" type="noConversion"/>
  </si>
  <si>
    <t>次干道-创意大道</t>
    <phoneticPr fontId="3" type="noConversion"/>
  </si>
  <si>
    <r>
      <rPr>
        <sz val="11"/>
        <rFont val="宋体"/>
        <family val="3"/>
        <charset val="134"/>
      </rPr>
      <t>主干道</t>
    </r>
    <r>
      <rPr>
        <sz val="11"/>
        <rFont val="Arial"/>
        <family val="2"/>
      </rPr>
      <t>-</t>
    </r>
    <r>
      <rPr>
        <sz val="11"/>
        <rFont val="宋体"/>
        <family val="3"/>
        <charset val="134"/>
      </rPr>
      <t>潼南大道</t>
    </r>
    <phoneticPr fontId="3" type="noConversion"/>
  </si>
  <si>
    <r>
      <rPr>
        <sz val="11"/>
        <color indexed="8"/>
        <rFont val="宋体"/>
        <family val="3"/>
        <charset val="134"/>
      </rPr>
      <t>主干道</t>
    </r>
    <r>
      <rPr>
        <sz val="11"/>
        <color indexed="8"/>
        <rFont val="Arial"/>
        <family val="2"/>
      </rPr>
      <t>-</t>
    </r>
    <r>
      <rPr>
        <sz val="11"/>
        <color indexed="8"/>
        <rFont val="宋体"/>
        <family val="3"/>
        <charset val="134"/>
      </rPr>
      <t>南北大道</t>
    </r>
    <phoneticPr fontId="3" type="noConversion"/>
  </si>
  <si>
    <r>
      <rPr>
        <sz val="11"/>
        <color indexed="8"/>
        <rFont val="宋体"/>
        <family val="3"/>
        <charset val="134"/>
      </rPr>
      <t>支路</t>
    </r>
    <r>
      <rPr>
        <sz val="11"/>
        <color indexed="8"/>
        <rFont val="Arial"/>
        <family val="2"/>
      </rPr>
      <t>-</t>
    </r>
    <r>
      <rPr>
        <sz val="11"/>
        <color indexed="8"/>
        <rFont val="宋体"/>
        <family val="3"/>
        <charset val="134"/>
      </rPr>
      <t>夏露街</t>
    </r>
    <phoneticPr fontId="3" type="noConversion"/>
  </si>
  <si>
    <t>个别因素</t>
    <phoneticPr fontId="3" type="noConversion"/>
  </si>
  <si>
    <t>洋房</t>
  </si>
  <si>
    <r>
      <rPr>
        <sz val="11"/>
        <rFont val="仿宋_GB2312"/>
        <family val="3"/>
        <charset val="134"/>
      </rPr>
      <t>实物状况</t>
    </r>
    <phoneticPr fontId="3" type="noConversion"/>
  </si>
  <si>
    <t>市政基础设施</t>
    <phoneticPr fontId="3" type="noConversion"/>
  </si>
  <si>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</si>
  <si>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t>大</t>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</si>
  <si>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</si>
  <si>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</si>
  <si>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</si>
  <si>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</si>
  <si>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</si>
  <si>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</si>
  <si>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</si>
  <si>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</si>
  <si>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</si>
  <si>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</si>
  <si>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</si>
  <si>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</si>
  <si>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</si>
  <si>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</si>
  <si>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</si>
  <si>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</si>
  <si>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</si>
  <si>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</si>
  <si>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</si>
  <si>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</si>
  <si>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</si>
  <si>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</si>
  <si>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</si>
  <si>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</si>
  <si>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</si>
  <si>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</si>
  <si>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</si>
  <si>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</si>
  <si>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</si>
  <si>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</si>
  <si>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</si>
  <si>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</si>
  <si>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</si>
  <si>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</si>
  <si>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</si>
  <si>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</si>
  <si>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</si>
  <si>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</si>
  <si>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</si>
  <si>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</si>
  <si>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</si>
  <si>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</si>
  <si>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</si>
  <si>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楼层-1</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</si>
  <si>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</si>
  <si>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</si>
  <si>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</si>
  <si>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</si>
  <si>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</si>
  <si>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1"/>
        <color indexed="8"/>
        <rFont val="仿宋_GB2312"/>
        <family val="3"/>
        <charset val="134"/>
      </rPr>
      <t>建筑类型</t>
    </r>
    <phoneticPr fontId="3" type="noConversion"/>
  </si>
  <si>
    <t>别墅</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</si>
  <si>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</si>
  <si>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</si>
  <si>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</si>
  <si>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</si>
  <si>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</si>
  <si>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t>好</t>
    <phoneticPr fontId="3" type="noConversion"/>
  </si>
  <si>
    <t>较好</t>
    <phoneticPr fontId="3" type="noConversion"/>
  </si>
  <si>
    <t>一般</t>
    <phoneticPr fontId="3" type="noConversion"/>
  </si>
  <si>
    <t>精装</t>
    <phoneticPr fontId="3" type="noConversion"/>
  </si>
  <si>
    <t>专业</t>
    <phoneticPr fontId="3" type="noConversion"/>
  </si>
  <si>
    <r>
      <rPr>
        <sz val="11"/>
        <color indexed="8"/>
        <rFont val="仿宋_GB2312"/>
        <family val="3"/>
        <charset val="134"/>
      </rPr>
      <t>房型</t>
    </r>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</si>
  <si>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</si>
  <si>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</si>
  <si>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一般</t>
    </r>
    <phoneticPr fontId="3" type="noConversion"/>
  </si>
  <si>
    <r>
      <rPr>
        <sz val="11"/>
        <color indexed="8"/>
        <rFont val="仿宋_GB2312"/>
        <family val="3"/>
        <charset val="134"/>
      </rPr>
      <t>差</t>
    </r>
    <phoneticPr fontId="3" type="noConversion"/>
  </si>
  <si>
    <t>所在楼层</t>
    <phoneticPr fontId="3"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</si>
  <si>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</si>
  <si>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</si>
  <si>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</si>
  <si>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</si>
  <si>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</si>
  <si>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</si>
  <si>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sz val="11"/>
        <color indexed="8"/>
        <rFont val="仿宋_GB2312"/>
        <family val="3"/>
        <charset val="134"/>
      </rPr>
      <t>正常</t>
    </r>
    <phoneticPr fontId="3" type="noConversion"/>
  </si>
  <si>
    <t>区域因素</t>
    <phoneticPr fontId="3" type="noConversion"/>
  </si>
  <si>
    <t>周边居住氛围一遍，有华润二十四城、万象里公馆等住宅小区，居住社区成熟度较好</t>
    <phoneticPr fontId="3" type="noConversion"/>
  </si>
  <si>
    <t>周边居住氛围一遍，有永嘉柏林公馆、卓然水晶之城等住宅小区，居住社区成熟度较好</t>
    <phoneticPr fontId="3" type="noConversion"/>
  </si>
  <si>
    <r>
      <rPr>
        <sz val="11"/>
        <rFont val="宋体"/>
        <family val="3"/>
        <charset val="134"/>
      </rPr>
      <t>周边道路密集程度一般、公共交通通达情况一般，有</t>
    </r>
    <r>
      <rPr>
        <sz val="11"/>
        <rFont val="Arial"/>
        <family val="2"/>
      </rPr>
      <t>207</t>
    </r>
    <r>
      <rPr>
        <sz val="11"/>
        <rFont val="宋体"/>
        <family val="3"/>
        <charset val="134"/>
      </rPr>
      <t>路，</t>
    </r>
    <r>
      <rPr>
        <sz val="11"/>
        <rFont val="Arial"/>
        <family val="2"/>
      </rPr>
      <t>412</t>
    </r>
    <r>
      <rPr>
        <sz val="11"/>
        <rFont val="宋体"/>
        <family val="3"/>
        <charset val="134"/>
      </rPr>
      <t>路、等公交线路通过，停车便捷程度一般，综合评价交通便捷度一般。</t>
    </r>
    <phoneticPr fontId="3" type="noConversion"/>
  </si>
  <si>
    <r>
      <rPr>
        <sz val="11"/>
        <rFont val="宋体"/>
        <family val="3"/>
        <charset val="134"/>
      </rPr>
      <t>所在区域</t>
    </r>
    <r>
      <rPr>
        <sz val="11"/>
        <rFont val="Arial"/>
        <family val="2"/>
      </rPr>
      <t>2</t>
    </r>
    <r>
      <rPr>
        <sz val="11"/>
        <rFont val="宋体"/>
        <family val="3"/>
        <charset val="134"/>
      </rPr>
      <t>公里范围内有银行（民生银行）、学校（潼南一中）、商业（重百潼南商场）、医院（重庆潼南区人民医院）等配套设施，公共配套设施较好；</t>
    </r>
    <phoneticPr fontId="3" type="noConversion"/>
  </si>
  <si>
    <t>基础设施水平</t>
    <phoneticPr fontId="3" type="noConversion"/>
  </si>
  <si>
    <r>
      <rPr>
        <sz val="11"/>
        <color indexed="8"/>
        <rFont val="仿宋_GB2312"/>
        <family val="3"/>
        <charset val="134"/>
      </rPr>
      <t>道路级别</t>
    </r>
    <phoneticPr fontId="3" type="noConversion"/>
  </si>
  <si>
    <t>次干道</t>
    <phoneticPr fontId="3" type="noConversion"/>
  </si>
  <si>
    <t>支路</t>
    <phoneticPr fontId="3" type="noConversion"/>
  </si>
  <si>
    <t>次干道-创意大道</t>
    <phoneticPr fontId="3" type="noConversion"/>
  </si>
  <si>
    <r>
      <rPr>
        <sz val="11"/>
        <rFont val="宋体"/>
        <family val="3"/>
        <charset val="134"/>
      </rPr>
      <t>主干道</t>
    </r>
    <r>
      <rPr>
        <sz val="11"/>
        <rFont val="Arial"/>
        <family val="2"/>
      </rPr>
      <t>-</t>
    </r>
    <r>
      <rPr>
        <sz val="11"/>
        <rFont val="宋体"/>
        <family val="3"/>
        <charset val="134"/>
      </rPr>
      <t>潼南大道</t>
    </r>
    <phoneticPr fontId="3" type="noConversion"/>
  </si>
  <si>
    <r>
      <rPr>
        <sz val="11"/>
        <color indexed="8"/>
        <rFont val="宋体"/>
        <family val="3"/>
        <charset val="134"/>
      </rPr>
      <t>主干道</t>
    </r>
    <r>
      <rPr>
        <sz val="11"/>
        <color indexed="8"/>
        <rFont val="Arial"/>
        <family val="2"/>
      </rPr>
      <t>-</t>
    </r>
    <r>
      <rPr>
        <sz val="11"/>
        <color indexed="8"/>
        <rFont val="宋体"/>
        <family val="3"/>
        <charset val="134"/>
      </rPr>
      <t>南北大道</t>
    </r>
    <phoneticPr fontId="3" type="noConversion"/>
  </si>
  <si>
    <r>
      <rPr>
        <sz val="11"/>
        <color indexed="8"/>
        <rFont val="宋体"/>
        <family val="3"/>
        <charset val="134"/>
      </rPr>
      <t>支路</t>
    </r>
    <r>
      <rPr>
        <sz val="11"/>
        <color indexed="8"/>
        <rFont val="Arial"/>
        <family val="2"/>
      </rPr>
      <t>-</t>
    </r>
    <r>
      <rPr>
        <sz val="11"/>
        <color indexed="8"/>
        <rFont val="宋体"/>
        <family val="3"/>
        <charset val="134"/>
      </rPr>
      <t>夏露街</t>
    </r>
    <phoneticPr fontId="3" type="noConversion"/>
  </si>
  <si>
    <t>100/</t>
    <phoneticPr fontId="3" type="noConversion"/>
  </si>
  <si>
    <t>100/</t>
    <phoneticPr fontId="3" type="noConversion"/>
  </si>
  <si>
    <t>100/</t>
    <phoneticPr fontId="3" type="noConversion"/>
  </si>
  <si>
    <t>100/</t>
    <phoneticPr fontId="3" type="noConversion"/>
  </si>
  <si>
    <t>个别因素</t>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</si>
  <si>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</si>
  <si>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</si>
  <si>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</si>
  <si>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t>100/</t>
    <phoneticPr fontId="3" type="noConversion"/>
  </si>
  <si>
    <t>100/</t>
    <phoneticPr fontId="3" type="noConversion"/>
  </si>
  <si>
    <t>100/</t>
    <phoneticPr fontId="3" type="noConversion"/>
  </si>
  <si>
    <t>100/</t>
    <phoneticPr fontId="3" type="noConversion"/>
  </si>
  <si>
    <t>100/</t>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</si>
  <si>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</si>
  <si>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</si>
  <si>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</si>
  <si>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t>市政基础设施</t>
    <phoneticPr fontId="3" type="noConversion"/>
  </si>
  <si>
    <t>100/</t>
    <phoneticPr fontId="3" type="noConversion"/>
  </si>
  <si>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</si>
  <si>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t>大</t>
    <phoneticPr fontId="3" type="noConversion"/>
  </si>
  <si>
    <t>中</t>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</si>
  <si>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</si>
  <si>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</si>
  <si>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</si>
  <si>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</si>
  <si>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</si>
  <si>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</si>
  <si>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</si>
  <si>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</si>
  <si>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</si>
  <si>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</si>
  <si>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</si>
  <si>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</si>
  <si>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</si>
  <si>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</si>
  <si>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</si>
  <si>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</si>
  <si>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</si>
  <si>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</si>
  <si>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</si>
  <si>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</si>
  <si>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</si>
  <si>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</si>
  <si>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</si>
  <si>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</si>
  <si>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</si>
  <si>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</si>
  <si>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</si>
  <si>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别墅</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</si>
  <si>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</si>
  <si>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</si>
  <si>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</si>
  <si>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</si>
  <si>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</si>
  <si>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</si>
  <si>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</si>
  <si>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</si>
  <si>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</si>
  <si>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</si>
  <si>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</si>
  <si>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</si>
  <si>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</si>
  <si>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</si>
  <si>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</si>
  <si>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</si>
  <si>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</si>
  <si>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</si>
  <si>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</si>
  <si>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</si>
  <si>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</si>
  <si>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</si>
  <si>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</si>
  <si>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</si>
  <si>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</si>
  <si>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商业</t>
    <phoneticPr fontId="26" type="noConversion"/>
  </si>
  <si>
    <t>30-40（含）</t>
  </si>
  <si>
    <t>欧鹏中央公园</t>
    <phoneticPr fontId="3" type="noConversion"/>
  </si>
  <si>
    <t>多面</t>
  </si>
  <si>
    <t>多面</t>
    <phoneticPr fontId="26" type="noConversion"/>
  </si>
  <si>
    <t>较好</t>
    <phoneticPr fontId="26" type="noConversion"/>
  </si>
  <si>
    <t>较大</t>
  </si>
  <si>
    <t>较大</t>
    <phoneticPr fontId="26" type="noConversion"/>
  </si>
  <si>
    <t>一般</t>
    <phoneticPr fontId="26" type="noConversion"/>
  </si>
  <si>
    <t>毛坯</t>
    <phoneticPr fontId="26" type="noConversion"/>
  </si>
  <si>
    <t>较适宜</t>
    <phoneticPr fontId="26" type="noConversion"/>
  </si>
  <si>
    <t>钢混</t>
    <phoneticPr fontId="26" type="noConversion"/>
  </si>
  <si>
    <t>住宅底商</t>
    <phoneticPr fontId="26" type="noConversion"/>
  </si>
  <si>
    <t>5</t>
    <phoneticPr fontId="26" type="noConversion"/>
  </si>
  <si>
    <t>5</t>
    <phoneticPr fontId="26" type="noConversion"/>
  </si>
  <si>
    <t>5</t>
    <phoneticPr fontId="26" type="noConversion"/>
  </si>
  <si>
    <t>1-2</t>
  </si>
  <si>
    <t>1-2</t>
    <phoneticPr fontId="26" type="noConversion"/>
  </si>
  <si>
    <t>估价对象周边有新世界百货、重百潼南商场，周边商业氛围较好，人流量较好，商业繁华度较好</t>
    <phoneticPr fontId="26" type="noConversion"/>
  </si>
  <si>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26" type="noConversion"/>
  </si>
  <si>
    <r>
      <t>所在区域</t>
    </r>
    <r>
      <rPr>
        <sz val="11"/>
        <rFont val="Arial"/>
        <family val="2"/>
      </rPr>
      <t>2</t>
    </r>
    <r>
      <rPr>
        <sz val="11"/>
        <rFont val="宋体"/>
        <family val="3"/>
        <charset val="134"/>
      </rPr>
      <t>公里范围内有银行（中国邮政储蓄银行）、学校（巴川中学）、商业（无）、医院（无）等配套设施，公共配套设施一般；</t>
    </r>
    <phoneticPr fontId="26" type="noConversion"/>
  </si>
  <si>
    <t>创意大道</t>
    <phoneticPr fontId="26" type="noConversion"/>
  </si>
  <si>
    <t>周边居住氛围一遍，有华夏一品、蓝垭丽都公馆等住宅小区，居住社区成熟度较好</t>
    <phoneticPr fontId="3" type="noConversion"/>
  </si>
  <si>
    <r>
      <rPr>
        <sz val="11"/>
        <rFont val="宋体"/>
        <family val="3"/>
        <charset val="134"/>
      </rPr>
      <t>周边道路密集程度一般、公共交通通达情况一般，有</t>
    </r>
    <r>
      <rPr>
        <sz val="11"/>
        <rFont val="Arial"/>
        <family val="2"/>
      </rPr>
      <t>101</t>
    </r>
    <r>
      <rPr>
        <sz val="11"/>
        <rFont val="宋体"/>
        <family val="3"/>
        <charset val="134"/>
      </rPr>
      <t>路，</t>
    </r>
    <r>
      <rPr>
        <sz val="11"/>
        <rFont val="Arial"/>
        <family val="2"/>
      </rPr>
      <t>203</t>
    </r>
    <r>
      <rPr>
        <sz val="11"/>
        <rFont val="宋体"/>
        <family val="3"/>
        <charset val="134"/>
      </rPr>
      <t>路、等公交线路通过，停车便捷程度一般，综合评价交通便捷度一般。</t>
    </r>
    <phoneticPr fontId="3"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</si>
  <si>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3" type="noConversion"/>
  </si>
  <si>
    <r>
      <rPr>
        <sz val="11"/>
        <rFont val="宋体"/>
        <family val="3"/>
        <charset val="134"/>
      </rPr>
      <t>所在区域</t>
    </r>
    <r>
      <rPr>
        <sz val="11"/>
        <rFont val="Arial"/>
        <family val="2"/>
      </rPr>
      <t>2</t>
    </r>
    <r>
      <rPr>
        <sz val="11"/>
        <rFont val="宋体"/>
        <family val="3"/>
        <charset val="134"/>
      </rPr>
      <t>公里范围内有银行（中国农业银行）、学校（潼南区人民小学）、商业（新世纪百货）、医院（潼南区中医院）等配套设施，公共配套设施较好；</t>
    </r>
    <phoneticPr fontId="3" type="noConversion"/>
  </si>
  <si>
    <t>周边自然环境（无）；人文环境（潼南区图书馆），综合评价环境状况一般；</t>
    <phoneticPr fontId="3" type="noConversion"/>
  </si>
  <si>
    <t>周边自然环境（滨江公园）；人文环境（潼南区图书馆），综合评价环境状况较好；</t>
    <phoneticPr fontId="3" type="noConversion"/>
  </si>
  <si>
    <t>次干道-创意大道</t>
    <phoneticPr fontId="3" type="noConversion"/>
  </si>
  <si>
    <r>
      <rPr>
        <sz val="11"/>
        <color indexed="8"/>
        <rFont val="宋体"/>
        <family val="3"/>
        <charset val="134"/>
      </rPr>
      <t>支路</t>
    </r>
    <r>
      <rPr>
        <sz val="11"/>
        <color indexed="8"/>
        <rFont val="Arial"/>
        <family val="2"/>
      </rPr>
      <t>-</t>
    </r>
    <r>
      <rPr>
        <sz val="11"/>
        <color indexed="8"/>
        <rFont val="宋体"/>
        <family val="3"/>
        <charset val="134"/>
      </rPr>
      <t>夏露街</t>
    </r>
    <phoneticPr fontId="3" type="noConversion"/>
  </si>
  <si>
    <t>渝能新城</t>
    <phoneticPr fontId="3" type="noConversion"/>
  </si>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</sst>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b/>
      <sz val="14"/>
      <name val="宋体"/>
      <family val="3"/>
      <charset val="134"/>
    </font>
    <font>
      <b/>
      <vertAlign val="superscript"/>
      <sz val="12"/>
      <name val="宋体"/>
      <family val="3"/>
      <charset val="134"/>
    </font>
    <font>
      <vertAlign val="superscript"/>
      <sz val="12"/>
      <name val="宋体"/>
      <family val="3"/>
      <charset val="134"/>
    </font>
    <font>
      <sz val="12"/>
      <color theme="1"/>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rgb="FF7030A0"/>
        <bgColor indexed="64"/>
      </patternFill>
    </fill>
    <fill>
      <patternFill patternType="solid">
        <fgColor theme="9" tint="0.79998168889431442"/>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413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0" fillId="6" borderId="0" xfId="0" applyFill="1" applyAlignment="1"/>
    <xf numFmtId="0" fontId="0" fillId="6" borderId="0" xfId="0" applyFill="1">
      <alignment vertical="center"/>
    </xf>
    <xf numFmtId="0" fontId="0" fillId="8" borderId="0" xfId="0" applyFill="1" applyAlignment="1"/>
    <xf numFmtId="0" fontId="0" fillId="8" borderId="0" xfId="0" applyFill="1">
      <alignment vertical="center"/>
    </xf>
    <xf numFmtId="0" fontId="261"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274" fillId="0" borderId="7"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75" fillId="0" borderId="0" xfId="1" applyFont="1" applyFill="1" applyBorder="1" applyAlignment="1">
      <alignment horizontal="center" vertical="center"/>
    </xf>
    <xf numFmtId="0" fontId="145" fillId="0" borderId="0" xfId="1" applyFill="1">
      <alignment vertical="center"/>
    </xf>
    <xf numFmtId="0" fontId="145" fillId="0" borderId="0" xfId="1">
      <alignment vertical="center"/>
    </xf>
    <xf numFmtId="0" fontId="229" fillId="0" borderId="0" xfId="1" applyFont="1" applyFill="1" applyBorder="1" applyAlignment="1">
      <alignment horizontal="center" vertical="center" wrapText="1"/>
    </xf>
    <xf numFmtId="0" fontId="32" fillId="0" borderId="0" xfId="1" applyFont="1" applyFill="1">
      <alignment vertical="center"/>
    </xf>
    <xf numFmtId="0" fontId="32" fillId="0" borderId="0" xfId="1" applyFont="1" applyFill="1" applyBorder="1">
      <alignment vertical="center"/>
    </xf>
    <xf numFmtId="0" fontId="32" fillId="0" borderId="2" xfId="2" applyFont="1" applyFill="1" applyBorder="1" applyAlignment="1">
      <alignment horizontal="center" vertical="center" wrapText="1"/>
    </xf>
    <xf numFmtId="0" fontId="32" fillId="8" borderId="2" xfId="2" applyFont="1" applyFill="1" applyBorder="1" applyAlignment="1">
      <alignment horizontal="center" vertical="center" wrapText="1"/>
    </xf>
    <xf numFmtId="0" fontId="32" fillId="17" borderId="2" xfId="2" applyFont="1" applyFill="1" applyBorder="1" applyAlignment="1">
      <alignment horizontal="center" vertical="center" wrapText="1"/>
    </xf>
    <xf numFmtId="0" fontId="32" fillId="0" borderId="2" xfId="1" applyFont="1" applyFill="1" applyBorder="1" applyAlignment="1" applyProtection="1">
      <alignment horizontal="center" vertical="center" wrapText="1"/>
      <protection locked="0"/>
    </xf>
    <xf numFmtId="0" fontId="32" fillId="6" borderId="0" xfId="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wrapText="1"/>
      <protection locked="0"/>
    </xf>
    <xf numFmtId="0" fontId="145" fillId="0" borderId="0" xfId="1" applyFill="1" applyProtection="1">
      <alignment vertical="center"/>
      <protection locked="0"/>
    </xf>
    <xf numFmtId="0" fontId="145" fillId="7" borderId="0" xfId="1" applyFill="1" applyProtection="1">
      <alignment vertical="center"/>
      <protection locked="0"/>
    </xf>
    <xf numFmtId="0" fontId="32" fillId="7" borderId="0" xfId="1" applyFont="1" applyFill="1" applyProtection="1">
      <alignment vertical="center"/>
      <protection locked="0"/>
    </xf>
    <xf numFmtId="2" fontId="145" fillId="0" borderId="0" xfId="1" applyNumberFormat="1" applyFill="1" applyProtection="1">
      <alignment vertical="center"/>
      <protection locked="0"/>
    </xf>
    <xf numFmtId="0" fontId="32" fillId="0" borderId="0" xfId="1" applyFont="1" applyFill="1" applyAlignment="1" applyProtection="1">
      <alignment horizontal="center" vertical="center"/>
      <protection locked="0"/>
    </xf>
    <xf numFmtId="0" fontId="145" fillId="0" borderId="0" xfId="1" applyFont="1" applyFill="1" applyProtection="1">
      <alignment vertical="center"/>
      <protection locked="0"/>
    </xf>
    <xf numFmtId="0" fontId="32" fillId="0" borderId="2" xfId="2" applyFont="1" applyFill="1" applyBorder="1" applyAlignment="1" applyProtection="1">
      <alignment horizontal="center" vertical="center" wrapText="1"/>
      <protection locked="0"/>
    </xf>
    <xf numFmtId="0" fontId="32" fillId="8" borderId="2" xfId="2" applyFont="1" applyFill="1" applyBorder="1" applyAlignment="1" applyProtection="1">
      <alignment horizontal="center" vertical="center" wrapText="1"/>
      <protection locked="0"/>
    </xf>
    <xf numFmtId="0" fontId="32" fillId="17" borderId="2" xfId="2" applyFont="1" applyFill="1" applyBorder="1" applyAlignment="1" applyProtection="1">
      <alignment horizontal="center" vertical="center" wrapText="1"/>
      <protection locked="0"/>
    </xf>
    <xf numFmtId="0" fontId="145" fillId="8" borderId="0" xfId="1" applyFill="1" applyProtection="1">
      <alignment vertical="center"/>
      <protection locked="0"/>
    </xf>
    <xf numFmtId="0" fontId="32" fillId="8" borderId="0" xfId="1" applyFont="1" applyFill="1" applyProtection="1">
      <alignment vertical="center"/>
      <protection locked="0"/>
    </xf>
    <xf numFmtId="0" fontId="145" fillId="18" borderId="0" xfId="1" applyFill="1" applyProtection="1">
      <alignment vertical="center"/>
      <protection locked="0"/>
    </xf>
    <xf numFmtId="0" fontId="229" fillId="0" borderId="2" xfId="2" applyFont="1" applyFill="1" applyBorder="1" applyAlignment="1" applyProtection="1">
      <alignment horizontal="center" vertical="center" wrapText="1"/>
      <protection locked="0"/>
    </xf>
    <xf numFmtId="0" fontId="229" fillId="0" borderId="2" xfId="2" applyFont="1" applyFill="1" applyBorder="1" applyAlignment="1">
      <alignment horizontal="center" vertical="center" wrapText="1"/>
    </xf>
    <xf numFmtId="0" fontId="229" fillId="8" borderId="2" xfId="2" applyFont="1" applyFill="1" applyBorder="1" applyAlignment="1" applyProtection="1">
      <alignment horizontal="center" vertical="center" wrapText="1"/>
      <protection locked="0"/>
    </xf>
    <xf numFmtId="0" fontId="229" fillId="17" borderId="2" xfId="2" applyFont="1" applyFill="1" applyBorder="1" applyAlignment="1" applyProtection="1">
      <alignment horizontal="center" vertical="center" wrapText="1"/>
      <protection locked="0"/>
    </xf>
    <xf numFmtId="0" fontId="229" fillId="0" borderId="2" xfId="1" applyFont="1" applyFill="1" applyBorder="1" applyAlignment="1" applyProtection="1">
      <alignment horizontal="center" vertical="center" wrapText="1"/>
      <protection locked="0"/>
    </xf>
    <xf numFmtId="0" fontId="229" fillId="6" borderId="0" xfId="1" applyFont="1" applyFill="1" applyBorder="1" applyAlignment="1" applyProtection="1">
      <alignment horizontal="center" vertical="center" wrapText="1"/>
      <protection locked="0"/>
    </xf>
    <xf numFmtId="0" fontId="145" fillId="0" borderId="0" xfId="1" applyFill="1" applyBorder="1" applyProtection="1">
      <alignment vertical="center"/>
      <protection locked="0"/>
    </xf>
    <xf numFmtId="0" fontId="145" fillId="7" borderId="0" xfId="1" applyFill="1" applyBorder="1" applyProtection="1">
      <alignment vertical="center"/>
      <protection locked="0"/>
    </xf>
    <xf numFmtId="0" fontId="229" fillId="0" borderId="0" xfId="1" applyFont="1" applyFill="1" applyBorder="1" applyAlignment="1" applyProtection="1">
      <alignment horizontal="center" vertical="center" wrapText="1"/>
      <protection locked="0"/>
    </xf>
    <xf numFmtId="0" fontId="145" fillId="18" borderId="0" xfId="1" applyFill="1" applyBorder="1" applyProtection="1">
      <alignment vertical="center"/>
      <protection locked="0"/>
    </xf>
    <xf numFmtId="0" fontId="32" fillId="19" borderId="2" xfId="2" applyFont="1" applyFill="1" applyBorder="1" applyAlignment="1">
      <alignment horizontal="center" vertical="center" wrapText="1"/>
    </xf>
    <xf numFmtId="0" fontId="32" fillId="19" borderId="2" xfId="1" applyFont="1" applyFill="1" applyBorder="1" applyAlignment="1" applyProtection="1">
      <alignment horizontal="center" vertical="center" wrapText="1"/>
      <protection locked="0"/>
    </xf>
    <xf numFmtId="0" fontId="32" fillId="19" borderId="0" xfId="1" applyFont="1" applyFill="1" applyBorder="1" applyAlignment="1" applyProtection="1">
      <alignment horizontal="center" vertical="center" wrapText="1"/>
      <protection locked="0"/>
    </xf>
    <xf numFmtId="0" fontId="145" fillId="19" borderId="0" xfId="1" applyFill="1" applyProtection="1">
      <alignment vertical="center"/>
      <protection locked="0"/>
    </xf>
    <xf numFmtId="0" fontId="32" fillId="6" borderId="0" xfId="1" applyFont="1" applyFill="1" applyProtection="1">
      <alignment vertical="center"/>
      <protection locked="0"/>
    </xf>
    <xf numFmtId="0" fontId="145" fillId="6" borderId="0" xfId="1" applyFill="1" applyProtection="1">
      <alignment vertical="center"/>
      <protection locked="0"/>
    </xf>
    <xf numFmtId="2" fontId="145" fillId="19" borderId="0" xfId="1" applyNumberFormat="1" applyFill="1" applyProtection="1">
      <alignment vertical="center"/>
      <protection locked="0"/>
    </xf>
    <xf numFmtId="0" fontId="32" fillId="19" borderId="0" xfId="1" applyFont="1" applyFill="1" applyAlignment="1" applyProtection="1">
      <alignment horizontal="center" vertical="center"/>
      <protection locked="0"/>
    </xf>
    <xf numFmtId="0" fontId="32" fillId="19" borderId="2" xfId="2" applyFont="1" applyFill="1" applyBorder="1" applyAlignment="1" applyProtection="1">
      <alignment horizontal="center" vertical="center" wrapText="1"/>
      <protection locked="0"/>
    </xf>
    <xf numFmtId="0" fontId="32" fillId="20" borderId="2" xfId="2" applyFont="1" applyFill="1" applyBorder="1" applyAlignment="1" applyProtection="1">
      <alignment horizontal="center" vertical="center" wrapText="1"/>
      <protection locked="0"/>
    </xf>
    <xf numFmtId="0" fontId="32" fillId="20" borderId="2" xfId="2" applyFont="1" applyFill="1" applyBorder="1" applyAlignment="1">
      <alignment horizontal="center" vertical="center" wrapText="1"/>
    </xf>
    <xf numFmtId="0" fontId="32" fillId="20" borderId="2" xfId="1" applyFont="1" applyFill="1" applyBorder="1" applyAlignment="1" applyProtection="1">
      <alignment horizontal="center" vertical="center" wrapText="1"/>
      <protection locked="0"/>
    </xf>
    <xf numFmtId="0" fontId="32" fillId="20" borderId="0" xfId="1" applyFont="1" applyFill="1" applyBorder="1" applyAlignment="1" applyProtection="1">
      <alignment horizontal="center" vertical="center" wrapText="1"/>
      <protection locked="0"/>
    </xf>
    <xf numFmtId="0" fontId="145" fillId="20" borderId="0" xfId="1" applyFill="1" applyProtection="1">
      <alignment vertical="center"/>
      <protection locked="0"/>
    </xf>
    <xf numFmtId="0" fontId="145" fillId="20" borderId="0" xfId="1" applyFill="1" applyBorder="1" applyProtection="1">
      <alignment vertical="center"/>
      <protection locked="0"/>
    </xf>
    <xf numFmtId="0" fontId="145" fillId="6" borderId="0" xfId="1" applyFill="1" applyBorder="1" applyProtection="1">
      <alignment vertical="center"/>
      <protection locked="0"/>
    </xf>
    <xf numFmtId="0" fontId="32" fillId="21" borderId="2" xfId="2" applyFont="1" applyFill="1" applyBorder="1" applyAlignment="1" applyProtection="1">
      <alignment horizontal="center" vertical="center" wrapText="1"/>
      <protection locked="0"/>
    </xf>
    <xf numFmtId="0" fontId="32" fillId="21" borderId="2" xfId="2" applyFont="1" applyFill="1" applyBorder="1" applyAlignment="1">
      <alignment horizontal="center" vertical="center" wrapText="1"/>
    </xf>
    <xf numFmtId="0" fontId="32" fillId="21" borderId="2" xfId="1" applyFont="1" applyFill="1" applyBorder="1" applyAlignment="1" applyProtection="1">
      <alignment horizontal="center" vertical="center" wrapText="1"/>
      <protection locked="0"/>
    </xf>
    <xf numFmtId="0" fontId="32" fillId="21" borderId="0" xfId="1" applyFont="1" applyFill="1" applyBorder="1" applyAlignment="1" applyProtection="1">
      <alignment horizontal="center" vertical="center" wrapText="1"/>
      <protection locked="0"/>
    </xf>
    <xf numFmtId="0" fontId="145" fillId="21" borderId="0" xfId="1" applyFill="1" applyProtection="1">
      <alignment vertical="center"/>
      <protection locked="0"/>
    </xf>
    <xf numFmtId="0" fontId="145" fillId="21" borderId="0" xfId="1" applyFill="1" applyBorder="1" applyProtection="1">
      <alignment vertical="center"/>
      <protection locked="0"/>
    </xf>
    <xf numFmtId="0" fontId="32" fillId="21" borderId="10" xfId="2" applyFont="1" applyFill="1" applyBorder="1" applyAlignment="1">
      <alignment horizontal="center" vertical="center" wrapText="1"/>
    </xf>
    <xf numFmtId="0" fontId="32" fillId="20" borderId="10" xfId="2" applyFont="1" applyFill="1" applyBorder="1" applyAlignment="1">
      <alignment horizontal="center" vertical="center" wrapText="1"/>
    </xf>
    <xf numFmtId="0" fontId="145" fillId="21" borderId="0" xfId="1" applyFill="1" applyAlignment="1" applyProtection="1">
      <alignment horizontal="center" vertical="center"/>
      <protection locked="0"/>
    </xf>
    <xf numFmtId="0" fontId="32" fillId="0" borderId="10" xfId="2" applyFont="1" applyFill="1" applyBorder="1" applyAlignment="1">
      <alignment horizontal="center" vertical="center" wrapText="1"/>
    </xf>
    <xf numFmtId="0" fontId="145" fillId="0" borderId="0" xfId="1" applyFill="1" applyAlignment="1" applyProtection="1">
      <alignment horizontal="center" vertical="center"/>
      <protection locked="0"/>
    </xf>
    <xf numFmtId="0" fontId="145" fillId="8" borderId="0" xfId="1" applyFill="1" applyBorder="1" applyProtection="1">
      <alignment vertical="center"/>
      <protection locked="0"/>
    </xf>
    <xf numFmtId="0" fontId="32" fillId="7" borderId="0" xfId="1" applyFont="1" applyFill="1" applyBorder="1" applyProtection="1">
      <alignment vertical="center"/>
      <protection locked="0"/>
    </xf>
    <xf numFmtId="0" fontId="32" fillId="8" borderId="21" xfId="2" applyFont="1" applyFill="1" applyBorder="1" applyAlignment="1" applyProtection="1">
      <alignment horizontal="center" vertical="center" wrapText="1"/>
      <protection locked="0"/>
    </xf>
    <xf numFmtId="2" fontId="32" fillId="8" borderId="2" xfId="2" applyNumberFormat="1" applyFont="1" applyFill="1" applyBorder="1" applyAlignment="1" applyProtection="1">
      <alignment horizontal="center" vertical="center" wrapText="1"/>
      <protection locked="0"/>
    </xf>
    <xf numFmtId="2" fontId="32" fillId="17" borderId="2" xfId="2" applyNumberFormat="1" applyFont="1" applyFill="1" applyBorder="1" applyAlignment="1" applyProtection="1">
      <alignment horizontal="center" vertical="center" wrapText="1"/>
      <protection locked="0"/>
    </xf>
    <xf numFmtId="0" fontId="32" fillId="0" borderId="2" xfId="1" applyFont="1" applyFill="1" applyBorder="1">
      <alignment vertical="center"/>
    </xf>
    <xf numFmtId="0" fontId="145" fillId="0" borderId="0" xfId="1" applyProtection="1">
      <alignment vertical="center"/>
      <protection locked="0"/>
    </xf>
    <xf numFmtId="0" fontId="145" fillId="0" borderId="0" xfId="1" applyBorder="1" applyProtection="1">
      <alignment vertical="center"/>
      <protection locked="0"/>
    </xf>
    <xf numFmtId="0" fontId="32" fillId="22" borderId="0" xfId="1" applyFont="1" applyFill="1" applyProtection="1">
      <alignment vertical="center"/>
      <protection locked="0"/>
    </xf>
    <xf numFmtId="2" fontId="145" fillId="22" borderId="0" xfId="1" applyNumberFormat="1" applyFill="1" applyProtection="1">
      <alignment vertical="center"/>
      <protection locked="0"/>
    </xf>
    <xf numFmtId="0" fontId="32" fillId="0" borderId="0" xfId="1" applyFont="1" applyProtection="1">
      <alignment vertical="center"/>
      <protection locked="0"/>
    </xf>
    <xf numFmtId="179" fontId="145" fillId="0" borderId="0" xfId="1" applyNumberFormat="1" applyBorder="1" applyProtection="1">
      <alignment vertical="center"/>
      <protection locked="0"/>
    </xf>
    <xf numFmtId="0" fontId="145" fillId="22" borderId="0" xfId="1" applyFill="1" applyProtection="1">
      <alignment vertical="center"/>
      <protection locked="0"/>
    </xf>
    <xf numFmtId="0" fontId="3" fillId="0" borderId="2" xfId="1" applyFont="1" applyFill="1" applyBorder="1">
      <alignment vertical="center"/>
    </xf>
    <xf numFmtId="0" fontId="3" fillId="0" borderId="0" xfId="1" applyFont="1" applyFill="1" applyBorder="1">
      <alignment vertical="center"/>
    </xf>
    <xf numFmtId="0" fontId="32" fillId="0" borderId="154" xfId="1" applyFont="1" applyFill="1" applyBorder="1" applyAlignment="1" applyProtection="1">
      <alignment horizontal="center" vertical="center" wrapText="1"/>
    </xf>
    <xf numFmtId="0" fontId="32" fillId="8" borderId="154" xfId="1" applyFont="1" applyFill="1" applyBorder="1" applyAlignment="1" applyProtection="1">
      <alignment horizontal="center" vertical="center" wrapText="1"/>
    </xf>
    <xf numFmtId="2" fontId="32" fillId="17" borderId="2" xfId="1" applyNumberFormat="1" applyFont="1" applyFill="1" applyBorder="1" applyAlignment="1" applyProtection="1">
      <alignment horizontal="center" vertical="center" wrapText="1"/>
      <protection locked="0"/>
    </xf>
    <xf numFmtId="2" fontId="32" fillId="0" borderId="2" xfId="1" applyNumberFormat="1" applyFont="1" applyFill="1" applyBorder="1" applyAlignment="1" applyProtection="1">
      <alignment horizontal="center" vertical="center" wrapText="1"/>
      <protection locked="0"/>
    </xf>
    <xf numFmtId="2" fontId="140" fillId="0" borderId="2" xfId="1" applyNumberFormat="1" applyFont="1" applyFill="1" applyBorder="1" applyAlignment="1" applyProtection="1">
      <alignment horizontal="center" vertical="center" wrapText="1"/>
      <protection locked="0"/>
    </xf>
    <xf numFmtId="179" fontId="253" fillId="5" borderId="0" xfId="1" applyNumberFormat="1" applyFont="1" applyFill="1" applyBorder="1" applyProtection="1">
      <alignment vertical="center"/>
      <protection locked="0"/>
    </xf>
    <xf numFmtId="0" fontId="32" fillId="0" borderId="0" xfId="1" applyFont="1" applyFill="1" applyBorder="1" applyAlignment="1">
      <alignment horizontal="left" vertical="center" wrapText="1"/>
    </xf>
    <xf numFmtId="0" fontId="32" fillId="8" borderId="0" xfId="1" applyFont="1" applyFill="1">
      <alignment vertical="center"/>
    </xf>
    <xf numFmtId="0" fontId="32" fillId="0" borderId="0" xfId="1" applyFont="1">
      <alignment vertical="center"/>
    </xf>
    <xf numFmtId="0" fontId="32" fillId="17" borderId="0" xfId="1" applyFont="1" applyFill="1">
      <alignment vertical="center"/>
    </xf>
    <xf numFmtId="179" fontId="32" fillId="17" borderId="0" xfId="1" applyNumberFormat="1" applyFont="1" applyFill="1">
      <alignment vertical="center"/>
    </xf>
    <xf numFmtId="2" fontId="145" fillId="0" borderId="0" xfId="1" applyNumberFormat="1">
      <alignment vertical="center"/>
    </xf>
    <xf numFmtId="0" fontId="145" fillId="17" borderId="0" xfId="1" applyFill="1">
      <alignment vertical="center"/>
    </xf>
    <xf numFmtId="0" fontId="32" fillId="0" borderId="2" xfId="1" applyFont="1" applyBorder="1">
      <alignment vertical="center"/>
    </xf>
    <xf numFmtId="0" fontId="145" fillId="0" borderId="2" xfId="1" applyBorder="1">
      <alignment vertical="center"/>
    </xf>
    <xf numFmtId="0" fontId="32" fillId="6" borderId="0" xfId="1" applyFont="1" applyFill="1">
      <alignment vertical="center"/>
    </xf>
    <xf numFmtId="0" fontId="32" fillId="7" borderId="0" xfId="1" applyFont="1" applyFill="1">
      <alignment vertical="center"/>
    </xf>
    <xf numFmtId="0" fontId="145" fillId="6" borderId="0" xfId="1" applyFill="1">
      <alignment vertical="center"/>
    </xf>
    <xf numFmtId="0" fontId="145" fillId="6" borderId="0" xfId="1" applyFont="1" applyFill="1">
      <alignment vertical="center"/>
    </xf>
    <xf numFmtId="0" fontId="145" fillId="6" borderId="0" xfId="1" applyFont="1" applyFill="1" applyBorder="1" applyProtection="1">
      <alignment vertical="center"/>
      <protection locked="0"/>
    </xf>
    <xf numFmtId="0" fontId="32" fillId="6" borderId="0" xfId="1" applyFont="1" applyFill="1" applyBorder="1" applyProtection="1">
      <alignment vertical="center"/>
      <protection locked="0"/>
    </xf>
    <xf numFmtId="0" fontId="145" fillId="7" borderId="0" xfId="1" applyFill="1">
      <alignment vertical="center"/>
    </xf>
    <xf numFmtId="0" fontId="145" fillId="8" borderId="0" xfId="1" applyFill="1">
      <alignment vertical="center"/>
    </xf>
    <xf numFmtId="0" fontId="278" fillId="7" borderId="0" xfId="1" applyFont="1" applyFill="1">
      <alignment vertical="center"/>
    </xf>
    <xf numFmtId="178" fontId="278" fillId="7" borderId="0" xfId="1" applyNumberFormat="1" applyFont="1" applyFill="1">
      <alignment vertical="center"/>
    </xf>
    <xf numFmtId="0" fontId="145" fillId="7" borderId="0" xfId="1" applyFont="1" applyFill="1">
      <alignment vertical="center"/>
    </xf>
    <xf numFmtId="178" fontId="145" fillId="7" borderId="0" xfId="1" applyNumberFormat="1" applyFill="1">
      <alignment vertical="center"/>
    </xf>
    <xf numFmtId="0" fontId="145" fillId="0" borderId="0" xfId="1" applyFont="1">
      <alignment vertical="center"/>
    </xf>
    <xf numFmtId="178" fontId="145" fillId="0" borderId="0" xfId="1" applyNumberFormat="1">
      <alignment vertical="center"/>
    </xf>
    <xf numFmtId="0" fontId="71" fillId="10" borderId="11" xfId="0" applyNumberFormat="1" applyFont="1" applyFill="1" applyBorder="1" applyAlignment="1" applyProtection="1">
      <alignment horizontal="center" vertical="center" wrapText="1"/>
      <protection locked="0"/>
    </xf>
    <xf numFmtId="0" fontId="71" fillId="10" borderId="12" xfId="0" applyNumberFormat="1" applyFont="1" applyFill="1" applyBorder="1" applyAlignment="1" applyProtection="1">
      <alignment horizontal="center" vertical="center" wrapText="1"/>
    </xf>
    <xf numFmtId="0" fontId="71" fillId="10" borderId="9" xfId="0" applyNumberFormat="1" applyFont="1" applyFill="1" applyBorder="1" applyAlignment="1" applyProtection="1">
      <alignment horizontal="center" vertical="center" wrapText="1"/>
      <protection locked="0"/>
    </xf>
    <xf numFmtId="0" fontId="71" fillId="10" borderId="5" xfId="0" applyNumberFormat="1" applyFont="1" applyFill="1" applyBorder="1" applyAlignment="1" applyProtection="1">
      <alignment horizontal="center" vertical="center" wrapText="1"/>
    </xf>
    <xf numFmtId="0" fontId="78" fillId="23" borderId="5" xfId="0" applyFont="1" applyFill="1" applyBorder="1" applyAlignment="1" applyProtection="1">
      <alignment vertical="center"/>
      <protection locked="0"/>
    </xf>
    <xf numFmtId="181" fontId="152" fillId="23" borderId="2" xfId="0" applyNumberFormat="1" applyFont="1" applyFill="1" applyBorder="1" applyAlignment="1" applyProtection="1">
      <alignment horizontal="center" vertical="center"/>
      <protection locked="0"/>
    </xf>
    <xf numFmtId="177" fontId="71" fillId="23" borderId="2" xfId="2" applyNumberFormat="1" applyFont="1" applyFill="1" applyBorder="1" applyAlignment="1" applyProtection="1">
      <alignment horizontal="center" vertical="center"/>
      <protection locked="0"/>
    </xf>
    <xf numFmtId="10" fontId="71" fillId="23" borderId="2" xfId="2" applyNumberFormat="1" applyFont="1" applyFill="1" applyBorder="1" applyAlignment="1" applyProtection="1">
      <alignment horizontal="center" vertical="center"/>
      <protection locked="0"/>
    </xf>
    <xf numFmtId="0" fontId="71" fillId="23" borderId="11" xfId="0" applyFont="1" applyFill="1" applyBorder="1" applyAlignment="1" applyProtection="1">
      <alignment vertical="center"/>
      <protection locked="0"/>
    </xf>
    <xf numFmtId="181" fontId="71" fillId="23" borderId="2" xfId="0" applyNumberFormat="1" applyFont="1" applyFill="1" applyBorder="1" applyAlignment="1" applyProtection="1">
      <alignment vertical="center"/>
      <protection locked="0"/>
    </xf>
    <xf numFmtId="0" fontId="71" fillId="23" borderId="30" xfId="0" applyNumberFormat="1" applyFont="1" applyFill="1" applyBorder="1" applyAlignment="1" applyProtection="1">
      <alignment horizontal="center" vertical="center" wrapText="1"/>
      <protection locked="0"/>
    </xf>
    <xf numFmtId="49" fontId="84" fillId="23" borderId="11" xfId="0" applyNumberFormat="1" applyFont="1" applyFill="1" applyBorder="1" applyAlignment="1" applyProtection="1">
      <alignment horizontal="center" vertical="center" wrapText="1"/>
      <protection locked="0"/>
    </xf>
    <xf numFmtId="49" fontId="144" fillId="23" borderId="24" xfId="0" applyNumberFormat="1" applyFont="1" applyFill="1" applyBorder="1" applyAlignment="1" applyProtection="1">
      <alignment horizontal="center" vertical="center" wrapText="1"/>
      <protection locked="0"/>
    </xf>
    <xf numFmtId="0" fontId="71" fillId="24" borderId="11" xfId="0" applyNumberFormat="1" applyFont="1" applyFill="1" applyBorder="1" applyAlignment="1" applyProtection="1">
      <alignment horizontal="center" vertical="center" wrapText="1"/>
      <protection locked="0"/>
    </xf>
    <xf numFmtId="181" fontId="71" fillId="23" borderId="12" xfId="0" applyNumberFormat="1" applyFont="1" applyFill="1" applyBorder="1" applyAlignment="1" applyProtection="1">
      <alignment vertical="center"/>
      <protection locked="0"/>
    </xf>
    <xf numFmtId="177" fontId="76" fillId="23" borderId="2" xfId="2" applyNumberFormat="1" applyFont="1" applyFill="1" applyBorder="1" applyAlignment="1" applyProtection="1">
      <alignment horizontal="center" vertical="center"/>
      <protection locked="0"/>
    </xf>
    <xf numFmtId="9" fontId="76" fillId="23" borderId="5" xfId="0" applyNumberFormat="1" applyFont="1" applyFill="1" applyBorder="1" applyAlignment="1" applyProtection="1">
      <alignment horizontal="center" vertical="center"/>
      <protection locked="0"/>
    </xf>
    <xf numFmtId="0" fontId="86" fillId="23" borderId="7" xfId="2" applyNumberFormat="1" applyFont="1" applyFill="1" applyBorder="1" applyAlignment="1" applyProtection="1">
      <alignment horizontal="center" vertical="center"/>
      <protection locked="0"/>
    </xf>
    <xf numFmtId="0" fontId="256" fillId="23" borderId="2" xfId="14" applyFill="1" applyBorder="1" applyAlignment="1" applyProtection="1">
      <alignment vertical="center"/>
      <protection locked="0"/>
    </xf>
    <xf numFmtId="0" fontId="0" fillId="25" borderId="0" xfId="0" applyFont="1" applyFill="1" applyAlignment="1"/>
    <xf numFmtId="0" fontId="145" fillId="25" borderId="0" xfId="0" applyFont="1" applyFill="1" applyAlignment="1"/>
    <xf numFmtId="0" fontId="0" fillId="25" borderId="0" xfId="0" applyFill="1" applyAlignment="1"/>
    <xf numFmtId="0" fontId="0" fillId="25" borderId="0" xfId="0" applyFill="1">
      <alignment vertical="center"/>
    </xf>
    <xf numFmtId="177" fontId="108" fillId="23" borderId="30" xfId="0" applyNumberFormat="1" applyFont="1" applyFill="1" applyBorder="1" applyAlignment="1" applyProtection="1">
      <alignment vertical="center" wrapText="1"/>
      <protection locked="0"/>
    </xf>
    <xf numFmtId="177" fontId="108" fillId="5" borderId="30" xfId="0" applyNumberFormat="1" applyFont="1" applyFill="1" applyBorder="1" applyAlignment="1" applyProtection="1">
      <alignment vertical="center" wrapText="1"/>
    </xf>
    <xf numFmtId="177" fontId="108" fillId="23" borderId="59" xfId="0" applyNumberFormat="1" applyFont="1" applyFill="1" applyBorder="1" applyAlignment="1" applyProtection="1">
      <alignment vertical="center" wrapText="1"/>
      <protection locked="0"/>
    </xf>
    <xf numFmtId="0" fontId="151" fillId="5" borderId="4" xfId="1" applyFont="1" applyFill="1" applyBorder="1" applyAlignment="1" applyProtection="1">
      <alignment vertical="center"/>
    </xf>
    <xf numFmtId="0" fontId="101" fillId="5" borderId="5" xfId="1" applyFont="1" applyFill="1" applyBorder="1" applyAlignment="1" applyProtection="1">
      <alignment horizontal="right" vertical="center"/>
    </xf>
    <xf numFmtId="0" fontId="101" fillId="5" borderId="8" xfId="1" applyFont="1" applyFill="1" applyBorder="1" applyAlignment="1" applyProtection="1">
      <alignment horizontal="center" vertical="center"/>
    </xf>
    <xf numFmtId="0" fontId="101" fillId="2" borderId="8" xfId="1" applyFont="1" applyFill="1" applyBorder="1" applyAlignment="1" applyProtection="1">
      <alignment vertical="center"/>
      <protection locked="0"/>
    </xf>
    <xf numFmtId="0" fontId="101" fillId="6" borderId="9" xfId="1" applyFont="1" applyFill="1" applyBorder="1" applyAlignment="1" applyProtection="1">
      <alignment vertical="center"/>
    </xf>
    <xf numFmtId="0" fontId="101" fillId="6" borderId="2" xfId="1" applyFont="1" applyFill="1" applyBorder="1" applyAlignment="1" applyProtection="1">
      <alignment horizontal="center" vertical="center"/>
      <protection locked="0"/>
    </xf>
    <xf numFmtId="0" fontId="102" fillId="5" borderId="14" xfId="1" applyFont="1" applyFill="1" applyBorder="1" applyAlignment="1" applyProtection="1">
      <alignment vertical="center"/>
    </xf>
    <xf numFmtId="0" fontId="101" fillId="5" borderId="14" xfId="1" applyFont="1" applyFill="1" applyBorder="1" applyAlignment="1" applyProtection="1">
      <alignment vertical="center"/>
    </xf>
    <xf numFmtId="187" fontId="101" fillId="5" borderId="14" xfId="1" applyNumberFormat="1" applyFont="1" applyFill="1" applyBorder="1" applyAlignment="1" applyProtection="1">
      <alignment horizontal="center" vertical="center"/>
    </xf>
    <xf numFmtId="181" fontId="101" fillId="5" borderId="14" xfId="1" applyNumberFormat="1" applyFont="1" applyFill="1" applyBorder="1" applyAlignment="1" applyProtection="1">
      <alignment vertical="center"/>
    </xf>
    <xf numFmtId="0" fontId="101" fillId="5" borderId="14" xfId="1" applyFont="1" applyFill="1" applyBorder="1" applyAlignment="1" applyProtection="1">
      <alignment horizontal="center" vertical="center"/>
    </xf>
    <xf numFmtId="0" fontId="101" fillId="5" borderId="0" xfId="1" applyFont="1" applyFill="1" applyBorder="1" applyAlignment="1" applyProtection="1">
      <alignment horizontal="center" vertical="center"/>
    </xf>
    <xf numFmtId="0" fontId="98" fillId="5" borderId="0" xfId="1" applyFont="1" applyFill="1" applyBorder="1" applyAlignment="1" applyProtection="1">
      <alignment horizontal="center" vertical="center"/>
    </xf>
    <xf numFmtId="0" fontId="98" fillId="0" borderId="0" xfId="1" applyFont="1" applyFill="1" applyAlignment="1" applyProtection="1">
      <alignment horizontal="center" vertical="center"/>
    </xf>
    <xf numFmtId="0" fontId="97" fillId="5" borderId="21" xfId="1" applyFont="1" applyFill="1" applyBorder="1" applyAlignment="1" applyProtection="1">
      <alignment horizontal="right" vertical="center"/>
    </xf>
    <xf numFmtId="0" fontId="97" fillId="5" borderId="0" xfId="1" applyFont="1" applyFill="1" applyBorder="1" applyAlignment="1" applyProtection="1">
      <alignment vertical="center"/>
      <protection locked="0"/>
    </xf>
    <xf numFmtId="0" fontId="73" fillId="5" borderId="0" xfId="1" applyFont="1" applyFill="1" applyBorder="1" applyAlignment="1" applyProtection="1">
      <alignment vertical="center"/>
      <protection locked="0"/>
    </xf>
    <xf numFmtId="187" fontId="97" fillId="5" borderId="0" xfId="1" applyNumberFormat="1" applyFont="1" applyFill="1" applyBorder="1" applyAlignment="1" applyProtection="1">
      <alignment horizontal="center" vertical="center"/>
      <protection locked="0"/>
    </xf>
    <xf numFmtId="181" fontId="97" fillId="5" borderId="0" xfId="1" applyNumberFormat="1" applyFont="1" applyFill="1" applyBorder="1" applyAlignment="1" applyProtection="1">
      <alignment vertical="center"/>
      <protection locked="0"/>
    </xf>
    <xf numFmtId="0" fontId="97"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xf>
    <xf numFmtId="0" fontId="106" fillId="5" borderId="0" xfId="1" applyFont="1" applyFill="1" applyBorder="1" applyAlignment="1" applyProtection="1">
      <alignment horizontal="center" vertical="center"/>
    </xf>
    <xf numFmtId="0" fontId="106" fillId="0" borderId="0" xfId="1" applyFont="1" applyFill="1" applyAlignment="1" applyProtection="1">
      <alignment horizontal="center" vertical="center"/>
    </xf>
    <xf numFmtId="0" fontId="97" fillId="5" borderId="10" xfId="1" applyFont="1" applyFill="1" applyBorder="1" applyAlignment="1" applyProtection="1">
      <alignment horizontal="right" vertical="center"/>
    </xf>
    <xf numFmtId="0" fontId="97" fillId="5" borderId="10" xfId="1" applyFont="1" applyFill="1" applyBorder="1" applyAlignment="1" applyProtection="1">
      <alignment horizontal="center" vertical="center"/>
    </xf>
    <xf numFmtId="0" fontId="106" fillId="5" borderId="0" xfId="1" applyFont="1" applyFill="1" applyAlignment="1" applyProtection="1">
      <alignment horizontal="center" vertical="center"/>
    </xf>
    <xf numFmtId="0" fontId="83" fillId="5" borderId="26" xfId="1" applyFont="1" applyFill="1" applyBorder="1" applyAlignment="1" applyProtection="1">
      <alignment vertical="center" wrapText="1"/>
    </xf>
    <xf numFmtId="0" fontId="83" fillId="5" borderId="28" xfId="1" applyFont="1" applyFill="1" applyBorder="1" applyAlignment="1" applyProtection="1">
      <alignment vertical="center" wrapText="1"/>
    </xf>
    <xf numFmtId="187" fontId="71" fillId="5" borderId="57" xfId="1" applyNumberFormat="1" applyFont="1" applyFill="1" applyBorder="1" applyAlignment="1" applyProtection="1">
      <alignment horizontal="center" vertical="center" wrapText="1"/>
    </xf>
    <xf numFmtId="181" fontId="71" fillId="5" borderId="0" xfId="1" applyNumberFormat="1" applyFont="1" applyFill="1" applyBorder="1" applyAlignment="1" applyProtection="1">
      <alignment vertical="center" wrapText="1"/>
      <protection locked="0"/>
    </xf>
    <xf numFmtId="0" fontId="84" fillId="5" borderId="0" xfId="1" applyFont="1" applyFill="1" applyBorder="1" applyAlignment="1" applyProtection="1">
      <alignment horizontal="center" vertical="center"/>
      <protection locked="0"/>
    </xf>
    <xf numFmtId="0" fontId="84" fillId="5" borderId="3" xfId="1" applyFont="1" applyFill="1" applyBorder="1" applyAlignment="1" applyProtection="1">
      <alignment horizontal="center" vertical="center"/>
    </xf>
    <xf numFmtId="0" fontId="84" fillId="0" borderId="0" xfId="1" applyFont="1" applyFill="1" applyAlignment="1" applyProtection="1">
      <alignment horizontal="center" vertical="center"/>
    </xf>
    <xf numFmtId="0" fontId="83" fillId="5" borderId="31" xfId="1" applyFont="1" applyFill="1" applyBorder="1" applyAlignment="1" applyProtection="1">
      <alignment vertical="center" wrapText="1"/>
    </xf>
    <xf numFmtId="0" fontId="83" fillId="5" borderId="0" xfId="1" applyFont="1" applyFill="1" applyBorder="1" applyAlignment="1" applyProtection="1">
      <alignment vertical="center" wrapText="1"/>
    </xf>
    <xf numFmtId="187" fontId="71" fillId="5" borderId="16" xfId="1" applyNumberFormat="1" applyFont="1" applyFill="1" applyBorder="1" applyAlignment="1" applyProtection="1">
      <alignment horizontal="center" vertical="center" wrapText="1"/>
    </xf>
    <xf numFmtId="0" fontId="83" fillId="5" borderId="54" xfId="1" applyFont="1" applyFill="1" applyBorder="1" applyAlignment="1" applyProtection="1">
      <alignment vertical="center" wrapText="1"/>
    </xf>
    <xf numFmtId="0" fontId="83" fillId="5" borderId="61" xfId="1" applyFont="1" applyFill="1" applyBorder="1" applyAlignment="1" applyProtection="1">
      <alignment vertical="center" wrapText="1"/>
    </xf>
    <xf numFmtId="0" fontId="75" fillId="5" borderId="59" xfId="1" applyFont="1" applyFill="1" applyBorder="1" applyAlignment="1" applyProtection="1">
      <alignment vertical="center" wrapText="1"/>
    </xf>
    <xf numFmtId="0" fontId="75" fillId="5" borderId="57" xfId="1" applyFont="1" applyFill="1" applyBorder="1" applyAlignment="1" applyProtection="1">
      <alignment horizontal="left" vertical="center" wrapText="1"/>
    </xf>
    <xf numFmtId="183" fontId="71" fillId="5" borderId="33" xfId="1" applyNumberFormat="1" applyFont="1" applyFill="1" applyBorder="1" applyAlignment="1" applyProtection="1">
      <alignment horizontal="center" vertical="center" wrapText="1"/>
    </xf>
    <xf numFmtId="0" fontId="71" fillId="5" borderId="34" xfId="1" applyNumberFormat="1" applyFont="1" applyFill="1" applyBorder="1" applyAlignment="1" applyProtection="1">
      <alignment horizontal="center" vertical="center" wrapText="1"/>
    </xf>
    <xf numFmtId="183" fontId="71" fillId="0" borderId="62" xfId="1" applyNumberFormat="1" applyFont="1" applyFill="1" applyBorder="1" applyAlignment="1" applyProtection="1">
      <alignment horizontal="center" vertical="center" wrapText="1"/>
      <protection locked="0"/>
    </xf>
    <xf numFmtId="0" fontId="71" fillId="5" borderId="49" xfId="1" applyNumberFormat="1" applyFont="1" applyFill="1" applyBorder="1" applyAlignment="1" applyProtection="1">
      <alignment horizontal="center" vertical="center" wrapText="1"/>
    </xf>
    <xf numFmtId="183" fontId="71" fillId="0" borderId="33" xfId="1" applyNumberFormat="1" applyFont="1" applyFill="1" applyBorder="1" applyAlignment="1" applyProtection="1">
      <alignment horizontal="center" vertical="center" wrapText="1"/>
      <protection locked="0"/>
    </xf>
    <xf numFmtId="0" fontId="71" fillId="5" borderId="16" xfId="1" applyNumberFormat="1" applyFont="1" applyFill="1" applyBorder="1" applyAlignment="1" applyProtection="1">
      <alignment horizontal="center" vertical="center" wrapText="1"/>
    </xf>
    <xf numFmtId="181" fontId="71"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protection locked="0"/>
    </xf>
    <xf numFmtId="186" fontId="71" fillId="5" borderId="5" xfId="1" applyNumberFormat="1" applyFont="1" applyFill="1" applyBorder="1" applyAlignment="1" applyProtection="1">
      <alignment horizontal="center" vertical="center"/>
    </xf>
    <xf numFmtId="49" fontId="71" fillId="5" borderId="9" xfId="1" applyNumberFormat="1" applyFont="1" applyFill="1" applyBorder="1" applyAlignment="1" applyProtection="1">
      <alignment horizontal="center" vertical="center"/>
    </xf>
    <xf numFmtId="0" fontId="71" fillId="5" borderId="3" xfId="1" applyFont="1" applyFill="1" applyBorder="1" applyAlignment="1" applyProtection="1">
      <alignment horizontal="center" vertical="center"/>
    </xf>
    <xf numFmtId="0" fontId="71" fillId="5" borderId="2" xfId="1" applyNumberFormat="1" applyFont="1" applyFill="1" applyBorder="1" applyAlignment="1" applyProtection="1">
      <alignment horizontal="center" vertical="center"/>
    </xf>
    <xf numFmtId="0" fontId="71" fillId="0" borderId="0" xfId="1" applyFont="1" applyFill="1" applyAlignment="1" applyProtection="1">
      <alignment horizontal="center" vertical="center"/>
    </xf>
    <xf numFmtId="0" fontId="75" fillId="5" borderId="64" xfId="1" applyFont="1" applyFill="1" applyBorder="1" applyAlignment="1" applyProtection="1">
      <alignment vertical="center" wrapText="1"/>
    </xf>
    <xf numFmtId="0" fontId="75" fillId="5" borderId="16" xfId="1" applyFont="1" applyFill="1" applyBorder="1" applyAlignment="1" applyProtection="1">
      <alignment horizontal="left" vertical="center" wrapText="1"/>
    </xf>
    <xf numFmtId="49" fontId="71" fillId="2" borderId="33" xfId="1" applyNumberFormat="1" applyFont="1" applyFill="1" applyBorder="1" applyAlignment="1" applyProtection="1">
      <alignment horizontal="center" vertical="center" wrapText="1"/>
      <protection locked="0"/>
    </xf>
    <xf numFmtId="49" fontId="71" fillId="2" borderId="62" xfId="1" applyNumberFormat="1" applyFont="1" applyFill="1" applyBorder="1" applyAlignment="1" applyProtection="1">
      <alignment horizontal="center" vertical="center" wrapText="1"/>
      <protection locked="0"/>
    </xf>
    <xf numFmtId="0" fontId="75" fillId="5" borderId="87" xfId="1" applyFont="1" applyFill="1" applyBorder="1" applyAlignment="1" applyProtection="1">
      <alignment vertical="center" wrapText="1"/>
    </xf>
    <xf numFmtId="0" fontId="75" fillId="5" borderId="63" xfId="1" applyFont="1" applyFill="1" applyBorder="1" applyAlignment="1" applyProtection="1">
      <alignment horizontal="left" vertical="center" wrapText="1"/>
    </xf>
    <xf numFmtId="0" fontId="81" fillId="0" borderId="59" xfId="1" applyNumberFormat="1" applyFont="1" applyFill="1" applyBorder="1" applyAlignment="1" applyProtection="1">
      <alignment horizontal="center" vertical="center" wrapText="1"/>
      <protection locked="0"/>
    </xf>
    <xf numFmtId="0" fontId="71" fillId="5" borderId="7" xfId="1" applyNumberFormat="1" applyFont="1" applyFill="1" applyBorder="1" applyAlignment="1" applyProtection="1">
      <alignment horizontal="center" vertical="center" wrapText="1"/>
    </xf>
    <xf numFmtId="49" fontId="71" fillId="2" borderId="42" xfId="1" applyNumberFormat="1" applyFont="1" applyFill="1" applyBorder="1" applyAlignment="1" applyProtection="1">
      <alignment horizontal="center" vertical="center" wrapText="1"/>
      <protection locked="0"/>
    </xf>
    <xf numFmtId="0" fontId="71" fillId="5" borderId="29" xfId="1" applyNumberFormat="1" applyFont="1" applyFill="1" applyBorder="1" applyAlignment="1" applyProtection="1">
      <alignment horizontal="center" vertical="center" wrapText="1"/>
    </xf>
    <xf numFmtId="49" fontId="71" fillId="2" borderId="1" xfId="1" applyNumberFormat="1" applyFont="1" applyFill="1" applyBorder="1" applyAlignment="1" applyProtection="1">
      <alignment horizontal="center" vertical="center" wrapText="1"/>
      <protection locked="0"/>
    </xf>
    <xf numFmtId="0" fontId="71" fillId="5" borderId="18" xfId="1" applyFont="1" applyFill="1" applyBorder="1" applyAlignment="1" applyProtection="1">
      <alignment horizontal="center" vertical="center"/>
      <protection locked="0"/>
    </xf>
    <xf numFmtId="0" fontId="71" fillId="5" borderId="2" xfId="1" applyFont="1" applyFill="1" applyBorder="1" applyAlignment="1" applyProtection="1">
      <alignment horizontal="center" vertical="center" wrapText="1"/>
    </xf>
    <xf numFmtId="0" fontId="71" fillId="5" borderId="2" xfId="1" applyFont="1" applyFill="1" applyBorder="1" applyAlignment="1" applyProtection="1">
      <alignment horizontal="center" vertical="center"/>
    </xf>
    <xf numFmtId="0" fontId="103" fillId="5" borderId="64" xfId="1" applyFont="1" applyFill="1" applyBorder="1" applyAlignment="1" applyProtection="1">
      <alignment vertical="center" wrapText="1"/>
    </xf>
    <xf numFmtId="49" fontId="71" fillId="2" borderId="11" xfId="1" applyNumberFormat="1" applyFont="1" applyFill="1" applyBorder="1" applyAlignment="1" applyProtection="1">
      <alignment horizontal="center" vertical="center" wrapText="1"/>
      <protection locked="0"/>
    </xf>
    <xf numFmtId="0" fontId="71" fillId="5" borderId="12" xfId="1" applyNumberFormat="1" applyFont="1" applyFill="1" applyBorder="1" applyAlignment="1" applyProtection="1">
      <alignment horizontal="center" vertical="center" wrapText="1"/>
    </xf>
    <xf numFmtId="49" fontId="71" fillId="2" borderId="9" xfId="1" applyNumberFormat="1" applyFont="1" applyFill="1" applyBorder="1" applyAlignment="1" applyProtection="1">
      <alignment horizontal="center" vertical="center" wrapText="1"/>
      <protection locked="0"/>
    </xf>
    <xf numFmtId="0" fontId="71" fillId="5" borderId="5" xfId="1" applyNumberFormat="1" applyFont="1" applyFill="1" applyBorder="1" applyAlignment="1" applyProtection="1">
      <alignment horizontal="center" vertical="center" wrapText="1"/>
    </xf>
    <xf numFmtId="0" fontId="106" fillId="0" borderId="16" xfId="1" applyNumberFormat="1" applyFont="1" applyFill="1" applyBorder="1" applyAlignment="1" applyProtection="1">
      <alignment horizontal="center" vertical="center" wrapText="1"/>
      <protection locked="0"/>
    </xf>
    <xf numFmtId="181" fontId="104" fillId="5" borderId="0" xfId="1" applyNumberFormat="1" applyFont="1" applyFill="1" applyBorder="1" applyAlignment="1" applyProtection="1">
      <alignment horizontal="center" vertical="center" wrapText="1"/>
      <protection locked="0"/>
    </xf>
    <xf numFmtId="0" fontId="104" fillId="5" borderId="0" xfId="1" applyFont="1" applyFill="1" applyBorder="1" applyAlignment="1" applyProtection="1">
      <alignment horizontal="center" vertical="center"/>
      <protection locked="0"/>
    </xf>
    <xf numFmtId="0" fontId="104" fillId="5" borderId="18" xfId="1" applyFont="1" applyFill="1" applyBorder="1" applyAlignment="1" applyProtection="1">
      <alignment horizontal="center" vertical="center"/>
      <protection locked="0"/>
    </xf>
    <xf numFmtId="0" fontId="104" fillId="0" borderId="0" xfId="1" applyFont="1" applyFill="1" applyAlignment="1" applyProtection="1">
      <alignment horizontal="center" vertical="center"/>
    </xf>
    <xf numFmtId="0" fontId="83" fillId="5" borderId="64" xfId="1" applyFont="1" applyFill="1" applyBorder="1" applyAlignment="1" applyProtection="1">
      <alignment vertical="center" wrapText="1"/>
    </xf>
    <xf numFmtId="0" fontId="71" fillId="23"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71" fillId="0" borderId="11" xfId="1" applyNumberFormat="1" applyFont="1" applyFill="1" applyBorder="1" applyAlignment="1" applyProtection="1">
      <alignment horizontal="center" vertical="center" wrapText="1"/>
      <protection locked="0"/>
    </xf>
    <xf numFmtId="181" fontId="80" fillId="5" borderId="0" xfId="1" applyNumberFormat="1" applyFont="1" applyFill="1" applyBorder="1" applyAlignment="1" applyProtection="1">
      <alignment horizontal="center" vertical="center" wrapText="1"/>
      <protection locked="0"/>
    </xf>
    <xf numFmtId="0" fontId="84" fillId="5" borderId="18" xfId="1" applyFont="1" applyFill="1" applyBorder="1" applyAlignment="1" applyProtection="1">
      <alignment horizontal="center" vertical="center"/>
      <protection locked="0"/>
    </xf>
    <xf numFmtId="0" fontId="83" fillId="8" borderId="87" xfId="1" applyFont="1" applyFill="1" applyBorder="1" applyAlignment="1" applyProtection="1">
      <alignment vertical="center" wrapText="1"/>
    </xf>
    <xf numFmtId="0" fontId="75" fillId="8" borderId="63" xfId="1" applyFont="1" applyFill="1" applyBorder="1" applyAlignment="1" applyProtection="1">
      <alignment horizontal="left" vertical="center" wrapText="1"/>
      <protection locked="0"/>
    </xf>
    <xf numFmtId="0" fontId="71" fillId="0" borderId="50" xfId="1" applyNumberFormat="1" applyFont="1" applyFill="1" applyBorder="1" applyAlignment="1" applyProtection="1">
      <alignment horizontal="center" vertical="center" wrapText="1"/>
      <protection locked="0"/>
    </xf>
    <xf numFmtId="0" fontId="71" fillId="5" borderId="63" xfId="1" applyNumberFormat="1" applyFont="1" applyFill="1" applyBorder="1" applyAlignment="1" applyProtection="1">
      <alignment horizontal="center" vertical="center" wrapText="1"/>
    </xf>
    <xf numFmtId="0" fontId="106" fillId="5" borderId="16" xfId="1" applyNumberFormat="1" applyFont="1" applyFill="1" applyBorder="1" applyAlignment="1" applyProtection="1">
      <alignment horizontal="center" vertical="center" wrapText="1"/>
    </xf>
    <xf numFmtId="0" fontId="84" fillId="0" borderId="64" xfId="1" applyNumberFormat="1" applyFont="1" applyFill="1" applyBorder="1" applyAlignment="1" applyProtection="1">
      <alignment horizontal="center" vertical="center" wrapText="1"/>
      <protection locked="0"/>
    </xf>
    <xf numFmtId="0" fontId="84" fillId="5" borderId="12" xfId="1" applyNumberFormat="1" applyFont="1" applyFill="1" applyBorder="1" applyAlignment="1" applyProtection="1">
      <alignment horizontal="center" vertical="center" wrapText="1"/>
    </xf>
    <xf numFmtId="181" fontId="105" fillId="5" borderId="0" xfId="1" applyNumberFormat="1" applyFont="1" applyFill="1" applyBorder="1" applyAlignment="1" applyProtection="1">
      <alignment horizontal="center" vertical="center" wrapText="1"/>
      <protection locked="0"/>
    </xf>
    <xf numFmtId="0" fontId="83" fillId="8" borderId="54" xfId="1" applyFont="1" applyFill="1" applyBorder="1" applyAlignment="1" applyProtection="1">
      <alignment vertical="center" wrapText="1"/>
    </xf>
    <xf numFmtId="0" fontId="75" fillId="8" borderId="66" xfId="1" applyFont="1" applyFill="1" applyBorder="1" applyAlignment="1" applyProtection="1">
      <alignment horizontal="left" vertical="center" wrapText="1"/>
      <protection locked="0"/>
    </xf>
    <xf numFmtId="0" fontId="84" fillId="0" borderId="60" xfId="1" applyNumberFormat="1" applyFont="1" applyFill="1" applyBorder="1" applyAlignment="1" applyProtection="1">
      <alignment horizontal="center" vertical="center" wrapText="1"/>
      <protection locked="0"/>
    </xf>
    <xf numFmtId="0" fontId="84" fillId="5" borderId="46" xfId="1" applyNumberFormat="1" applyFont="1" applyFill="1" applyBorder="1" applyAlignment="1" applyProtection="1">
      <alignment horizontal="center" vertical="center" wrapText="1"/>
    </xf>
    <xf numFmtId="0" fontId="84" fillId="5" borderId="45" xfId="1" applyNumberFormat="1" applyFont="1" applyFill="1" applyBorder="1" applyAlignment="1" applyProtection="1">
      <alignment horizontal="center" vertical="center" wrapText="1"/>
    </xf>
    <xf numFmtId="0" fontId="247" fillId="5" borderId="24" xfId="1" applyFont="1" applyFill="1" applyBorder="1" applyAlignment="1" applyProtection="1">
      <alignment vertical="center" wrapText="1"/>
    </xf>
    <xf numFmtId="0" fontId="71" fillId="5" borderId="40" xfId="1" applyFont="1" applyFill="1" applyBorder="1" applyAlignment="1" applyProtection="1">
      <alignment horizontal="center" vertical="center" wrapText="1"/>
    </xf>
    <xf numFmtId="49" fontId="84" fillId="5" borderId="53" xfId="1" applyNumberFormat="1" applyFont="1" applyFill="1" applyBorder="1" applyAlignment="1" applyProtection="1">
      <alignment horizontal="center" vertical="center" wrapText="1"/>
    </xf>
    <xf numFmtId="0" fontId="84" fillId="5" borderId="41" xfId="1" applyNumberFormat="1" applyFont="1" applyFill="1" applyBorder="1" applyAlignment="1" applyProtection="1">
      <alignment horizontal="center" vertical="center" wrapText="1"/>
    </xf>
    <xf numFmtId="49" fontId="144" fillId="0" borderId="58" xfId="1" applyNumberFormat="1" applyFont="1" applyFill="1" applyBorder="1" applyAlignment="1" applyProtection="1">
      <alignment horizontal="center" vertical="center" wrapText="1"/>
      <protection locked="0"/>
    </xf>
    <xf numFmtId="0" fontId="84" fillId="5" borderId="40" xfId="1" applyNumberFormat="1" applyFont="1" applyFill="1" applyBorder="1" applyAlignment="1" applyProtection="1">
      <alignment horizontal="center" vertical="center" wrapText="1"/>
    </xf>
    <xf numFmtId="49" fontId="144" fillId="0" borderId="53" xfId="1" applyNumberFormat="1" applyFont="1" applyFill="1" applyBorder="1" applyAlignment="1" applyProtection="1">
      <alignment horizontal="center" vertical="center" wrapText="1"/>
      <protection locked="0"/>
    </xf>
    <xf numFmtId="0" fontId="106" fillId="0" borderId="76" xfId="1" applyNumberFormat="1" applyFont="1" applyFill="1" applyBorder="1" applyAlignment="1" applyProtection="1">
      <alignment horizontal="center" vertical="center" wrapText="1"/>
      <protection locked="0"/>
    </xf>
    <xf numFmtId="0" fontId="84" fillId="5" borderId="2" xfId="1" applyFont="1" applyFill="1" applyBorder="1" applyAlignment="1" applyProtection="1">
      <alignment horizontal="center" vertical="center" wrapText="1"/>
    </xf>
    <xf numFmtId="186" fontId="84" fillId="5" borderId="5" xfId="1" applyNumberFormat="1" applyFont="1" applyFill="1" applyBorder="1" applyAlignment="1" applyProtection="1">
      <alignment horizontal="center" vertical="center"/>
    </xf>
    <xf numFmtId="49" fontId="84" fillId="5" borderId="9" xfId="1" applyNumberFormat="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84" fillId="5" borderId="2" xfId="1" applyNumberFormat="1" applyFont="1" applyFill="1" applyBorder="1" applyAlignment="1" applyProtection="1">
      <alignment horizontal="center" vertical="center"/>
    </xf>
    <xf numFmtId="0" fontId="83" fillId="5" borderId="24" xfId="1" applyFont="1" applyFill="1" applyBorder="1" applyAlignment="1" applyProtection="1">
      <alignment vertical="center" wrapText="1"/>
    </xf>
    <xf numFmtId="0" fontId="84" fillId="5" borderId="0" xfId="1" applyFont="1" applyFill="1" applyBorder="1" applyAlignment="1" applyProtection="1">
      <alignment horizontal="center" vertical="center"/>
    </xf>
    <xf numFmtId="0" fontId="84" fillId="2" borderId="50" xfId="1" applyNumberFormat="1" applyFont="1" applyFill="1" applyBorder="1" applyAlignment="1" applyProtection="1">
      <alignment horizontal="center" vertical="center" wrapText="1"/>
      <protection locked="0"/>
    </xf>
    <xf numFmtId="0" fontId="84" fillId="5" borderId="51" xfId="1" applyNumberFormat="1" applyFont="1" applyFill="1" applyBorder="1" applyAlignment="1" applyProtection="1">
      <alignment horizontal="center" vertical="center" wrapText="1"/>
    </xf>
    <xf numFmtId="49" fontId="84" fillId="2" borderId="20" xfId="1" applyNumberFormat="1" applyFont="1" applyFill="1" applyBorder="1" applyAlignment="1" applyProtection="1">
      <alignment horizontal="center" vertical="center" wrapText="1"/>
      <protection locked="0"/>
    </xf>
    <xf numFmtId="0" fontId="84" fillId="5" borderId="17" xfId="1" applyNumberFormat="1" applyFont="1" applyFill="1" applyBorder="1" applyAlignment="1" applyProtection="1">
      <alignment horizontal="center" vertical="center" wrapText="1"/>
    </xf>
    <xf numFmtId="49" fontId="84" fillId="2" borderId="50" xfId="1" applyNumberFormat="1" applyFont="1" applyFill="1" applyBorder="1" applyAlignment="1" applyProtection="1">
      <alignment horizontal="center" vertical="center" wrapText="1"/>
      <protection locked="0"/>
    </xf>
    <xf numFmtId="0" fontId="84" fillId="5" borderId="52" xfId="1" applyNumberFormat="1" applyFont="1" applyFill="1" applyBorder="1" applyAlignment="1" applyProtection="1">
      <alignment horizontal="center" vertical="center" wrapText="1"/>
    </xf>
    <xf numFmtId="0" fontId="106" fillId="5" borderId="77" xfId="1" applyNumberFormat="1" applyFont="1" applyFill="1" applyBorder="1" applyAlignment="1" applyProtection="1">
      <alignment horizontal="center" vertical="center" wrapText="1"/>
    </xf>
    <xf numFmtId="0" fontId="71" fillId="5" borderId="4" xfId="1" applyFont="1" applyFill="1" applyBorder="1" applyAlignment="1" applyProtection="1">
      <alignment horizontal="center" vertical="center" wrapText="1"/>
    </xf>
    <xf numFmtId="0" fontId="84" fillId="5" borderId="22" xfId="1" applyNumberFormat="1" applyFont="1" applyFill="1" applyBorder="1" applyAlignment="1" applyProtection="1">
      <alignment horizontal="center" vertical="center" wrapText="1"/>
    </xf>
    <xf numFmtId="49" fontId="84" fillId="0" borderId="18" xfId="1" applyNumberFormat="1" applyFont="1" applyFill="1" applyBorder="1" applyAlignment="1" applyProtection="1">
      <alignment horizontal="center" vertical="center" wrapText="1"/>
      <protection locked="0"/>
    </xf>
    <xf numFmtId="0" fontId="84" fillId="5" borderId="13" xfId="1" applyNumberFormat="1" applyFont="1" applyFill="1" applyBorder="1" applyAlignment="1" applyProtection="1">
      <alignment horizontal="center" vertical="center" wrapText="1"/>
    </xf>
    <xf numFmtId="49" fontId="84" fillId="0" borderId="24" xfId="1" applyNumberFormat="1" applyFont="1" applyFill="1" applyBorder="1" applyAlignment="1" applyProtection="1">
      <alignment horizontal="center" vertical="center" wrapText="1"/>
      <protection locked="0"/>
    </xf>
    <xf numFmtId="0" fontId="84" fillId="5" borderId="25" xfId="1" applyNumberFormat="1" applyFont="1" applyFill="1" applyBorder="1" applyAlignment="1" applyProtection="1">
      <alignment horizontal="center" vertical="center" wrapText="1"/>
    </xf>
    <xf numFmtId="0" fontId="71" fillId="5" borderId="17" xfId="1" applyFont="1" applyFill="1" applyBorder="1" applyAlignment="1" applyProtection="1">
      <alignment horizontal="center" vertical="center" wrapText="1"/>
    </xf>
    <xf numFmtId="0" fontId="84" fillId="2" borderId="24" xfId="1" applyNumberFormat="1" applyFont="1" applyFill="1" applyBorder="1" applyAlignment="1" applyProtection="1">
      <alignment horizontal="center" vertical="center" wrapText="1"/>
      <protection locked="0"/>
    </xf>
    <xf numFmtId="49" fontId="84" fillId="2" borderId="18" xfId="1" applyNumberFormat="1" applyFont="1" applyFill="1" applyBorder="1" applyAlignment="1" applyProtection="1">
      <alignment horizontal="center" vertical="center" wrapText="1"/>
      <protection locked="0"/>
    </xf>
    <xf numFmtId="49" fontId="84" fillId="2" borderId="24" xfId="1" applyNumberFormat="1" applyFont="1" applyFill="1" applyBorder="1" applyAlignment="1" applyProtection="1">
      <alignment horizontal="center" vertical="center" wrapText="1"/>
      <protection locked="0"/>
    </xf>
    <xf numFmtId="0" fontId="52" fillId="5" borderId="4" xfId="1" applyFont="1" applyFill="1" applyBorder="1" applyAlignment="1" applyProtection="1">
      <alignment horizontal="center" vertical="center" wrapText="1"/>
    </xf>
    <xf numFmtId="49" fontId="84" fillId="0" borderId="32" xfId="1" applyNumberFormat="1" applyFont="1" applyFill="1" applyBorder="1" applyAlignment="1" applyProtection="1">
      <alignment horizontal="center" vertical="center" wrapText="1"/>
      <protection locked="0"/>
    </xf>
    <xf numFmtId="0" fontId="84" fillId="5" borderId="4" xfId="1" applyNumberFormat="1" applyFont="1" applyFill="1" applyBorder="1" applyAlignment="1" applyProtection="1">
      <alignment horizontal="center" vertical="center" wrapText="1"/>
    </xf>
    <xf numFmtId="0" fontId="52" fillId="5" borderId="13" xfId="1" applyFont="1" applyFill="1" applyBorder="1" applyAlignment="1" applyProtection="1">
      <alignment horizontal="center" vertical="center" wrapText="1"/>
    </xf>
    <xf numFmtId="49" fontId="84" fillId="0" borderId="22" xfId="1" applyNumberFormat="1" applyFont="1" applyFill="1" applyBorder="1" applyAlignment="1" applyProtection="1">
      <alignment horizontal="center" vertical="center" wrapText="1"/>
      <protection locked="0"/>
    </xf>
    <xf numFmtId="0" fontId="71" fillId="5" borderId="13" xfId="1" applyFont="1" applyFill="1" applyBorder="1" applyAlignment="1" applyProtection="1">
      <alignment horizontal="center" vertical="center" wrapText="1"/>
    </xf>
    <xf numFmtId="0" fontId="106" fillId="5" borderId="79" xfId="1" applyNumberFormat="1" applyFont="1" applyFill="1" applyBorder="1" applyAlignment="1" applyProtection="1">
      <alignment horizontal="center" vertical="center" wrapText="1"/>
    </xf>
    <xf numFmtId="49" fontId="144" fillId="0" borderId="18" xfId="1" applyNumberFormat="1" applyFont="1" applyFill="1" applyBorder="1" applyAlignment="1" applyProtection="1">
      <alignment horizontal="center" vertical="center" wrapText="1"/>
      <protection locked="0"/>
    </xf>
    <xf numFmtId="0" fontId="52" fillId="5" borderId="5" xfId="1" applyFont="1" applyFill="1" applyBorder="1" applyAlignment="1" applyProtection="1">
      <alignment horizontal="center" vertical="center" wrapText="1"/>
    </xf>
    <xf numFmtId="0" fontId="84" fillId="2" borderId="11" xfId="1" applyNumberFormat="1" applyFont="1" applyFill="1" applyBorder="1" applyAlignment="1" applyProtection="1">
      <alignment horizontal="center" vertical="center" wrapText="1"/>
      <protection locked="0"/>
    </xf>
    <xf numFmtId="49" fontId="84" fillId="2" borderId="9" xfId="1" applyNumberFormat="1" applyFont="1" applyFill="1" applyBorder="1" applyAlignment="1" applyProtection="1">
      <alignment horizontal="center" vertical="center" wrapText="1"/>
      <protection locked="0"/>
    </xf>
    <xf numFmtId="0" fontId="84" fillId="5" borderId="5" xfId="1" applyNumberFormat="1" applyFont="1" applyFill="1" applyBorder="1" applyAlignment="1" applyProtection="1">
      <alignment horizontal="center" vertical="center" wrapText="1"/>
    </xf>
    <xf numFmtId="49" fontId="84" fillId="2" borderId="11" xfId="1" applyNumberFormat="1" applyFont="1" applyFill="1" applyBorder="1" applyAlignment="1" applyProtection="1">
      <alignment horizontal="center" vertical="center" wrapText="1"/>
      <protection locked="0"/>
    </xf>
    <xf numFmtId="0" fontId="71" fillId="5" borderId="5" xfId="1" applyFont="1" applyFill="1" applyBorder="1" applyAlignment="1" applyProtection="1">
      <alignment horizontal="center" vertical="center" wrapText="1"/>
    </xf>
    <xf numFmtId="0" fontId="75" fillId="5" borderId="24" xfId="1" applyFont="1" applyFill="1" applyBorder="1" applyAlignment="1" applyProtection="1">
      <alignment vertical="center" wrapText="1"/>
    </xf>
    <xf numFmtId="0" fontId="71" fillId="0" borderId="4" xfId="1" applyFont="1" applyFill="1" applyBorder="1" applyAlignment="1" applyProtection="1">
      <alignment horizontal="center" vertical="center" wrapText="1"/>
      <protection locked="0"/>
    </xf>
    <xf numFmtId="0" fontId="81" fillId="0" borderId="50" xfId="1" applyNumberFormat="1" applyFont="1" applyFill="1" applyBorder="1" applyAlignment="1" applyProtection="1">
      <alignment horizontal="center" vertical="center" wrapText="1"/>
      <protection locked="0"/>
    </xf>
    <xf numFmtId="0" fontId="71" fillId="5" borderId="51" xfId="1" applyNumberFormat="1" applyFont="1" applyFill="1" applyBorder="1" applyAlignment="1" applyProtection="1">
      <alignment horizontal="center" vertical="center" wrapText="1"/>
    </xf>
    <xf numFmtId="49" fontId="81" fillId="0" borderId="20" xfId="1" applyNumberFormat="1" applyFont="1" applyFill="1" applyBorder="1" applyAlignment="1" applyProtection="1">
      <alignment horizontal="center" vertical="center" wrapText="1"/>
      <protection locked="0"/>
    </xf>
    <xf numFmtId="0" fontId="71" fillId="5" borderId="17" xfId="1" applyNumberFormat="1" applyFont="1" applyFill="1" applyBorder="1" applyAlignment="1" applyProtection="1">
      <alignment horizontal="center" vertical="center" wrapText="1"/>
    </xf>
    <xf numFmtId="49" fontId="81" fillId="0" borderId="50" xfId="1" applyNumberFormat="1" applyFont="1" applyFill="1" applyBorder="1" applyAlignment="1" applyProtection="1">
      <alignment horizontal="center" vertical="center" wrapText="1"/>
      <protection locked="0"/>
    </xf>
    <xf numFmtId="0" fontId="71" fillId="0" borderId="5" xfId="1" applyFont="1" applyFill="1" applyBorder="1" applyAlignment="1" applyProtection="1">
      <alignment horizontal="center" vertical="center" wrapText="1"/>
      <protection locked="0"/>
    </xf>
    <xf numFmtId="49" fontId="71" fillId="0" borderId="50" xfId="1" applyNumberFormat="1" applyFont="1" applyFill="1" applyBorder="1" applyAlignment="1" applyProtection="1">
      <alignment horizontal="center" vertical="center" wrapText="1"/>
      <protection locked="0"/>
    </xf>
    <xf numFmtId="49" fontId="71" fillId="0" borderId="20" xfId="1" applyNumberFormat="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wrapText="1"/>
    </xf>
    <xf numFmtId="0" fontId="247" fillId="5" borderId="53" xfId="1" applyFont="1" applyFill="1" applyBorder="1" applyAlignment="1" applyProtection="1">
      <alignment vertical="center" wrapText="1"/>
    </xf>
    <xf numFmtId="0" fontId="71" fillId="5" borderId="29" xfId="1" applyFont="1" applyFill="1" applyBorder="1" applyAlignment="1" applyProtection="1">
      <alignment horizontal="center" vertical="center" wrapText="1"/>
    </xf>
    <xf numFmtId="0" fontId="84" fillId="2" borderId="1" xfId="1" applyFont="1" applyFill="1" applyBorder="1" applyAlignment="1" applyProtection="1">
      <alignment horizontal="center" vertical="center" wrapText="1"/>
      <protection locked="0"/>
    </xf>
    <xf numFmtId="0" fontId="84" fillId="5" borderId="7" xfId="1" applyNumberFormat="1" applyFont="1" applyFill="1" applyBorder="1" applyAlignment="1" applyProtection="1">
      <alignment horizontal="center" vertical="center" wrapText="1"/>
    </xf>
    <xf numFmtId="0" fontId="84" fillId="2" borderId="42" xfId="1" applyFont="1" applyFill="1" applyBorder="1" applyAlignment="1" applyProtection="1">
      <alignment horizontal="center" vertical="center" wrapText="1"/>
      <protection locked="0"/>
    </xf>
    <xf numFmtId="0" fontId="100" fillId="5" borderId="24" xfId="1" applyFont="1" applyFill="1" applyBorder="1" applyAlignment="1" applyProtection="1">
      <alignment vertical="center" textRotation="255" wrapText="1"/>
    </xf>
    <xf numFmtId="0" fontId="81" fillId="0" borderId="64" xfId="1" applyNumberFormat="1" applyFont="1" applyFill="1" applyBorder="1" applyAlignment="1" applyProtection="1">
      <alignment horizontal="center" vertical="center" wrapText="1"/>
      <protection locked="0"/>
    </xf>
    <xf numFmtId="0" fontId="81" fillId="0" borderId="9" xfId="1" applyNumberFormat="1" applyFont="1" applyFill="1" applyBorder="1" applyAlignment="1" applyProtection="1">
      <alignment horizontal="center" vertical="center" wrapText="1"/>
      <protection locked="0"/>
    </xf>
    <xf numFmtId="0" fontId="81" fillId="0" borderId="11"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protection locked="0"/>
    </xf>
    <xf numFmtId="0" fontId="80" fillId="5" borderId="18" xfId="1" applyFont="1" applyFill="1" applyBorder="1" applyAlignment="1" applyProtection="1">
      <alignment horizontal="center" vertical="center"/>
      <protection locked="0"/>
    </xf>
    <xf numFmtId="0" fontId="80" fillId="5" borderId="2" xfId="1" applyFont="1" applyFill="1" applyBorder="1" applyAlignment="1" applyProtection="1">
      <alignment horizontal="center" vertical="center" wrapText="1"/>
    </xf>
    <xf numFmtId="186" fontId="80" fillId="5" borderId="5" xfId="1" applyNumberFormat="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0" fontId="80" fillId="5" borderId="3" xfId="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80" fillId="0" borderId="0" xfId="1" applyFont="1" applyFill="1" applyAlignment="1" applyProtection="1">
      <alignment horizontal="center" vertical="center"/>
    </xf>
    <xf numFmtId="0" fontId="83" fillId="5" borderId="24" xfId="1" applyFont="1" applyFill="1" applyBorder="1" applyAlignment="1" applyProtection="1">
      <alignment vertical="center" textRotation="255" wrapText="1"/>
    </xf>
    <xf numFmtId="0" fontId="84" fillId="2" borderId="11" xfId="1" applyFont="1" applyFill="1" applyBorder="1" applyAlignment="1" applyProtection="1">
      <alignment horizontal="center" vertical="center" wrapText="1"/>
      <protection locked="0"/>
    </xf>
    <xf numFmtId="0" fontId="84" fillId="2" borderId="9" xfId="1" applyFont="1" applyFill="1" applyBorder="1" applyAlignment="1" applyProtection="1">
      <alignment horizontal="center" vertical="center" wrapText="1"/>
      <protection locked="0"/>
    </xf>
    <xf numFmtId="0" fontId="75" fillId="5" borderId="24" xfId="1" applyFont="1" applyFill="1" applyBorder="1" applyAlignment="1" applyProtection="1">
      <alignment vertical="center" textRotation="255" wrapText="1"/>
    </xf>
    <xf numFmtId="9" fontId="71" fillId="0" borderId="64" xfId="1" applyNumberFormat="1" applyFont="1" applyFill="1" applyBorder="1" applyAlignment="1" applyProtection="1">
      <alignment horizontal="center" vertical="center" wrapText="1"/>
      <protection locked="0"/>
    </xf>
    <xf numFmtId="9" fontId="71" fillId="0" borderId="9" xfId="1" applyNumberFormat="1" applyFont="1" applyFill="1" applyBorder="1" applyAlignment="1" applyProtection="1">
      <alignment horizontal="center" vertical="center" wrapText="1"/>
      <protection locked="0"/>
    </xf>
    <xf numFmtId="9" fontId="71" fillId="0" borderId="11" xfId="1" applyNumberFormat="1" applyFont="1" applyFill="1" applyBorder="1" applyAlignment="1" applyProtection="1">
      <alignment horizontal="center" vertical="center" wrapText="1"/>
      <protection locked="0"/>
    </xf>
    <xf numFmtId="0" fontId="144" fillId="0" borderId="9" xfId="1" applyNumberFormat="1" applyFont="1" applyFill="1" applyBorder="1" applyAlignment="1" applyProtection="1">
      <alignment horizontal="center" vertical="center" wrapText="1"/>
      <protection locked="0"/>
    </xf>
    <xf numFmtId="0" fontId="71" fillId="0" borderId="64" xfId="1" applyNumberFormat="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textRotation="255" wrapText="1"/>
    </xf>
    <xf numFmtId="0" fontId="71" fillId="0" borderId="45" xfId="1" applyFont="1" applyFill="1" applyBorder="1" applyAlignment="1" applyProtection="1">
      <alignment horizontal="center" vertical="center" wrapText="1"/>
      <protection locked="0"/>
    </xf>
    <xf numFmtId="49" fontId="83" fillId="5" borderId="59" xfId="1" applyNumberFormat="1" applyFont="1" applyFill="1" applyBorder="1" applyAlignment="1" applyProtection="1">
      <alignment vertical="center"/>
    </xf>
    <xf numFmtId="49" fontId="83" fillId="5" borderId="30" xfId="1" applyNumberFormat="1" applyFont="1" applyFill="1" applyBorder="1" applyAlignment="1" applyProtection="1">
      <alignment vertical="center"/>
    </xf>
    <xf numFmtId="0" fontId="83" fillId="5" borderId="59" xfId="1" applyNumberFormat="1" applyFont="1" applyFill="1" applyBorder="1" applyAlignment="1" applyProtection="1">
      <alignment horizontal="right" vertical="center" wrapText="1"/>
    </xf>
    <xf numFmtId="0" fontId="83" fillId="5" borderId="57" xfId="1" applyNumberFormat="1" applyFont="1" applyFill="1" applyBorder="1" applyAlignment="1" applyProtection="1">
      <alignment vertical="center" wrapText="1"/>
    </xf>
    <xf numFmtId="0" fontId="108" fillId="3" borderId="30" xfId="1" applyNumberFormat="1" applyFont="1" applyFill="1" applyBorder="1" applyAlignment="1" applyProtection="1">
      <alignment vertical="center" wrapText="1"/>
      <protection locked="0"/>
    </xf>
    <xf numFmtId="0" fontId="108" fillId="5" borderId="30" xfId="1" applyNumberFormat="1" applyFont="1" applyFill="1" applyBorder="1" applyAlignment="1" applyProtection="1">
      <alignment vertical="center" wrapText="1"/>
    </xf>
    <xf numFmtId="0" fontId="108" fillId="3" borderId="59" xfId="1" applyNumberFormat="1" applyFont="1" applyFill="1" applyBorder="1" applyAlignment="1" applyProtection="1">
      <alignment vertical="center" wrapText="1"/>
      <protection locked="0"/>
    </xf>
    <xf numFmtId="0" fontId="108" fillId="5" borderId="57" xfId="1" applyNumberFormat="1" applyFont="1" applyFill="1" applyBorder="1" applyAlignment="1" applyProtection="1">
      <alignment vertical="center" wrapText="1"/>
    </xf>
    <xf numFmtId="187" fontId="84" fillId="5" borderId="16" xfId="1" applyNumberFormat="1" applyFont="1" applyFill="1" applyBorder="1" applyAlignment="1" applyProtection="1">
      <alignment horizontal="center" vertical="center"/>
    </xf>
    <xf numFmtId="181" fontId="84" fillId="5" borderId="0" xfId="1" applyNumberFormat="1" applyFont="1" applyFill="1" applyBorder="1" applyAlignment="1" applyProtection="1">
      <alignment vertical="center" wrapText="1"/>
      <protection locked="0"/>
    </xf>
    <xf numFmtId="0" fontId="84" fillId="5" borderId="0" xfId="1" applyFont="1" applyFill="1" applyAlignment="1" applyProtection="1">
      <alignment horizontal="center" vertical="center"/>
      <protection locked="0"/>
    </xf>
    <xf numFmtId="0" fontId="84" fillId="5" borderId="0" xfId="1" applyFont="1" applyFill="1" applyAlignment="1" applyProtection="1">
      <alignment horizontal="center" vertical="center"/>
    </xf>
    <xf numFmtId="0" fontId="84" fillId="5" borderId="21" xfId="1" applyFont="1" applyFill="1" applyBorder="1" applyAlignment="1" applyProtection="1">
      <alignment vertical="center" textRotation="255" wrapText="1"/>
    </xf>
    <xf numFmtId="49" fontId="83" fillId="5" borderId="60" xfId="1" applyNumberFormat="1" applyFont="1" applyFill="1" applyBorder="1" applyAlignment="1" applyProtection="1">
      <alignment vertical="center"/>
    </xf>
    <xf numFmtId="49" fontId="83" fillId="5" borderId="56" xfId="1" applyNumberFormat="1" applyFont="1" applyFill="1" applyBorder="1" applyAlignment="1" applyProtection="1">
      <alignment vertical="center"/>
    </xf>
    <xf numFmtId="0" fontId="83" fillId="5" borderId="60" xfId="1" applyNumberFormat="1" applyFont="1" applyFill="1" applyBorder="1" applyAlignment="1" applyProtection="1">
      <alignment vertical="center" wrapText="1"/>
    </xf>
    <xf numFmtId="0" fontId="83" fillId="5" borderId="48" xfId="1" applyNumberFormat="1" applyFont="1" applyFill="1" applyBorder="1" applyAlignment="1" applyProtection="1">
      <alignment vertical="center" wrapText="1"/>
    </xf>
    <xf numFmtId="0" fontId="83" fillId="5" borderId="56" xfId="1" applyNumberFormat="1" applyFont="1" applyFill="1" applyBorder="1" applyAlignment="1" applyProtection="1">
      <alignment vertical="center" wrapText="1"/>
    </xf>
    <xf numFmtId="187" fontId="84" fillId="5" borderId="16" xfId="1" applyNumberFormat="1" applyFont="1" applyFill="1" applyBorder="1" applyAlignment="1" applyProtection="1">
      <alignment horizontal="center" vertical="center" wrapText="1"/>
    </xf>
    <xf numFmtId="49" fontId="83" fillId="0" borderId="54" xfId="1" applyNumberFormat="1" applyFont="1" applyFill="1" applyBorder="1" applyAlignment="1" applyProtection="1">
      <alignment vertical="center"/>
      <protection locked="0"/>
    </xf>
    <xf numFmtId="49" fontId="83" fillId="0" borderId="66" xfId="1" applyNumberFormat="1" applyFont="1" applyFill="1" applyBorder="1" applyAlignment="1" applyProtection="1">
      <alignment vertical="center"/>
      <protection locked="0"/>
    </xf>
    <xf numFmtId="0" fontId="83" fillId="5" borderId="61" xfId="1" applyNumberFormat="1" applyFont="1" applyFill="1" applyBorder="1" applyAlignment="1" applyProtection="1">
      <alignment vertical="center" wrapText="1"/>
    </xf>
    <xf numFmtId="187" fontId="84" fillId="5" borderId="46" xfId="1" applyNumberFormat="1" applyFont="1" applyFill="1" applyBorder="1" applyAlignment="1" applyProtection="1">
      <alignment horizontal="center" vertical="center" wrapText="1"/>
    </xf>
    <xf numFmtId="9" fontId="84" fillId="5" borderId="0" xfId="1" applyNumberFormat="1" applyFont="1" applyFill="1" applyAlignment="1" applyProtection="1">
      <alignment horizontal="center" vertical="center"/>
      <protection locked="0"/>
    </xf>
    <xf numFmtId="187" fontId="84" fillId="5" borderId="0" xfId="1" applyNumberFormat="1" applyFont="1" applyFill="1" applyAlignment="1" applyProtection="1">
      <alignment horizontal="center" vertical="center"/>
      <protection locked="0"/>
    </xf>
    <xf numFmtId="181" fontId="84" fillId="5" borderId="0" xfId="1" applyNumberFormat="1" applyFont="1" applyFill="1" applyAlignment="1" applyProtection="1">
      <alignment horizontal="center" vertical="center"/>
      <protection locked="0"/>
    </xf>
    <xf numFmtId="0" fontId="83" fillId="5" borderId="2" xfId="1" applyFont="1" applyFill="1" applyBorder="1" applyAlignment="1" applyProtection="1">
      <alignment horizontal="left" vertical="center"/>
    </xf>
    <xf numFmtId="0" fontId="83" fillId="5" borderId="2" xfId="1" applyFont="1" applyFill="1" applyBorder="1" applyAlignment="1" applyProtection="1">
      <alignment horizontal="center" vertical="center" wrapText="1"/>
    </xf>
    <xf numFmtId="181" fontId="84" fillId="5" borderId="5" xfId="1" applyNumberFormat="1" applyFont="1" applyFill="1" applyBorder="1" applyAlignment="1" applyProtection="1">
      <alignment horizontal="center" vertical="center"/>
    </xf>
    <xf numFmtId="181" fontId="84" fillId="5" borderId="9" xfId="1" applyNumberFormat="1" applyFont="1" applyFill="1" applyBorder="1" applyAlignment="1" applyProtection="1">
      <alignment vertical="center"/>
    </xf>
    <xf numFmtId="0" fontId="83" fillId="5" borderId="9" xfId="1" applyFont="1" applyFill="1" applyBorder="1" applyAlignment="1" applyProtection="1">
      <alignment horizontal="center" vertical="center" wrapText="1"/>
    </xf>
    <xf numFmtId="0" fontId="105" fillId="5" borderId="0" xfId="1" applyFont="1" applyFill="1" applyAlignment="1" applyProtection="1">
      <alignment horizontal="center" vertical="center"/>
      <protection locked="0"/>
    </xf>
    <xf numFmtId="187" fontId="105" fillId="5" borderId="0" xfId="1" applyNumberFormat="1" applyFont="1" applyFill="1" applyAlignment="1" applyProtection="1">
      <alignment horizontal="center" vertical="center"/>
      <protection locked="0"/>
    </xf>
    <xf numFmtId="181" fontId="105" fillId="5" borderId="0" xfId="1" applyNumberFormat="1" applyFont="1" applyFill="1" applyAlignment="1" applyProtection="1">
      <alignment horizontal="center" vertical="center"/>
      <protection locked="0"/>
    </xf>
    <xf numFmtId="0" fontId="105" fillId="0" borderId="0" xfId="1" applyFont="1" applyFill="1" applyAlignment="1" applyProtection="1">
      <alignment horizontal="center" vertical="center"/>
    </xf>
    <xf numFmtId="14" fontId="84" fillId="5" borderId="0" xfId="1" applyNumberFormat="1" applyFont="1" applyFill="1" applyAlignment="1" applyProtection="1">
      <alignment horizontal="center" vertical="center"/>
      <protection locked="0"/>
    </xf>
    <xf numFmtId="176" fontId="84" fillId="5" borderId="0" xfId="1" applyNumberFormat="1" applyFont="1" applyFill="1" applyAlignment="1" applyProtection="1">
      <alignment horizontal="center" vertical="center"/>
      <protection locked="0"/>
    </xf>
    <xf numFmtId="0" fontId="110" fillId="5" borderId="0" xfId="1" applyFont="1" applyFill="1" applyBorder="1" applyAlignment="1" applyProtection="1"/>
    <xf numFmtId="0" fontId="84" fillId="5" borderId="0" xfId="1" applyFont="1" applyFill="1" applyBorder="1" applyAlignment="1" applyProtection="1"/>
    <xf numFmtId="0" fontId="84" fillId="5" borderId="0" xfId="1" applyFont="1" applyFill="1" applyBorder="1" applyAlignment="1" applyProtection="1">
      <alignment horizontal="center"/>
    </xf>
    <xf numFmtId="187" fontId="84" fillId="5" borderId="0" xfId="1" applyNumberFormat="1" applyFont="1" applyFill="1" applyBorder="1" applyAlignment="1" applyProtection="1">
      <alignment horizontal="center"/>
    </xf>
    <xf numFmtId="181" fontId="84" fillId="5" borderId="0" xfId="1" applyNumberFormat="1" applyFont="1" applyFill="1" applyBorder="1" applyAlignment="1" applyProtection="1"/>
    <xf numFmtId="0" fontId="84" fillId="5" borderId="0" xfId="1" applyFont="1" applyFill="1" applyBorder="1" applyAlignment="1" applyProtection="1">
      <protection locked="0"/>
    </xf>
    <xf numFmtId="9" fontId="71" fillId="5" borderId="0" xfId="1" applyNumberFormat="1" applyFont="1" applyFill="1" applyBorder="1" applyAlignment="1" applyProtection="1">
      <alignment horizontal="center" vertical="center" wrapText="1"/>
      <protection locked="0"/>
    </xf>
    <xf numFmtId="0" fontId="75" fillId="5" borderId="26" xfId="1" applyNumberFormat="1" applyFont="1" applyFill="1" applyBorder="1" applyAlignment="1" applyProtection="1">
      <alignment vertical="center" wrapText="1"/>
    </xf>
    <xf numFmtId="0" fontId="75" fillId="5" borderId="58" xfId="1" applyNumberFormat="1" applyFont="1" applyFill="1" applyBorder="1" applyAlignment="1" applyProtection="1">
      <alignment vertical="center" wrapText="1"/>
    </xf>
    <xf numFmtId="188" fontId="71" fillId="5" borderId="6" xfId="1" applyNumberFormat="1" applyFont="1" applyFill="1" applyBorder="1" applyAlignment="1" applyProtection="1">
      <alignment horizontal="center" vertical="center" wrapText="1"/>
    </xf>
    <xf numFmtId="49" fontId="71" fillId="5" borderId="0" xfId="1" applyNumberFormat="1" applyFont="1" applyFill="1" applyBorder="1" applyAlignment="1" applyProtection="1">
      <alignment horizontal="center" vertical="center"/>
      <protection locked="0"/>
    </xf>
    <xf numFmtId="49" fontId="71" fillId="5" borderId="0" xfId="1" applyNumberFormat="1" applyFont="1" applyFill="1" applyAlignment="1" applyProtection="1">
      <alignment horizontal="center" vertical="center"/>
      <protection locked="0"/>
    </xf>
    <xf numFmtId="49" fontId="71" fillId="0" borderId="0" xfId="1" applyNumberFormat="1" applyFont="1" applyFill="1" applyAlignment="1" applyProtection="1">
      <alignment horizontal="center" vertical="center"/>
    </xf>
    <xf numFmtId="0" fontId="75" fillId="5" borderId="31" xfId="1" applyNumberFormat="1" applyFont="1" applyFill="1" applyBorder="1" applyAlignment="1" applyProtection="1">
      <alignment vertical="center" wrapText="1"/>
    </xf>
    <xf numFmtId="0" fontId="75" fillId="5" borderId="18" xfId="1" applyNumberFormat="1" applyFont="1" applyFill="1" applyBorder="1" applyAlignment="1" applyProtection="1">
      <alignment vertical="center" wrapText="1"/>
    </xf>
    <xf numFmtId="0" fontId="71" fillId="5" borderId="32" xfId="1" applyNumberFormat="1" applyFont="1" applyFill="1" applyBorder="1" applyAlignment="1" applyProtection="1">
      <alignment horizontal="center" vertical="center" wrapText="1"/>
    </xf>
    <xf numFmtId="0" fontId="71" fillId="0" borderId="10" xfId="1" applyNumberFormat="1" applyFont="1" applyFill="1" applyBorder="1" applyAlignment="1" applyProtection="1">
      <alignment horizontal="center" vertical="center" wrapText="1"/>
      <protection locked="0"/>
    </xf>
    <xf numFmtId="0" fontId="71" fillId="5" borderId="0" xfId="1" applyFont="1" applyFill="1" applyAlignment="1" applyProtection="1">
      <alignment horizontal="center" vertical="center"/>
      <protection locked="0"/>
    </xf>
    <xf numFmtId="0" fontId="75" fillId="5" borderId="54" xfId="1" applyNumberFormat="1" applyFont="1" applyFill="1" applyBorder="1" applyAlignment="1" applyProtection="1">
      <alignment vertical="center"/>
    </xf>
    <xf numFmtId="0" fontId="75" fillId="5" borderId="67" xfId="1" applyNumberFormat="1" applyFont="1" applyFill="1" applyBorder="1" applyAlignment="1" applyProtection="1">
      <alignment vertical="center" wrapText="1"/>
    </xf>
    <xf numFmtId="0" fontId="71" fillId="0" borderId="67" xfId="1" applyNumberFormat="1" applyFont="1" applyFill="1" applyBorder="1" applyAlignment="1" applyProtection="1">
      <alignment horizontal="center" vertical="center" wrapText="1"/>
      <protection locked="0"/>
    </xf>
    <xf numFmtId="0" fontId="71" fillId="0" borderId="55" xfId="1" applyNumberFormat="1" applyFont="1" applyFill="1" applyBorder="1" applyAlignment="1" applyProtection="1">
      <alignment horizontal="center" vertical="center" wrapText="1"/>
      <protection locked="0"/>
    </xf>
    <xf numFmtId="0" fontId="71" fillId="0" borderId="68" xfId="1" applyNumberFormat="1" applyFont="1" applyFill="1" applyBorder="1" applyAlignment="1" applyProtection="1">
      <alignment horizontal="center" vertical="center" wrapText="1"/>
      <protection locked="0"/>
    </xf>
    <xf numFmtId="0" fontId="71" fillId="0" borderId="69" xfId="1" applyNumberFormat="1" applyFont="1" applyFill="1" applyBorder="1" applyAlignment="1" applyProtection="1">
      <alignment horizontal="center" vertical="center" wrapText="1"/>
      <protection locked="0"/>
    </xf>
    <xf numFmtId="0" fontId="75" fillId="5" borderId="13" xfId="1" applyNumberFormat="1" applyFont="1" applyFill="1" applyBorder="1" applyAlignment="1" applyProtection="1">
      <alignment vertical="center" wrapText="1"/>
    </xf>
    <xf numFmtId="0" fontId="71" fillId="5" borderId="20" xfId="1" applyNumberFormat="1" applyFont="1" applyFill="1" applyBorder="1" applyAlignment="1" applyProtection="1">
      <alignment horizontal="center" vertical="center" wrapText="1"/>
    </xf>
    <xf numFmtId="0" fontId="71" fillId="0" borderId="21" xfId="1" applyNumberFormat="1" applyFont="1" applyFill="1" applyBorder="1" applyAlignment="1" applyProtection="1">
      <alignment horizontal="center" vertical="center" wrapText="1"/>
      <protection locked="0"/>
    </xf>
    <xf numFmtId="0" fontId="71" fillId="0" borderId="21" xfId="1" applyNumberFormat="1" applyFont="1" applyFill="1" applyBorder="1" applyAlignment="1" applyProtection="1">
      <alignment horizontal="left" vertical="center" wrapText="1"/>
      <protection locked="0"/>
    </xf>
    <xf numFmtId="0" fontId="71" fillId="0" borderId="51" xfId="1" applyNumberFormat="1" applyFont="1" applyFill="1" applyBorder="1" applyAlignment="1" applyProtection="1">
      <alignment horizontal="center" vertical="center" wrapText="1"/>
      <protection locked="0"/>
    </xf>
    <xf numFmtId="0" fontId="71" fillId="5" borderId="0" xfId="1" applyNumberFormat="1" applyFont="1" applyFill="1" applyBorder="1" applyAlignment="1" applyProtection="1">
      <alignment horizontal="center" vertical="center" wrapText="1"/>
      <protection locked="0"/>
    </xf>
    <xf numFmtId="0" fontId="149" fillId="5" borderId="0" xfId="1" applyFont="1" applyFill="1" applyBorder="1" applyAlignment="1" applyProtection="1">
      <alignment vertical="center"/>
      <protection locked="0"/>
    </xf>
    <xf numFmtId="0" fontId="71" fillId="0" borderId="32" xfId="1" applyNumberFormat="1" applyFont="1" applyFill="1" applyBorder="1" applyAlignment="1" applyProtection="1">
      <alignment horizontal="center" vertical="center" wrapText="1"/>
      <protection locked="0"/>
    </xf>
    <xf numFmtId="0" fontId="71" fillId="0" borderId="25" xfId="1" applyNumberFormat="1" applyFont="1" applyFill="1" applyBorder="1" applyAlignment="1" applyProtection="1">
      <alignment horizontal="center" vertical="center" wrapText="1"/>
      <protection locked="0"/>
    </xf>
    <xf numFmtId="0" fontId="83" fillId="5" borderId="53" xfId="1" applyNumberFormat="1" applyFont="1" applyFill="1" applyBorder="1" applyAlignment="1" applyProtection="1">
      <alignment vertical="center" wrapText="1"/>
    </xf>
    <xf numFmtId="0" fontId="71" fillId="5" borderId="27" xfId="1" applyNumberFormat="1" applyFont="1" applyFill="1" applyBorder="1" applyAlignment="1" applyProtection="1">
      <alignment horizontal="center" vertical="center" wrapText="1"/>
    </xf>
    <xf numFmtId="0" fontId="84" fillId="5" borderId="6" xfId="1" applyNumberFormat="1" applyFont="1" applyFill="1" applyBorder="1" applyAlignment="1" applyProtection="1">
      <alignment horizontal="center" vertical="center" wrapText="1"/>
    </xf>
    <xf numFmtId="0" fontId="84"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left" vertical="center" wrapText="1"/>
      <protection locked="0"/>
    </xf>
    <xf numFmtId="0" fontId="105" fillId="0" borderId="7" xfId="1" applyNumberFormat="1" applyFont="1" applyFill="1" applyBorder="1" applyAlignment="1" applyProtection="1">
      <alignment horizontal="center" vertical="center" wrapText="1"/>
      <protection locked="0"/>
    </xf>
    <xf numFmtId="0" fontId="105"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wrapText="1"/>
    </xf>
    <xf numFmtId="0" fontId="80" fillId="5" borderId="70" xfId="1" applyNumberFormat="1" applyFont="1" applyFill="1" applyBorder="1" applyAlignment="1" applyProtection="1">
      <alignment horizontal="center" vertical="center" wrapText="1"/>
    </xf>
    <xf numFmtId="0" fontId="84" fillId="0" borderId="71"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xf>
    <xf numFmtId="0" fontId="84" fillId="0" borderId="72" xfId="1" applyNumberFormat="1" applyFont="1" applyFill="1" applyBorder="1" applyAlignment="1" applyProtection="1">
      <alignment horizontal="center" vertical="center" wrapText="1"/>
    </xf>
    <xf numFmtId="0" fontId="84" fillId="5" borderId="0" xfId="1" applyNumberFormat="1" applyFont="1" applyFill="1" applyBorder="1" applyAlignment="1" applyProtection="1">
      <alignment horizontal="center" vertical="center" wrapText="1"/>
      <protection locked="0"/>
    </xf>
    <xf numFmtId="0" fontId="71" fillId="5" borderId="73" xfId="1" applyNumberFormat="1" applyFont="1" applyFill="1" applyBorder="1" applyAlignment="1" applyProtection="1">
      <alignment horizontal="center" vertical="center" wrapText="1"/>
    </xf>
    <xf numFmtId="0" fontId="84"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left" vertical="center" wrapText="1"/>
    </xf>
    <xf numFmtId="0" fontId="105" fillId="5" borderId="75" xfId="1" applyNumberFormat="1" applyFont="1" applyFill="1" applyBorder="1" applyAlignment="1" applyProtection="1">
      <alignment horizontal="center" vertical="center" wrapText="1"/>
    </xf>
    <xf numFmtId="0" fontId="71" fillId="5" borderId="70" xfId="1" applyNumberFormat="1" applyFont="1" applyFill="1" applyBorder="1" applyAlignment="1" applyProtection="1">
      <alignment horizontal="center" vertical="center" wrapText="1"/>
    </xf>
    <xf numFmtId="0" fontId="84" fillId="5" borderId="71" xfId="1" applyNumberFormat="1" applyFont="1" applyFill="1" applyBorder="1" applyAlignment="1" applyProtection="1">
      <alignment horizontal="center" vertical="center" wrapText="1"/>
    </xf>
    <xf numFmtId="0" fontId="84" fillId="5" borderId="72" xfId="1" applyNumberFormat="1" applyFont="1" applyFill="1" applyBorder="1" applyAlignment="1" applyProtection="1">
      <alignment horizontal="center" vertical="center" wrapText="1"/>
    </xf>
    <xf numFmtId="0" fontId="71" fillId="5" borderId="3" xfId="1" applyNumberFormat="1" applyFont="1" applyFill="1" applyBorder="1" applyAlignment="1" applyProtection="1">
      <alignment horizontal="center" vertical="center" wrapText="1"/>
    </xf>
    <xf numFmtId="0" fontId="84" fillId="5" borderId="21" xfId="1" applyNumberFormat="1" applyFont="1" applyFill="1" applyBorder="1" applyAlignment="1" applyProtection="1">
      <alignment horizontal="center" vertical="center" wrapText="1"/>
    </xf>
    <xf numFmtId="0" fontId="80" fillId="5" borderId="3" xfId="1" applyNumberFormat="1" applyFont="1" applyFill="1" applyBorder="1" applyAlignment="1" applyProtection="1">
      <alignment horizontal="center" vertical="center" wrapText="1"/>
    </xf>
    <xf numFmtId="0" fontId="84"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left" vertical="center" wrapText="1"/>
      <protection locked="0"/>
    </xf>
    <xf numFmtId="0" fontId="105" fillId="0" borderId="12"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left" vertical="center" wrapText="1"/>
      <protection locked="0"/>
    </xf>
    <xf numFmtId="0" fontId="80" fillId="0" borderId="75" xfId="1" applyNumberFormat="1" applyFont="1" applyFill="1" applyBorder="1" applyAlignment="1" applyProtection="1">
      <alignment horizontal="center" vertical="center" wrapText="1"/>
      <protection locked="0"/>
    </xf>
    <xf numFmtId="0" fontId="80" fillId="5" borderId="0"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wrapText="1"/>
      <protection locked="0"/>
    </xf>
    <xf numFmtId="0" fontId="80" fillId="5" borderId="0" xfId="1" applyFont="1" applyFill="1" applyAlignment="1" applyProtection="1">
      <alignment horizontal="center" vertical="center"/>
      <protection locked="0"/>
    </xf>
    <xf numFmtId="0" fontId="71" fillId="0" borderId="71" xfId="1" applyNumberFormat="1" applyFont="1" applyFill="1" applyBorder="1" applyAlignment="1" applyProtection="1">
      <alignment horizontal="center" vertical="center" wrapText="1"/>
      <protection locked="0"/>
    </xf>
    <xf numFmtId="0" fontId="84" fillId="0" borderId="72" xfId="1" applyNumberFormat="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protection locked="0"/>
    </xf>
    <xf numFmtId="0" fontId="80" fillId="0" borderId="71" xfId="1" applyNumberFormat="1" applyFont="1" applyFill="1" applyBorder="1" applyAlignment="1" applyProtection="1">
      <alignment horizontal="center" vertical="center" wrapText="1"/>
      <protection locked="0"/>
    </xf>
    <xf numFmtId="0" fontId="80" fillId="0" borderId="72"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left" vertical="center" wrapText="1"/>
      <protection locked="0"/>
    </xf>
    <xf numFmtId="0" fontId="80" fillId="0" borderId="51"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vertical="center" wrapText="1"/>
      <protection locked="0"/>
    </xf>
    <xf numFmtId="0" fontId="100" fillId="5" borderId="23" xfId="1" applyNumberFormat="1" applyFont="1" applyFill="1" applyBorder="1" applyAlignment="1" applyProtection="1">
      <alignment vertical="center" wrapText="1"/>
    </xf>
    <xf numFmtId="0" fontId="71" fillId="5" borderId="55" xfId="1" applyNumberFormat="1" applyFont="1" applyFill="1" applyBorder="1" applyAlignment="1" applyProtection="1">
      <alignment horizontal="center" vertical="center" wrapText="1"/>
    </xf>
    <xf numFmtId="0" fontId="71" fillId="0" borderId="44" xfId="1" applyNumberFormat="1" applyFont="1" applyFill="1" applyBorder="1" applyAlignment="1" applyProtection="1">
      <alignment horizontal="center" vertical="center" wrapText="1"/>
      <protection locked="0"/>
    </xf>
    <xf numFmtId="0" fontId="80" fillId="0" borderId="44" xfId="1" applyNumberFormat="1" applyFont="1" applyFill="1" applyBorder="1" applyAlignment="1" applyProtection="1">
      <alignment horizontal="center" vertical="center" wrapText="1"/>
      <protection locked="0"/>
    </xf>
    <xf numFmtId="0" fontId="80" fillId="0" borderId="46" xfId="1" applyNumberFormat="1" applyFont="1" applyFill="1" applyBorder="1" applyAlignment="1" applyProtection="1">
      <alignment horizontal="center" vertical="center" wrapText="1"/>
      <protection locked="0"/>
    </xf>
    <xf numFmtId="0" fontId="71"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left" vertical="center" wrapText="1"/>
    </xf>
    <xf numFmtId="0" fontId="105" fillId="5" borderId="7" xfId="1" applyNumberFormat="1" applyFont="1" applyFill="1" applyBorder="1" applyAlignment="1" applyProtection="1">
      <alignment horizontal="center" vertical="center" wrapText="1"/>
    </xf>
    <xf numFmtId="0" fontId="71" fillId="5" borderId="0" xfId="1" applyFont="1" applyFill="1" applyBorder="1" applyAlignment="1" applyProtection="1">
      <alignment vertical="center" wrapText="1"/>
      <protection locked="0"/>
    </xf>
    <xf numFmtId="0" fontId="71" fillId="5" borderId="74" xfId="1" applyNumberFormat="1" applyFont="1" applyFill="1" applyBorder="1" applyAlignment="1" applyProtection="1">
      <alignment horizontal="center" vertical="center" wrapText="1"/>
    </xf>
    <xf numFmtId="0" fontId="52" fillId="5" borderId="73" xfId="1" applyNumberFormat="1" applyFont="1" applyFill="1" applyBorder="1" applyAlignment="1" applyProtection="1">
      <alignment horizontal="center" vertical="center" wrapText="1"/>
    </xf>
    <xf numFmtId="0" fontId="52" fillId="5" borderId="3" xfId="1" applyNumberFormat="1" applyFont="1" applyFill="1" applyBorder="1" applyAlignment="1" applyProtection="1">
      <alignment horizontal="center" vertical="center" wrapText="1"/>
    </xf>
    <xf numFmtId="0" fontId="58" fillId="5" borderId="3" xfId="1" applyNumberFormat="1" applyFont="1" applyFill="1" applyBorder="1" applyAlignment="1" applyProtection="1">
      <alignment horizontal="center" vertical="center" wrapText="1"/>
    </xf>
    <xf numFmtId="0" fontId="84" fillId="5" borderId="75" xfId="1" applyNumberFormat="1" applyFont="1" applyFill="1" applyBorder="1" applyAlignment="1" applyProtection="1">
      <alignment horizontal="center" vertical="center" wrapText="1"/>
    </xf>
    <xf numFmtId="0" fontId="84" fillId="5" borderId="3" xfId="1" applyNumberFormat="1" applyFont="1" applyFill="1" applyBorder="1" applyAlignment="1" applyProtection="1">
      <alignment horizontal="center" vertical="center" wrapText="1"/>
    </xf>
    <xf numFmtId="0" fontId="75"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left" vertical="center" wrapText="1"/>
      <protection locked="0"/>
    </xf>
    <xf numFmtId="0" fontId="71" fillId="0" borderId="75" xfId="1" applyNumberFormat="1" applyFont="1" applyFill="1" applyBorder="1" applyAlignment="1" applyProtection="1">
      <alignment horizontal="center" vertical="center" wrapText="1"/>
      <protection locked="0"/>
    </xf>
    <xf numFmtId="0" fontId="71" fillId="5" borderId="71" xfId="1" applyNumberFormat="1" applyFont="1" applyFill="1" applyBorder="1" applyAlignment="1" applyProtection="1">
      <alignment horizontal="center" vertical="center" wrapText="1"/>
    </xf>
    <xf numFmtId="0" fontId="71" fillId="0" borderId="78" xfId="1" applyNumberFormat="1" applyFont="1" applyFill="1" applyBorder="1" applyAlignment="1" applyProtection="1">
      <alignment horizontal="center" vertical="center"/>
      <protection locked="0"/>
    </xf>
    <xf numFmtId="0" fontId="81" fillId="0" borderId="74" xfId="1" applyNumberFormat="1" applyFont="1" applyFill="1" applyBorder="1" applyAlignment="1" applyProtection="1">
      <alignment horizontal="center" vertical="center" wrapText="1"/>
      <protection locked="0"/>
    </xf>
    <xf numFmtId="0" fontId="84"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left" vertical="center" wrapText="1"/>
      <protection locked="0"/>
    </xf>
    <xf numFmtId="0" fontId="105" fillId="0" borderId="75" xfId="1" applyNumberFormat="1" applyFont="1" applyFill="1" applyBorder="1" applyAlignment="1" applyProtection="1">
      <alignment horizontal="center" vertical="center" wrapText="1"/>
      <protection locked="0"/>
    </xf>
    <xf numFmtId="0" fontId="84"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left" vertical="center" wrapText="1"/>
      <protection locked="0"/>
    </xf>
    <xf numFmtId="0" fontId="105" fillId="0" borderId="51" xfId="1" applyNumberFormat="1" applyFont="1" applyFill="1" applyBorder="1" applyAlignment="1" applyProtection="1">
      <alignment horizontal="center" vertical="center" wrapText="1"/>
      <protection locked="0"/>
    </xf>
    <xf numFmtId="0" fontId="83" fillId="5" borderId="23" xfId="1" applyNumberFormat="1" applyFont="1" applyFill="1" applyBorder="1" applyAlignment="1" applyProtection="1">
      <alignment vertical="center" wrapText="1"/>
    </xf>
    <xf numFmtId="0" fontId="84" fillId="0" borderId="44" xfId="1" applyNumberFormat="1" applyFont="1" applyFill="1" applyBorder="1" applyAlignment="1" applyProtection="1">
      <alignment horizontal="center" vertical="center" wrapText="1"/>
      <protection locked="0"/>
    </xf>
    <xf numFmtId="0" fontId="84" fillId="0" borderId="46" xfId="1" applyNumberFormat="1" applyFont="1" applyFill="1" applyBorder="1" applyAlignment="1" applyProtection="1">
      <alignment horizontal="center" vertical="center" wrapText="1"/>
      <protection locked="0"/>
    </xf>
    <xf numFmtId="0" fontId="144" fillId="0" borderId="6"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textRotation="255" wrapText="1"/>
    </xf>
    <xf numFmtId="0" fontId="71" fillId="5" borderId="13" xfId="1" applyNumberFormat="1" applyFont="1" applyFill="1" applyBorder="1" applyAlignment="1" applyProtection="1">
      <alignment horizontal="center" vertical="center"/>
    </xf>
    <xf numFmtId="0" fontId="81" fillId="0" borderId="2"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left" vertical="center" wrapText="1"/>
      <protection locked="0"/>
    </xf>
    <xf numFmtId="0" fontId="80" fillId="0" borderId="12" xfId="1" applyNumberFormat="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textRotation="255" wrapText="1"/>
    </xf>
    <xf numFmtId="0" fontId="144" fillId="0" borderId="74" xfId="1" applyNumberFormat="1" applyFont="1" applyFill="1" applyBorder="1" applyAlignment="1" applyProtection="1">
      <alignment horizontal="center" vertical="center" wrapText="1"/>
      <protection locked="0"/>
    </xf>
    <xf numFmtId="0" fontId="80" fillId="5" borderId="74"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left" vertical="center" wrapText="1"/>
    </xf>
    <xf numFmtId="0" fontId="80" fillId="5" borderId="75" xfId="1" applyNumberFormat="1" applyFont="1" applyFill="1" applyBorder="1" applyAlignment="1" applyProtection="1">
      <alignment horizontal="center" vertical="center" wrapText="1"/>
    </xf>
    <xf numFmtId="0" fontId="71"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left" vertical="center" wrapText="1"/>
    </xf>
    <xf numFmtId="0" fontId="80" fillId="5" borderId="12" xfId="1" applyNumberFormat="1" applyFont="1" applyFill="1" applyBorder="1" applyAlignment="1" applyProtection="1">
      <alignment horizontal="center" vertical="center" wrapText="1"/>
    </xf>
    <xf numFmtId="0" fontId="80" fillId="5" borderId="71" xfId="1" applyNumberFormat="1" applyFont="1" applyFill="1" applyBorder="1" applyAlignment="1" applyProtection="1">
      <alignment horizontal="center" vertical="center" wrapText="1"/>
    </xf>
    <xf numFmtId="0" fontId="80" fillId="5" borderId="72" xfId="1" applyNumberFormat="1" applyFont="1" applyFill="1" applyBorder="1" applyAlignment="1" applyProtection="1">
      <alignment horizontal="center" vertical="center" wrapText="1"/>
    </xf>
    <xf numFmtId="0" fontId="84" fillId="0" borderId="0" xfId="1" applyFont="1" applyFill="1" applyAlignment="1" applyProtection="1">
      <alignment horizontal="center" vertical="center"/>
      <protection locked="0"/>
    </xf>
    <xf numFmtId="187" fontId="84" fillId="0" borderId="0" xfId="1" applyNumberFormat="1" applyFont="1" applyFill="1" applyAlignment="1" applyProtection="1">
      <alignment horizontal="center" vertical="center"/>
      <protection locked="0"/>
    </xf>
    <xf numFmtId="181" fontId="84" fillId="0" borderId="0" xfId="1" applyNumberFormat="1" applyFont="1" applyFill="1" applyAlignment="1" applyProtection="1">
      <alignment horizontal="center" vertical="center"/>
      <protection locked="0"/>
    </xf>
    <xf numFmtId="0" fontId="183" fillId="0" borderId="0" xfId="1" applyFont="1" applyFill="1" applyAlignment="1" applyProtection="1">
      <alignment horizontal="left" vertical="center"/>
      <protection locked="0"/>
    </xf>
    <xf numFmtId="0" fontId="58" fillId="0" borderId="0" xfId="1" applyFont="1" applyFill="1" applyAlignment="1" applyProtection="1">
      <alignment horizontal="center" vertical="center"/>
      <protection locked="0"/>
    </xf>
    <xf numFmtId="187" fontId="58" fillId="0" borderId="0" xfId="1" applyNumberFormat="1" applyFont="1" applyFill="1" applyAlignment="1" applyProtection="1">
      <alignment horizontal="center" vertical="center"/>
      <protection locked="0"/>
    </xf>
    <xf numFmtId="0" fontId="160" fillId="5" borderId="26" xfId="1" applyFont="1" applyFill="1" applyBorder="1" applyAlignment="1" applyProtection="1">
      <alignment horizontal="center" vertical="center"/>
    </xf>
    <xf numFmtId="0" fontId="140" fillId="5" borderId="28" xfId="1" applyFont="1" applyFill="1" applyBorder="1" applyAlignment="1" applyProtection="1">
      <alignment horizontal="center" vertical="center"/>
    </xf>
    <xf numFmtId="0" fontId="58" fillId="5" borderId="28" xfId="1" applyFont="1" applyFill="1" applyBorder="1" applyAlignment="1" applyProtection="1">
      <alignment horizontal="center" vertical="center"/>
    </xf>
    <xf numFmtId="0" fontId="58" fillId="5" borderId="39" xfId="1" applyFont="1" applyFill="1" applyBorder="1" applyAlignment="1" applyProtection="1">
      <alignment horizontal="center" vertical="center"/>
    </xf>
    <xf numFmtId="0" fontId="160" fillId="5" borderId="28" xfId="1" applyFont="1" applyFill="1" applyBorder="1" applyAlignment="1" applyProtection="1">
      <alignment horizontal="center" vertical="center"/>
    </xf>
    <xf numFmtId="0" fontId="140" fillId="5" borderId="39" xfId="1" applyFont="1" applyFill="1" applyBorder="1" applyAlignment="1" applyProtection="1">
      <alignment horizontal="center" vertical="center"/>
    </xf>
    <xf numFmtId="0" fontId="140" fillId="5" borderId="87" xfId="1" applyFont="1" applyFill="1" applyBorder="1" applyProtection="1">
      <alignment vertical="center"/>
    </xf>
    <xf numFmtId="0" fontId="160" fillId="5" borderId="2" xfId="1" applyFont="1" applyFill="1" applyBorder="1" applyAlignment="1" applyProtection="1">
      <alignment horizontal="center" vertical="center"/>
    </xf>
    <xf numFmtId="0" fontId="160" fillId="5" borderId="5" xfId="1" applyFont="1" applyFill="1" applyBorder="1" applyAlignment="1" applyProtection="1">
      <alignment horizontal="center" vertical="center"/>
    </xf>
    <xf numFmtId="0" fontId="160" fillId="5" borderId="94" xfId="1" applyFont="1" applyFill="1" applyBorder="1" applyAlignment="1" applyProtection="1">
      <alignment horizontal="center" vertical="center"/>
    </xf>
    <xf numFmtId="0" fontId="160" fillId="5" borderId="12" xfId="1" applyFont="1" applyFill="1" applyBorder="1" applyAlignment="1" applyProtection="1">
      <alignment horizontal="center" vertical="center"/>
    </xf>
    <xf numFmtId="0" fontId="140" fillId="5" borderId="19" xfId="1" applyFont="1" applyFill="1" applyBorder="1" applyAlignment="1" applyProtection="1">
      <alignment horizontal="center" vertical="center"/>
    </xf>
    <xf numFmtId="0" fontId="106" fillId="5" borderId="50" xfId="1" applyFont="1" applyFill="1" applyBorder="1" applyAlignment="1" applyProtection="1">
      <alignment horizontal="center" vertical="center"/>
    </xf>
    <xf numFmtId="0" fontId="106" fillId="0" borderId="21" xfId="1" applyFont="1" applyBorder="1" applyAlignment="1" applyProtection="1">
      <alignment horizontal="center" vertical="center"/>
      <protection locked="0"/>
    </xf>
    <xf numFmtId="0" fontId="160" fillId="0" borderId="21" xfId="1" applyFont="1" applyBorder="1" applyAlignment="1" applyProtection="1">
      <alignment horizontal="center" vertical="center"/>
      <protection locked="0"/>
    </xf>
    <xf numFmtId="0" fontId="106" fillId="0" borderId="17" xfId="1" applyFont="1" applyBorder="1" applyAlignment="1" applyProtection="1">
      <alignment horizontal="center" vertical="center"/>
      <protection locked="0"/>
    </xf>
    <xf numFmtId="0" fontId="106" fillId="0" borderId="93" xfId="1" applyFont="1" applyFill="1" applyBorder="1" applyAlignment="1" applyProtection="1">
      <alignment horizontal="center" vertical="center"/>
      <protection locked="0"/>
    </xf>
    <xf numFmtId="0" fontId="106" fillId="0" borderId="51" xfId="1" applyFont="1" applyBorder="1" applyAlignment="1" applyProtection="1">
      <alignment horizontal="center" vertical="center"/>
      <protection locked="0"/>
    </xf>
    <xf numFmtId="0" fontId="160" fillId="5" borderId="20" xfId="1" applyFont="1" applyFill="1" applyBorder="1" applyAlignment="1" applyProtection="1">
      <alignment horizontal="center" vertical="center"/>
    </xf>
    <xf numFmtId="185" fontId="106" fillId="5" borderId="51" xfId="1" applyNumberFormat="1" applyFont="1" applyFill="1" applyBorder="1" applyAlignment="1" applyProtection="1">
      <alignment horizontal="center" vertical="center"/>
    </xf>
    <xf numFmtId="0" fontId="106" fillId="5" borderId="11" xfId="1" applyFont="1" applyFill="1" applyBorder="1" applyAlignment="1" applyProtection="1">
      <alignment horizontal="center" vertical="center"/>
    </xf>
    <xf numFmtId="0" fontId="106" fillId="0" borderId="2" xfId="1" applyFont="1" applyBorder="1" applyAlignment="1" applyProtection="1">
      <alignment horizontal="center" vertical="center"/>
      <protection locked="0"/>
    </xf>
    <xf numFmtId="0" fontId="140" fillId="0" borderId="2" xfId="1" applyFont="1" applyBorder="1" applyAlignment="1" applyProtection="1">
      <alignment horizontal="center" vertical="center"/>
      <protection locked="0"/>
    </xf>
    <xf numFmtId="0" fontId="106" fillId="0" borderId="5" xfId="1" applyFont="1" applyBorder="1" applyAlignment="1" applyProtection="1">
      <alignment horizontal="center" vertical="center"/>
      <protection locked="0"/>
    </xf>
    <xf numFmtId="0" fontId="106" fillId="0" borderId="94" xfId="1" applyFont="1" applyFill="1" applyBorder="1" applyAlignment="1" applyProtection="1">
      <alignment horizontal="center" vertical="center"/>
      <protection locked="0"/>
    </xf>
    <xf numFmtId="0" fontId="106" fillId="0" borderId="12" xfId="1" applyFont="1" applyBorder="1" applyAlignment="1" applyProtection="1">
      <alignment horizontal="center" vertical="center"/>
      <protection locked="0"/>
    </xf>
    <xf numFmtId="0" fontId="160" fillId="5" borderId="9" xfId="1" applyFont="1" applyFill="1" applyBorder="1" applyAlignment="1" applyProtection="1">
      <alignment horizontal="center" vertical="center"/>
    </xf>
    <xf numFmtId="0" fontId="106" fillId="5" borderId="2" xfId="1" applyFont="1" applyFill="1" applyBorder="1" applyAlignment="1" applyProtection="1">
      <alignment horizontal="center" vertical="center"/>
    </xf>
    <xf numFmtId="0" fontId="106" fillId="5" borderId="12" xfId="1" applyFont="1" applyFill="1" applyBorder="1" applyAlignment="1" applyProtection="1">
      <alignment horizontal="center" vertical="center"/>
    </xf>
    <xf numFmtId="178" fontId="106" fillId="5" borderId="12" xfId="1" applyNumberFormat="1" applyFont="1" applyFill="1" applyBorder="1" applyAlignment="1" applyProtection="1">
      <alignment horizontal="center" vertical="center"/>
    </xf>
    <xf numFmtId="178" fontId="106" fillId="0" borderId="12" xfId="1" applyNumberFormat="1" applyFont="1" applyBorder="1" applyAlignment="1" applyProtection="1">
      <alignment horizontal="center" vertical="center"/>
      <protection locked="0"/>
    </xf>
    <xf numFmtId="0" fontId="160" fillId="0" borderId="2" xfId="1" applyFont="1" applyBorder="1" applyAlignment="1" applyProtection="1">
      <alignment horizontal="center" vertical="center"/>
      <protection locked="0"/>
    </xf>
    <xf numFmtId="0" fontId="149" fillId="0" borderId="94" xfId="1" applyFont="1" applyFill="1" applyBorder="1" applyAlignment="1" applyProtection="1">
      <alignment horizontal="center" vertical="center"/>
      <protection locked="0"/>
    </xf>
    <xf numFmtId="0" fontId="160" fillId="5" borderId="43" xfId="1" applyFont="1" applyFill="1" applyBorder="1" applyAlignment="1" applyProtection="1">
      <alignment horizontal="center" vertical="center"/>
    </xf>
    <xf numFmtId="0" fontId="106" fillId="5" borderId="44" xfId="1" applyFont="1" applyFill="1" applyBorder="1" applyAlignment="1" applyProtection="1">
      <alignment horizontal="center" vertical="center"/>
    </xf>
    <xf numFmtId="0" fontId="140" fillId="5" borderId="61" xfId="1" applyFont="1" applyFill="1" applyBorder="1" applyAlignment="1" applyProtection="1">
      <alignment horizontal="center" vertical="center"/>
    </xf>
    <xf numFmtId="0" fontId="140" fillId="5" borderId="95" xfId="1" applyFont="1" applyFill="1" applyBorder="1" applyAlignment="1" applyProtection="1">
      <alignment horizontal="left" vertical="center"/>
    </xf>
    <xf numFmtId="0" fontId="58" fillId="5" borderId="61" xfId="1" applyFont="1" applyFill="1" applyBorder="1" applyAlignment="1" applyProtection="1">
      <alignment horizontal="center" vertical="center"/>
    </xf>
    <xf numFmtId="0" fontId="58" fillId="5" borderId="66" xfId="1" applyFont="1" applyFill="1" applyBorder="1" applyAlignment="1" applyProtection="1">
      <alignment horizontal="center" vertical="center"/>
    </xf>
    <xf numFmtId="0" fontId="160" fillId="5" borderId="47" xfId="1" applyFont="1" applyFill="1" applyBorder="1" applyAlignment="1" applyProtection="1">
      <alignment horizontal="center" vertical="center"/>
    </xf>
    <xf numFmtId="0" fontId="106" fillId="0" borderId="44" xfId="1" applyFont="1" applyBorder="1" applyAlignment="1" applyProtection="1">
      <alignment horizontal="center" vertical="center"/>
      <protection locked="0"/>
    </xf>
    <xf numFmtId="178" fontId="106" fillId="5" borderId="46" xfId="1" applyNumberFormat="1" applyFont="1" applyFill="1" applyBorder="1" applyAlignment="1" applyProtection="1">
      <alignment horizontal="center" vertical="center"/>
    </xf>
    <xf numFmtId="0" fontId="201" fillId="0" borderId="0" xfId="1" applyFont="1" applyFill="1" applyAlignment="1" applyProtection="1">
      <alignment horizontal="left" vertical="center"/>
      <protection locked="0"/>
    </xf>
    <xf numFmtId="187" fontId="84" fillId="0" borderId="0" xfId="1" applyNumberFormat="1" applyFont="1" applyFill="1" applyAlignment="1" applyProtection="1">
      <alignment horizontal="center" vertical="center"/>
    </xf>
    <xf numFmtId="181" fontId="84" fillId="0" borderId="0" xfId="1" applyNumberFormat="1" applyFont="1" applyFill="1" applyAlignment="1" applyProtection="1">
      <alignment horizontal="center" vertical="center"/>
    </xf>
    <xf numFmtId="0" fontId="144" fillId="0" borderId="64" xfId="0" applyNumberFormat="1" applyFont="1" applyFill="1" applyBorder="1" applyAlignment="1" applyProtection="1">
      <alignment horizontal="center" vertical="center" wrapText="1"/>
      <protection locked="0"/>
    </xf>
    <xf numFmtId="49" fontId="71" fillId="0" borderId="74" xfId="0" applyNumberFormat="1" applyFont="1" applyFill="1" applyBorder="1" applyAlignment="1" applyProtection="1">
      <alignment horizontal="center" vertical="center" wrapText="1"/>
      <protection locked="0"/>
    </xf>
    <xf numFmtId="58" fontId="71" fillId="0" borderId="6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84" fillId="5" borderId="2" xfId="1" applyFont="1" applyFill="1" applyBorder="1" applyAlignment="1" applyProtection="1">
      <alignment horizontal="center" vertical="center" wrapText="1"/>
    </xf>
    <xf numFmtId="0" fontId="84" fillId="5" borderId="2" xfId="1" applyNumberFormat="1" applyFont="1" applyFill="1" applyBorder="1" applyAlignment="1" applyProtection="1">
      <alignment horizontal="center" vertical="center"/>
    </xf>
    <xf numFmtId="0" fontId="84" fillId="5" borderId="5" xfId="1" applyFont="1" applyFill="1" applyBorder="1" applyAlignment="1" applyProtection="1">
      <alignment horizontal="center" vertical="center" wrapText="1"/>
    </xf>
    <xf numFmtId="0" fontId="84" fillId="5" borderId="9" xfId="1" applyFont="1" applyFill="1" applyBorder="1" applyAlignment="1" applyProtection="1">
      <alignment horizontal="center" vertical="center" wrapText="1"/>
    </xf>
    <xf numFmtId="0" fontId="83" fillId="5" borderId="2" xfId="1" applyNumberFormat="1" applyFont="1" applyFill="1" applyBorder="1" applyAlignment="1" applyProtection="1">
      <alignment horizontal="center" vertical="center"/>
    </xf>
    <xf numFmtId="0" fontId="84" fillId="5" borderId="10" xfId="1" applyFont="1" applyFill="1" applyBorder="1" applyAlignment="1" applyProtection="1">
      <alignment horizontal="center" vertical="center" wrapText="1"/>
    </xf>
    <xf numFmtId="0" fontId="84" fillId="5" borderId="3" xfId="1" applyFont="1" applyFill="1" applyBorder="1" applyAlignment="1" applyProtection="1">
      <alignment horizontal="center" vertical="center" wrapText="1"/>
    </xf>
    <xf numFmtId="0" fontId="84" fillId="5" borderId="10" xfId="1" applyFont="1" applyFill="1" applyBorder="1" applyAlignment="1" applyProtection="1">
      <alignment horizontal="center" vertical="center" textRotation="255" wrapText="1"/>
    </xf>
    <xf numFmtId="0" fontId="84" fillId="5" borderId="3" xfId="1" applyFont="1" applyFill="1" applyBorder="1" applyAlignment="1" applyProtection="1">
      <alignment horizontal="center" vertical="center" textRotation="255" wrapText="1"/>
    </xf>
    <xf numFmtId="0" fontId="84" fillId="5" borderId="21" xfId="1" applyFont="1" applyFill="1" applyBorder="1" applyAlignment="1" applyProtection="1">
      <alignment horizontal="center" vertical="center" textRotation="255" wrapText="1"/>
    </xf>
    <xf numFmtId="0" fontId="71" fillId="5" borderId="5" xfId="1" applyFont="1" applyFill="1" applyBorder="1" applyAlignment="1" applyProtection="1">
      <alignment horizontal="center" vertical="center"/>
    </xf>
    <xf numFmtId="0" fontId="71" fillId="5" borderId="9" xfId="1" applyFont="1" applyFill="1" applyBorder="1" applyAlignment="1" applyProtection="1">
      <alignment horizontal="center" vertical="center"/>
    </xf>
    <xf numFmtId="0" fontId="71" fillId="5" borderId="2" xfId="1" applyFont="1" applyFill="1" applyBorder="1" applyAlignment="1" applyProtection="1">
      <alignment horizontal="center" vertical="center" wrapText="1"/>
    </xf>
    <xf numFmtId="0" fontId="84" fillId="5" borderId="2" xfId="1" applyFont="1" applyFill="1" applyBorder="1" applyAlignment="1" applyProtection="1">
      <alignment horizontal="center" vertical="center"/>
    </xf>
    <xf numFmtId="0" fontId="84" fillId="5" borderId="4" xfId="1" applyFont="1" applyFill="1" applyBorder="1" applyAlignment="1" applyProtection="1">
      <alignment horizontal="center" vertical="center"/>
    </xf>
    <xf numFmtId="0" fontId="84" fillId="5" borderId="32" xfId="1" applyFont="1" applyFill="1" applyBorder="1" applyAlignment="1" applyProtection="1">
      <alignment horizontal="center" vertical="center"/>
    </xf>
    <xf numFmtId="0" fontId="84" fillId="5" borderId="13" xfId="1" applyFont="1" applyFill="1" applyBorder="1" applyAlignment="1" applyProtection="1">
      <alignment horizontal="center" vertical="center"/>
    </xf>
    <xf numFmtId="0" fontId="84" fillId="5" borderId="18" xfId="1" applyFont="1" applyFill="1" applyBorder="1" applyAlignment="1" applyProtection="1">
      <alignment horizontal="center" vertical="center"/>
    </xf>
    <xf numFmtId="0" fontId="84" fillId="5" borderId="17" xfId="1" applyFont="1" applyFill="1" applyBorder="1" applyAlignment="1" applyProtection="1">
      <alignment horizontal="center" vertical="center"/>
    </xf>
    <xf numFmtId="0" fontId="84" fillId="5" borderId="20" xfId="1" applyFont="1" applyFill="1" applyBorder="1" applyAlignment="1" applyProtection="1">
      <alignment horizontal="center" vertical="center"/>
    </xf>
    <xf numFmtId="0" fontId="84" fillId="5" borderId="10" xfId="1" applyFont="1" applyFill="1" applyBorder="1" applyAlignment="1" applyProtection="1">
      <alignment horizontal="center" vertical="center"/>
    </xf>
    <xf numFmtId="0" fontId="84" fillId="5" borderId="3" xfId="1" applyFont="1" applyFill="1" applyBorder="1" applyAlignment="1" applyProtection="1">
      <alignment horizontal="center" vertical="center"/>
    </xf>
    <xf numFmtId="0" fontId="84" fillId="5" borderId="21" xfId="1" applyFont="1" applyFill="1" applyBorder="1" applyAlignment="1" applyProtection="1">
      <alignment horizontal="center" vertical="center"/>
    </xf>
    <xf numFmtId="0" fontId="71" fillId="5" borderId="8" xfId="1" applyFont="1" applyFill="1" applyBorder="1" applyAlignment="1" applyProtection="1">
      <alignment horizontal="center" vertical="center"/>
    </xf>
    <xf numFmtId="0" fontId="84" fillId="5" borderId="1" xfId="1" applyFont="1" applyFill="1" applyBorder="1" applyAlignment="1" applyProtection="1">
      <alignment horizontal="center" vertical="center" wrapText="1"/>
    </xf>
    <xf numFmtId="0" fontId="84" fillId="5" borderId="7" xfId="1" applyFont="1" applyFill="1" applyBorder="1" applyAlignment="1" applyProtection="1">
      <alignment horizontal="center" vertical="center" wrapText="1"/>
    </xf>
    <xf numFmtId="0" fontId="84" fillId="5" borderId="42" xfId="1" applyFont="1" applyFill="1" applyBorder="1" applyAlignment="1" applyProtection="1">
      <alignment horizontal="center" vertical="center" wrapText="1"/>
    </xf>
    <xf numFmtId="0" fontId="84" fillId="5" borderId="29"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wrapText="1"/>
    </xf>
    <xf numFmtId="0" fontId="84" fillId="5" borderId="32" xfId="1" applyFont="1" applyFill="1" applyBorder="1" applyAlignment="1" applyProtection="1">
      <alignment horizontal="center" vertical="center" wrapText="1"/>
    </xf>
    <xf numFmtId="0" fontId="84" fillId="5" borderId="13" xfId="1" applyFont="1" applyFill="1" applyBorder="1" applyAlignment="1" applyProtection="1">
      <alignment horizontal="center" vertical="center" wrapText="1"/>
    </xf>
    <xf numFmtId="0" fontId="84" fillId="5" borderId="18" xfId="1" applyFont="1" applyFill="1" applyBorder="1" applyAlignment="1" applyProtection="1">
      <alignment horizontal="center" vertical="center" wrapText="1"/>
    </xf>
    <xf numFmtId="0" fontId="84" fillId="5" borderId="17" xfId="1" applyFont="1" applyFill="1" applyBorder="1" applyAlignment="1" applyProtection="1">
      <alignment horizontal="center" vertical="center" wrapText="1"/>
    </xf>
    <xf numFmtId="0" fontId="84" fillId="5" borderId="20" xfId="1" applyFont="1" applyFill="1" applyBorder="1" applyAlignment="1" applyProtection="1">
      <alignment horizontal="center" vertical="center" wrapText="1"/>
    </xf>
    <xf numFmtId="0" fontId="262" fillId="0" borderId="11" xfId="1" applyFont="1" applyFill="1" applyBorder="1" applyAlignment="1" applyProtection="1">
      <alignment horizontal="center" vertical="center" wrapText="1"/>
      <protection locked="0"/>
    </xf>
    <xf numFmtId="0" fontId="262" fillId="0" borderId="12" xfId="1" applyFont="1" applyFill="1" applyBorder="1" applyAlignment="1" applyProtection="1">
      <alignment horizontal="center" vertical="center" wrapText="1"/>
      <protection locked="0"/>
    </xf>
    <xf numFmtId="0" fontId="261" fillId="0" borderId="9" xfId="1" applyFont="1" applyFill="1" applyBorder="1" applyAlignment="1" applyProtection="1">
      <alignment horizontal="center" vertical="center" wrapText="1"/>
      <protection locked="0"/>
    </xf>
    <xf numFmtId="0" fontId="262" fillId="0" borderId="5" xfId="1" applyFont="1" applyFill="1" applyBorder="1" applyAlignment="1" applyProtection="1">
      <alignment horizontal="center" vertical="center" wrapText="1"/>
      <protection locked="0"/>
    </xf>
    <xf numFmtId="0" fontId="261" fillId="0" borderId="11" xfId="1" applyFont="1" applyFill="1" applyBorder="1" applyAlignment="1" applyProtection="1">
      <alignment horizontal="center" vertical="center" wrapText="1"/>
      <protection locked="0"/>
    </xf>
    <xf numFmtId="0" fontId="262" fillId="0" borderId="22" xfId="1" applyFont="1" applyFill="1" applyBorder="1" applyAlignment="1" applyProtection="1">
      <alignment horizontal="center" vertical="center" wrapText="1"/>
      <protection locked="0"/>
    </xf>
    <xf numFmtId="0" fontId="262" fillId="0" borderId="25" xfId="1" applyFont="1" applyFill="1" applyBorder="1" applyAlignment="1" applyProtection="1">
      <alignment horizontal="center" vertical="center" wrapText="1"/>
      <protection locked="0"/>
    </xf>
    <xf numFmtId="0" fontId="262" fillId="0" borderId="32" xfId="1" applyFont="1" applyFill="1" applyBorder="1" applyAlignment="1" applyProtection="1">
      <alignment horizontal="center" vertical="center" wrapText="1"/>
      <protection locked="0"/>
    </xf>
    <xf numFmtId="0" fontId="262" fillId="0" borderId="4" xfId="1" applyFont="1" applyFill="1" applyBorder="1" applyAlignment="1" applyProtection="1">
      <alignment horizontal="center" vertical="center" wrapText="1"/>
      <protection locked="0"/>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32" fillId="0" borderId="2" xfId="2" applyFont="1" applyFill="1" applyBorder="1" applyAlignment="1" applyProtection="1">
      <alignment horizontal="center" vertical="center" wrapText="1"/>
      <protection locked="0"/>
    </xf>
    <xf numFmtId="0" fontId="32" fillId="0" borderId="2" xfId="1" applyFont="1" applyFill="1" applyBorder="1" applyAlignment="1" applyProtection="1">
      <alignment horizontal="center" vertical="center" wrapText="1"/>
    </xf>
    <xf numFmtId="0" fontId="32" fillId="0" borderId="2" xfId="1" applyFont="1" applyFill="1" applyBorder="1" applyAlignment="1">
      <alignment horizontal="left" vertical="center" wrapText="1"/>
    </xf>
    <xf numFmtId="0" fontId="32" fillId="0" borderId="10" xfId="1" applyFont="1" applyBorder="1" applyAlignment="1">
      <alignment horizontal="center" vertical="center"/>
    </xf>
    <xf numFmtId="0" fontId="32" fillId="0" borderId="3" xfId="1" applyFont="1" applyBorder="1" applyAlignment="1">
      <alignment horizontal="center" vertical="center"/>
    </xf>
    <xf numFmtId="0" fontId="32" fillId="0" borderId="21" xfId="1" applyFont="1" applyBorder="1" applyAlignment="1">
      <alignment horizontal="center" vertical="center"/>
    </xf>
    <xf numFmtId="0" fontId="32" fillId="8" borderId="10" xfId="2" applyFont="1" applyFill="1" applyBorder="1" applyAlignment="1" applyProtection="1">
      <alignment horizontal="center" vertical="center" wrapText="1"/>
      <protection locked="0"/>
    </xf>
    <xf numFmtId="0" fontId="32" fillId="8" borderId="3" xfId="2" applyFont="1" applyFill="1" applyBorder="1" applyAlignment="1" applyProtection="1">
      <alignment horizontal="center" vertical="center" wrapText="1"/>
      <protection locked="0"/>
    </xf>
    <xf numFmtId="0" fontId="32" fillId="8" borderId="21" xfId="2" applyFont="1" applyFill="1" applyBorder="1" applyAlignment="1" applyProtection="1">
      <alignment horizontal="center" vertical="center" wrapText="1"/>
      <protection locked="0"/>
    </xf>
    <xf numFmtId="0" fontId="32" fillId="0" borderId="10" xfId="2" applyFont="1" applyFill="1" applyBorder="1" applyAlignment="1" applyProtection="1">
      <alignment horizontal="center" vertical="center" wrapText="1"/>
      <protection locked="0"/>
    </xf>
    <xf numFmtId="0" fontId="32" fillId="0" borderId="21" xfId="2" applyFont="1" applyFill="1" applyBorder="1" applyAlignment="1" applyProtection="1">
      <alignment horizontal="center" vertical="center" wrapText="1"/>
      <protection locked="0"/>
    </xf>
    <xf numFmtId="0" fontId="32" fillId="8" borderId="5" xfId="2" applyFont="1" applyFill="1" applyBorder="1" applyAlignment="1" applyProtection="1">
      <alignment horizontal="center" vertical="center" wrapText="1"/>
      <protection locked="0"/>
    </xf>
    <xf numFmtId="0" fontId="32" fillId="8" borderId="9" xfId="2" applyFont="1" applyFill="1" applyBorder="1" applyAlignment="1" applyProtection="1">
      <alignment horizontal="center" vertical="center" wrapText="1"/>
      <protection locked="0"/>
    </xf>
    <xf numFmtId="0" fontId="32" fillId="8" borderId="2"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229" fillId="0" borderId="4" xfId="2" applyFont="1" applyFill="1" applyBorder="1" applyAlignment="1" applyProtection="1">
      <alignment horizontal="center" vertical="center" wrapText="1"/>
      <protection locked="0"/>
    </xf>
    <xf numFmtId="0" fontId="229" fillId="0" borderId="13" xfId="2" applyFont="1" applyFill="1" applyBorder="1" applyAlignment="1" applyProtection="1">
      <alignment horizontal="center" vertical="center" wrapText="1"/>
      <protection locked="0"/>
    </xf>
    <xf numFmtId="0" fontId="229" fillId="0" borderId="17" xfId="2" applyFont="1" applyFill="1" applyBorder="1" applyAlignment="1" applyProtection="1">
      <alignment horizontal="center" vertical="center" wrapText="1"/>
      <protection locked="0"/>
    </xf>
    <xf numFmtId="0" fontId="229" fillId="0" borderId="5" xfId="2" applyFont="1" applyFill="1" applyBorder="1" applyAlignment="1" applyProtection="1">
      <alignment horizontal="center" vertical="center" wrapText="1"/>
      <protection locked="0"/>
    </xf>
    <xf numFmtId="0" fontId="229" fillId="0" borderId="9"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0" fontId="32" fillId="0" borderId="9" xfId="2" applyFont="1" applyFill="1" applyBorder="1" applyAlignment="1" applyProtection="1">
      <alignment horizontal="center" vertical="center" wrapText="1"/>
      <protection locked="0"/>
    </xf>
    <xf numFmtId="0" fontId="32" fillId="21" borderId="2" xfId="2" applyFont="1" applyFill="1" applyBorder="1" applyAlignment="1" applyProtection="1">
      <alignment horizontal="center" vertical="center" wrapText="1"/>
      <protection locked="0"/>
    </xf>
    <xf numFmtId="0" fontId="32" fillId="0" borderId="10"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2" fillId="21" borderId="10" xfId="2" applyFont="1" applyFill="1" applyBorder="1" applyAlignment="1" applyProtection="1">
      <alignment horizontal="center" vertical="center" wrapText="1"/>
      <protection locked="0"/>
    </xf>
    <xf numFmtId="0" fontId="32" fillId="21" borderId="21" xfId="2" applyFont="1" applyFill="1" applyBorder="1" applyAlignment="1" applyProtection="1">
      <alignment horizontal="center" vertical="center" wrapText="1"/>
      <protection locked="0"/>
    </xf>
    <xf numFmtId="0" fontId="32" fillId="20" borderId="2" xfId="2" applyFont="1" applyFill="1" applyBorder="1" applyAlignment="1" applyProtection="1">
      <alignment horizontal="center" vertical="center" wrapText="1"/>
      <protection locked="0"/>
    </xf>
    <xf numFmtId="0" fontId="32" fillId="21" borderId="3" xfId="2" applyFont="1" applyFill="1" applyBorder="1" applyAlignment="1" applyProtection="1">
      <alignment horizontal="center" vertical="center" wrapText="1"/>
      <protection locked="0"/>
    </xf>
    <xf numFmtId="0" fontId="32" fillId="20" borderId="10" xfId="2" applyFont="1" applyFill="1" applyBorder="1" applyAlignment="1" applyProtection="1">
      <alignment horizontal="center" vertical="center" wrapText="1"/>
      <protection locked="0"/>
    </xf>
    <xf numFmtId="0" fontId="32" fillId="20" borderId="21" xfId="2" applyFont="1" applyFill="1" applyBorder="1" applyAlignment="1" applyProtection="1">
      <alignment horizontal="center" vertical="center" wrapText="1"/>
      <protection locked="0"/>
    </xf>
    <xf numFmtId="0" fontId="32" fillId="20" borderId="3" xfId="2" applyFont="1" applyFill="1" applyBorder="1" applyAlignment="1" applyProtection="1">
      <alignment horizontal="center" vertical="center" wrapText="1"/>
      <protection locked="0"/>
    </xf>
    <xf numFmtId="0" fontId="32" fillId="19" borderId="10" xfId="2" applyFont="1" applyFill="1" applyBorder="1" applyAlignment="1" applyProtection="1">
      <alignment horizontal="center" vertical="center" wrapText="1"/>
      <protection locked="0"/>
    </xf>
    <xf numFmtId="0" fontId="32" fillId="19" borderId="21" xfId="2" applyFont="1" applyFill="1" applyBorder="1" applyAlignment="1" applyProtection="1">
      <alignment horizontal="center" vertical="center" wrapText="1"/>
      <protection locked="0"/>
    </xf>
    <xf numFmtId="0" fontId="32" fillId="19" borderId="2" xfId="2" applyFont="1" applyFill="1" applyBorder="1" applyAlignment="1" applyProtection="1">
      <alignment horizontal="center" vertical="center" wrapText="1"/>
      <protection locked="0"/>
    </xf>
    <xf numFmtId="0" fontId="32" fillId="20" borderId="10" xfId="2" applyFont="1" applyFill="1" applyBorder="1" applyAlignment="1">
      <alignment horizontal="center" vertical="center" wrapText="1"/>
    </xf>
    <xf numFmtId="0" fontId="32" fillId="20" borderId="21" xfId="2" applyFont="1" applyFill="1" applyBorder="1" applyAlignment="1">
      <alignment horizontal="center" vertical="center" wrapText="1"/>
    </xf>
    <xf numFmtId="0" fontId="32" fillId="19" borderId="10" xfId="2" applyFont="1" applyFill="1" applyBorder="1" applyAlignment="1">
      <alignment horizontal="center" vertical="center" wrapText="1"/>
    </xf>
    <xf numFmtId="0" fontId="32" fillId="19" borderId="3" xfId="2" applyFont="1" applyFill="1" applyBorder="1" applyAlignment="1">
      <alignment horizontal="center" vertical="center" wrapText="1"/>
    </xf>
    <xf numFmtId="0" fontId="32" fillId="19" borderId="21" xfId="2" applyFont="1" applyFill="1" applyBorder="1" applyAlignment="1">
      <alignment horizontal="center" vertical="center" wrapText="1"/>
    </xf>
    <xf numFmtId="0" fontId="229" fillId="8" borderId="10" xfId="2" applyFont="1" applyFill="1" applyBorder="1" applyAlignment="1" applyProtection="1">
      <alignment horizontal="center" vertical="center" wrapText="1"/>
      <protection locked="0"/>
    </xf>
    <xf numFmtId="0" fontId="229" fillId="8" borderId="3" xfId="2" applyFont="1" applyFill="1" applyBorder="1" applyAlignment="1" applyProtection="1">
      <alignment horizontal="center" vertical="center" wrapText="1"/>
      <protection locked="0"/>
    </xf>
    <xf numFmtId="0" fontId="229" fillId="8" borderId="21" xfId="2" applyFont="1" applyFill="1" applyBorder="1" applyAlignment="1" applyProtection="1">
      <alignment horizontal="center" vertical="center" wrapText="1"/>
      <protection locked="0"/>
    </xf>
    <xf numFmtId="0" fontId="32" fillId="19" borderId="3" xfId="2" applyFont="1" applyFill="1" applyBorder="1" applyAlignment="1" applyProtection="1">
      <alignment horizontal="center" vertical="center" wrapText="1"/>
      <protection locked="0"/>
    </xf>
    <xf numFmtId="0" fontId="32" fillId="0" borderId="3"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275" fillId="0" borderId="2" xfId="1" applyFont="1" applyFill="1" applyBorder="1" applyAlignment="1">
      <alignment horizontal="center" vertical="center"/>
    </xf>
    <xf numFmtId="0" fontId="229" fillId="8" borderId="2" xfId="1" applyFont="1" applyFill="1" applyBorder="1" applyAlignment="1">
      <alignment horizontal="center" vertical="center" wrapText="1"/>
    </xf>
    <xf numFmtId="0" fontId="229" fillId="0" borderId="2" xfId="1" applyFont="1" applyFill="1" applyBorder="1" applyAlignment="1">
      <alignment horizontal="center" vertical="center" wrapText="1"/>
    </xf>
    <xf numFmtId="0" fontId="229" fillId="17" borderId="2" xfId="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5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7</xdr:col>
      <xdr:colOff>1065757</xdr:colOff>
      <xdr:row>63</xdr:row>
      <xdr:rowOff>18277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4629150"/>
          <a:ext cx="8352382" cy="6190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132391</xdr:colOff>
      <xdr:row>16</xdr:row>
      <xdr:rowOff>171107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7676191" cy="2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Downloads\&#26032;&#24314;&#25991;&#20214;&#22841;-&#36213;&#29856;20190708-180059%20(1)\&#26032;&#24314;&#25991;&#20214;&#22841;\&#27915;&#20108;77&#20137;&#8212;&#30005;&#31639;&#34920;222-&#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68;&#23457;/&#19968;&#23457;&#22797;&#26680;/&#39640;10&#27915;44/&#27915;&#20108;44&#20137;&#8212;&#30005;&#31639;&#34920;&#65288;&#19968;&#23457;&#22797;&#26680;&#65289;-&#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15;&#20108;44&#20137;&#8212;&#30005;&#31639;&#34920;&#65288;&#20108;&#23457;&#22797;&#26680;&#65289;-&#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已废)"/>
      <sheetName val="面积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 (车库)"/>
      <sheetName val="存贷款利率"/>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 (车库)</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51588.95</v>
          </cell>
        </row>
      </sheetData>
      <sheetData sheetId="11"/>
      <sheetData sheetId="12"/>
      <sheetData sheetId="13"/>
      <sheetData sheetId="14">
        <row r="17">
          <cell r="C17" t="str">
            <v>项目类型</v>
          </cell>
        </row>
        <row r="19">
          <cell r="C19" t="str">
            <v>住宅</v>
          </cell>
        </row>
        <row r="20">
          <cell r="C20" t="str">
            <v>商业</v>
          </cell>
        </row>
        <row r="21">
          <cell r="C21" t="str">
            <v>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row r="32">
          <cell r="C32">
            <v>5692</v>
          </cell>
        </row>
      </sheetData>
      <sheetData sheetId="19"/>
      <sheetData sheetId="20"/>
      <sheetData sheetId="21">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一般</v>
          </cell>
        </row>
        <row r="123">
          <cell r="B123" t="str">
            <v>临街宽度及深度</v>
          </cell>
          <cell r="C123" t="str">
            <v>较适宜</v>
          </cell>
        </row>
        <row r="125">
          <cell r="B125" t="str">
            <v>宗地开发程度</v>
          </cell>
          <cell r="C125" t="str">
            <v>六通</v>
          </cell>
          <cell r="D125" t="str">
            <v>五通</v>
          </cell>
        </row>
        <row r="127">
          <cell r="B127" t="str">
            <v>工程地质条件</v>
          </cell>
          <cell r="C127" t="str">
            <v>较好</v>
          </cell>
        </row>
      </sheetData>
      <sheetData sheetId="22">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3"/>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别墅</v>
          </cell>
          <cell r="D100" t="str">
            <v>洋房</v>
          </cell>
          <cell r="E100" t="str">
            <v>高层</v>
          </cell>
        </row>
        <row r="105">
          <cell r="B105" t="str">
            <v>建筑结构</v>
          </cell>
          <cell r="C105" t="str">
            <v>钢混</v>
          </cell>
        </row>
        <row r="107">
          <cell r="B107" t="str">
            <v>建筑品质</v>
          </cell>
          <cell r="C107" t="str">
            <v>好</v>
          </cell>
          <cell r="D107" t="str">
            <v>较好</v>
          </cell>
          <cell r="E107" t="str">
            <v>一般</v>
          </cell>
        </row>
        <row r="109">
          <cell r="B109" t="str">
            <v>公共部分装修</v>
          </cell>
          <cell r="C109" t="str">
            <v>精装</v>
          </cell>
        </row>
        <row r="114">
          <cell r="B114" t="str">
            <v>物业管理</v>
          </cell>
          <cell r="C114" t="str">
            <v>专业</v>
          </cell>
        </row>
        <row r="116">
          <cell r="B116" t="str">
            <v>市政基础设施</v>
          </cell>
          <cell r="C116" t="str">
            <v>七通</v>
          </cell>
          <cell r="D116" t="str">
            <v>六通</v>
          </cell>
          <cell r="E116" t="str">
            <v>五通</v>
          </cell>
        </row>
        <row r="118">
          <cell r="B118" t="str">
            <v>房型</v>
          </cell>
        </row>
        <row r="122">
          <cell r="B122" t="str">
            <v>内部装修</v>
          </cell>
          <cell r="C122" t="str">
            <v>毛坯</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已废)"/>
      <sheetName val="面积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不动产收益法"/>
      <sheetName val="典型户型修正"/>
      <sheetName val="不动产收益法 (车库)"/>
      <sheetName val="存贷款利率"/>
      <sheetName val="Sheet2"/>
      <sheetName val="不动产比较法-(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61891.23</v>
          </cell>
          <cell r="C14">
            <v>29824.79</v>
          </cell>
          <cell r="D14">
            <v>10167</v>
          </cell>
        </row>
      </sheetData>
      <sheetData sheetId="18">
        <row r="79">
          <cell r="O79">
            <v>8452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已废)"/>
      <sheetName val="面积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不动产收益法"/>
      <sheetName val="典型户型修正"/>
      <sheetName val="不动产收益法 (车库)"/>
      <sheetName val="存贷款利率"/>
      <sheetName val="Sheet2"/>
      <sheetName val="不动产比较法-(商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9">
          <cell r="O79">
            <v>8452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2655</v>
      </c>
      <c r="B1" s="2845" t="s">
        <v>2752</v>
      </c>
    </row>
    <row r="2" spans="1:55" s="2849" customFormat="1" ht="15" thickTop="1">
      <c r="A2" s="2847" t="s">
        <v>2659</v>
      </c>
      <c r="B2" s="2848" t="str">
        <f>'预评函-封皮'!B37</f>
        <v>出让国有建设用地使用权抵押价格预评估</v>
      </c>
      <c r="AX2" s="2850"/>
      <c r="AZ2" s="2850"/>
      <c r="BA2" s="2851"/>
      <c r="BC2" s="2851"/>
    </row>
    <row r="3" spans="1:55" s="2852" customFormat="1">
      <c r="A3" s="2831" t="s">
        <v>2660</v>
      </c>
      <c r="B3" s="2834">
        <f>'预评函-封皮'!B40</f>
        <v>0</v>
      </c>
    </row>
    <row r="4" spans="1:55" s="2833" customFormat="1">
      <c r="A4" s="2831" t="s">
        <v>2661</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2662</v>
      </c>
      <c r="B5" s="2854" t="str">
        <f>'预评函-封皮'!B49</f>
        <v>康正预评字号</v>
      </c>
    </row>
    <row r="6" spans="1:55" s="2855" customFormat="1" ht="15" thickTop="1">
      <c r="A6" s="2847" t="s">
        <v>2704</v>
      </c>
      <c r="B6" s="2848" t="str">
        <f>'预评函-1'!A4</f>
        <v>受贵公司委托，我公司对出让国有建设用地使用权抵押价格进行了预评估。</v>
      </c>
      <c r="AM6" s="2856"/>
    </row>
    <row r="7" spans="1:55" s="2830" customFormat="1">
      <c r="A7" s="2831" t="s">
        <v>2656</v>
      </c>
      <c r="B7" s="2832" t="str">
        <f>'预评函-1'!A6</f>
        <v>估价对象为使用的、位于出让国有建设用地使用权。根据《国有土地使用证》[]，估价对象（分摊）出让国有建设用地使用权面积为27220.14平方米。根据《建设工程规划许可证》[]、《出让合同》[]，估价对象规划建筑面积为163564.33平方米。</v>
      </c>
    </row>
    <row r="8" spans="1:55" s="2830" customFormat="1">
      <c r="A8" s="2831" t="s">
        <v>2657</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2707</v>
      </c>
      <c r="B9" s="2832"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2658</v>
      </c>
      <c r="B10" s="2832" t="str">
        <f>'预评函-1'!A11</f>
        <v>2019年7月1日（评估专业人员勘察现场之日）</v>
      </c>
    </row>
    <row r="11" spans="1:55" s="2830" customFormat="1">
      <c r="A11" s="2831" t="s">
        <v>2664</v>
      </c>
      <c r="B11" s="2832" t="str">
        <f>'预评函-1'!A14</f>
        <v>根据《国有土地使用证》[]，本次评估估价对象证载（地类）用途为。</v>
      </c>
    </row>
    <row r="12" spans="1:55" s="2830" customFormat="1">
      <c r="A12" s="2831" t="s">
        <v>2665</v>
      </c>
      <c r="B12" s="2832" t="str">
        <f>'预评函-1'!A15</f>
        <v>本次评估设定用途即为证载用途。</v>
      </c>
    </row>
    <row r="13" spans="1:55" s="2830" customFormat="1">
      <c r="A13" s="2831" t="s">
        <v>2666</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2667</v>
      </c>
      <c r="B14" s="2832" t="str">
        <f>'预评函-1'!A18</f>
        <v>。本次评估设定土地开发程度为红线外市政基础设施达“七通”、宗地红线内场地平整。</v>
      </c>
    </row>
    <row r="15" spans="1:55" s="2830" customFormat="1">
      <c r="A15" s="2831" t="s">
        <v>2663</v>
      </c>
      <c r="B15" s="2832" t="str">
        <f>'预评函-1'!A20</f>
        <v>根据《国有土地使用证》[]，估价对象（分摊）出让国有建设用地使用权面积为27220.14平方米。根据《建设工程规划许可证》[]、《出让合同》[]，估价对象规划建筑面积为163564.33平方米。</v>
      </c>
    </row>
    <row r="16" spans="1:55" s="2830" customFormat="1">
      <c r="A16" s="2831" t="s">
        <v>2668</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2064年1月15日、商业2054年1月15日地下车库2054年1月15日。截至估价期日，出让国有建设用地使用权剩余土地使用年限为。</v>
      </c>
    </row>
    <row r="17" spans="1:48" s="2830" customFormat="1">
      <c r="A17" s="2831" t="s">
        <v>2669</v>
      </c>
      <c r="B17" s="2832" t="str">
        <f>'预评函-1'!A23</f>
        <v>本次评估设定估价对象剩余土地使用年限为。</v>
      </c>
    </row>
    <row r="18" spans="1:48" s="2830" customFormat="1">
      <c r="A18" s="2831" t="s">
        <v>2670</v>
      </c>
      <c r="B18" s="2832" t="str">
        <f>'预评函-1'!A25</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19" spans="1:48" s="2830" customFormat="1">
      <c r="A19" s="2831" t="s">
        <v>2671</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2672</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2673</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2674</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2675</v>
      </c>
      <c r="B23" s="2832" t="str">
        <f>'预评函-2'!K2</f>
        <v>估价期日：2019年7月1日</v>
      </c>
    </row>
    <row r="24" spans="1:48">
      <c r="A24" s="2831" t="s">
        <v>2676</v>
      </c>
      <c r="B24" s="2832" t="str">
        <f>'预评函-2'!R2</f>
        <v>估价期日的国有建设用地使用权性质：出让</v>
      </c>
    </row>
    <row r="25" spans="1:48">
      <c r="A25" s="2831" t="s">
        <v>2732</v>
      </c>
      <c r="B25" s="2832" t="str">
        <f>'预评函-2'!A3</f>
        <v>估价期日土地使用者</v>
      </c>
    </row>
    <row r="26" spans="1:48">
      <c r="A26" s="2831" t="s">
        <v>2708</v>
      </c>
      <c r="B26" s="2832" t="str">
        <f>'预评函-2'!A5</f>
        <v>中信开发</v>
      </c>
    </row>
    <row r="27" spans="1:48">
      <c r="A27" s="2831" t="s">
        <v>2733</v>
      </c>
      <c r="B27" s="2832" t="str">
        <f>'预评函-2'!B3</f>
        <v>宗地编号/不动产单元号</v>
      </c>
    </row>
    <row r="28" spans="1:48">
      <c r="A28" s="2831" t="s">
        <v>2709</v>
      </c>
      <c r="B28" s="2832" t="str">
        <f>'预评函-2'!B5</f>
        <v>11111111111</v>
      </c>
    </row>
    <row r="29" spans="1:48">
      <c r="A29" s="2831" t="s">
        <v>2735</v>
      </c>
      <c r="B29" s="2832">
        <f>'预评函-2'!C5</f>
        <v>22</v>
      </c>
    </row>
    <row r="30" spans="1:48">
      <c r="A30" s="2831" t="s">
        <v>2736</v>
      </c>
      <c r="B30" s="2832" t="str">
        <f>'预评函-2'!D3</f>
        <v>土地使用证编号/不动产权证书编号</v>
      </c>
    </row>
    <row r="31" spans="1:48">
      <c r="A31" s="2831" t="s">
        <v>2710</v>
      </c>
      <c r="B31" s="2832" t="str">
        <f>'预评函-2'!D5</f>
        <v>京国土字第111号</v>
      </c>
    </row>
    <row r="32" spans="1:48">
      <c r="A32" s="2831" t="s">
        <v>2711</v>
      </c>
      <c r="B32" s="2832">
        <f>'预评函-2'!E5</f>
        <v>0</v>
      </c>
      <c r="AV32" s="2836"/>
    </row>
    <row r="33" spans="1:2">
      <c r="A33" s="2831" t="s">
        <v>2712</v>
      </c>
      <c r="B33" s="2832">
        <f>'预评函-2'!F5</f>
        <v>258</v>
      </c>
    </row>
    <row r="34" spans="1:2">
      <c r="A34" s="2831" t="s">
        <v>2713</v>
      </c>
      <c r="B34" s="2832">
        <f>'预评函-2'!G5</f>
        <v>0</v>
      </c>
    </row>
    <row r="35" spans="1:2">
      <c r="A35" s="2831" t="s">
        <v>2714</v>
      </c>
      <c r="B35" s="2832">
        <f>'预评函-2'!H5</f>
        <v>1.5</v>
      </c>
    </row>
    <row r="36" spans="1:2">
      <c r="A36" s="2831" t="s">
        <v>2715</v>
      </c>
      <c r="B36" s="2832">
        <f>'预评函-2'!I5</f>
        <v>1.5</v>
      </c>
    </row>
    <row r="37" spans="1:2">
      <c r="A37" s="2831" t="s">
        <v>2716</v>
      </c>
      <c r="B37" s="2832">
        <f>'预评函-2'!J5</f>
        <v>1.5</v>
      </c>
    </row>
    <row r="38" spans="1:2">
      <c r="A38" s="2831" t="s">
        <v>2717</v>
      </c>
      <c r="B38" s="2832" t="str">
        <f>'预评函-2'!K5</f>
        <v>红线外七通、宗地红线内</v>
      </c>
    </row>
    <row r="39" spans="1:2">
      <c r="A39" s="2831" t="s">
        <v>2718</v>
      </c>
      <c r="B39" s="2832" t="str">
        <f>'预评函-2'!L5</f>
        <v>红线外七通、宗地红线内场地</v>
      </c>
    </row>
    <row r="40" spans="1:2">
      <c r="A40" s="2831" t="s">
        <v>2737</v>
      </c>
      <c r="B40" s="2832" t="str">
        <f>'预评函-2'!M3</f>
        <v>（剩余）土地使用年限/年</v>
      </c>
    </row>
    <row r="41" spans="1:2">
      <c r="A41" s="2831" t="s">
        <v>2719</v>
      </c>
      <c r="B41" s="2832">
        <f>'预评函-2'!M5</f>
        <v>0</v>
      </c>
    </row>
    <row r="42" spans="1:2">
      <c r="A42" s="2831" t="s">
        <v>2738</v>
      </c>
      <c r="B42" s="2832" t="str">
        <f>'预评函-2'!N3</f>
        <v>（分摊）出让国有建设用地使用权面积/㎡</v>
      </c>
    </row>
    <row r="43" spans="1:2">
      <c r="A43" s="2831" t="s">
        <v>2720</v>
      </c>
      <c r="B43" s="2832">
        <f>'预评函-2'!N5</f>
        <v>27220.14</v>
      </c>
    </row>
    <row r="44" spans="1:2">
      <c r="A44" s="2831" t="s">
        <v>2739</v>
      </c>
      <c r="B44" s="2832" t="str">
        <f>'预评函-2'!O3</f>
        <v>规划建筑面积/㎡</v>
      </c>
    </row>
    <row r="45" spans="1:2">
      <c r="A45" s="2831" t="s">
        <v>2721</v>
      </c>
      <c r="B45" s="2832">
        <f>'预评函-2'!O5</f>
        <v>163564.33000000002</v>
      </c>
    </row>
    <row r="46" spans="1:2">
      <c r="A46" s="2831" t="s">
        <v>2722</v>
      </c>
      <c r="B46" s="2832">
        <f ca="1">'预评函-2'!P5</f>
        <v>7784</v>
      </c>
    </row>
    <row r="47" spans="1:2">
      <c r="A47" s="2831" t="s">
        <v>2723</v>
      </c>
      <c r="B47" s="2832">
        <f ca="1">'预评函-2'!Q5</f>
        <v>1295</v>
      </c>
    </row>
    <row r="48" spans="1:2">
      <c r="A48" s="2831" t="s">
        <v>2724</v>
      </c>
      <c r="B48" s="2832">
        <f ca="1">'预评函-2'!R5</f>
        <v>21188</v>
      </c>
    </row>
    <row r="49" spans="1:2">
      <c r="A49" s="2831" t="s">
        <v>2740</v>
      </c>
      <c r="B49" s="2832" t="str">
        <f>'预评函-2'!A6</f>
        <v>抵押价格</v>
      </c>
    </row>
    <row r="50" spans="1:2">
      <c r="A50" s="2831" t="s">
        <v>2725</v>
      </c>
      <c r="B50" s="2832">
        <f ca="1">'预评函-2'!R6</f>
        <v>21188</v>
      </c>
    </row>
    <row r="51" spans="1:2">
      <c r="A51" s="2831" t="s">
        <v>2741</v>
      </c>
      <c r="B51" s="2832" t="str">
        <f>'预评函-2'!A7</f>
        <v>——</v>
      </c>
    </row>
    <row r="52" spans="1:2">
      <c r="A52" s="2831" t="s">
        <v>2726</v>
      </c>
      <c r="B52" s="2832" t="str">
        <f>'预评函-2'!R7</f>
        <v>——</v>
      </c>
    </row>
    <row r="53" spans="1:2">
      <c r="A53" s="2831" t="s">
        <v>2742</v>
      </c>
      <c r="B53" s="2832">
        <f>'预评函-2'!A8</f>
        <v>0</v>
      </c>
    </row>
    <row r="54" spans="1:2" s="2846" customFormat="1" ht="15" thickBot="1">
      <c r="A54" s="2853" t="s">
        <v>2727</v>
      </c>
      <c r="B54" s="2854" t="str">
        <f>'预评函-2'!R8</f>
        <v>——</v>
      </c>
    </row>
    <row r="55" spans="1:2" ht="15" thickTop="1">
      <c r="A55" s="2842" t="s">
        <v>2677</v>
      </c>
      <c r="B55" s="2843" t="str">
        <f>'预评函-3'!A2</f>
        <v>1.权利限制：根据估价对象《不动产权证书》原件、《国有土地使用权》复印件，截至估价期日，估价对象抵押权未见登记。未设定租赁等其他他项权利。</v>
      </c>
    </row>
    <row r="56" spans="1:2">
      <c r="A56" s="2831" t="s">
        <v>2678</v>
      </c>
      <c r="B56" s="2832" t="str">
        <f>'预评函-3'!A3</f>
        <v>2.基础设施条件：估价对象实际开发程度为红线外七通、宗地红线内；本次评估设定开发程度为红线外七通、宗地红线内场地。</v>
      </c>
    </row>
    <row r="57" spans="1:2">
      <c r="A57" s="2831" t="s">
        <v>2679</v>
      </c>
      <c r="B57" s="2832" t="str">
        <f>'预评函-3'!A4</f>
        <v>3.估价规划限制条件：详见《建设工程规划许可证》[]、《出让合同》[]。</v>
      </c>
    </row>
    <row r="58" spans="1:2" s="2846" customFormat="1" ht="15" thickBot="1">
      <c r="A58" s="2853" t="s">
        <v>2728</v>
      </c>
      <c r="B58" s="2854" t="str">
        <f>'预评函-3'!A5</f>
        <v>4.影响价格的其他限定条件：无。</v>
      </c>
    </row>
    <row r="59" spans="1:2" ht="15" thickTop="1">
      <c r="A59" s="2842" t="s">
        <v>2680</v>
      </c>
      <c r="B59" s="2843" t="str">
        <f>'预评函-3'!A8</f>
        <v>2.本《评估意见函》仅供金融机构进行内部审核使用，不做其他目的之用。</v>
      </c>
    </row>
    <row r="60" spans="1:2">
      <c r="A60" s="2831" t="s">
        <v>2681</v>
      </c>
      <c r="B60" s="2832" t="str">
        <f>'预评函-3'!A9</f>
        <v>3.抵押双方在办理抵押登记手续时，应使用本公司出具的正式《土地估价报告》，特提请报告使用者注意。</v>
      </c>
    </row>
    <row r="61" spans="1:2">
      <c r="A61" s="2831" t="s">
        <v>2683</v>
      </c>
      <c r="B61" s="2832" t="str">
        <f>'预评函-3'!A10</f>
        <v>4.估价师所知悉的法定优先受偿款情况为：</v>
      </c>
    </row>
    <row r="62" spans="1:2">
      <c r="A62" s="2831" t="s">
        <v>2682</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2684</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2685</v>
      </c>
      <c r="B64" s="2837" t="str">
        <f>'预评函-3'!A13</f>
        <v>（3）。</v>
      </c>
    </row>
    <row r="65" spans="1:2">
      <c r="A65" s="2831" t="s">
        <v>2686</v>
      </c>
      <c r="B65" s="2838" t="str">
        <f>'预评函-3'!A14</f>
        <v>综上，本次评估不存在估价师知悉的法定优先受偿款</v>
      </c>
    </row>
    <row r="66" spans="1:2">
      <c r="A66" s="2831" t="s">
        <v>2687</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2688</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2691</v>
      </c>
      <c r="B68" s="2857">
        <f>'预评函-3'!D30</f>
        <v>42558</v>
      </c>
    </row>
    <row r="69" spans="1:2" ht="15" thickTop="1">
      <c r="A69" s="2842" t="s">
        <v>2689</v>
      </c>
      <c r="B69" s="2843" t="str">
        <f>'预评函-3'!A20</f>
        <v>土地估价师</v>
      </c>
    </row>
    <row r="70" spans="1:2">
      <c r="A70" s="2831" t="s">
        <v>2689</v>
      </c>
      <c r="B70" s="2838">
        <f>'预评函-3'!B20</f>
        <v>0</v>
      </c>
    </row>
    <row r="71" spans="1:2">
      <c r="A71" s="2831" t="s">
        <v>2690</v>
      </c>
      <c r="B71" s="2832" t="str">
        <f>'预评函-3'!A21</f>
        <v>土地估价师</v>
      </c>
    </row>
    <row r="72" spans="1:2" s="2846" customFormat="1" ht="15" thickBot="1">
      <c r="A72" s="2853" t="s">
        <v>2690</v>
      </c>
      <c r="B72" s="2859">
        <f>'预评函-3'!B21</f>
        <v>0</v>
      </c>
    </row>
    <row r="73" spans="1:2" ht="15" thickTop="1">
      <c r="A73" s="2842" t="s">
        <v>2749</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2750</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2751</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2786</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1901</v>
      </c>
      <c r="B36" s="1638" t="s">
        <v>1902</v>
      </c>
    </row>
    <row r="37" spans="1:9" ht="28.5" customHeight="1">
      <c r="A37" s="1638"/>
      <c r="B37" s="3743" t="str">
        <f>项目基本情况!B1</f>
        <v>出让国有建设用地使用权抵押价格预评估</v>
      </c>
      <c r="C37" s="3743"/>
      <c r="D37" s="3743"/>
      <c r="E37" s="3743"/>
      <c r="F37" s="3743"/>
      <c r="G37" s="3743"/>
      <c r="H37" s="3743"/>
      <c r="I37" s="3743"/>
    </row>
    <row r="38" spans="1:9">
      <c r="A38" s="1640"/>
      <c r="B38" s="1640"/>
    </row>
    <row r="39" spans="1:9">
      <c r="A39" s="1638" t="s">
        <v>1901</v>
      </c>
      <c r="B39" s="1638" t="s">
        <v>2046</v>
      </c>
    </row>
    <row r="40" spans="1:9">
      <c r="A40" s="1638"/>
      <c r="B40" s="1638">
        <f>项目基本情况!B5</f>
        <v>0</v>
      </c>
    </row>
    <row r="41" spans="1:9">
      <c r="A41" s="1638"/>
      <c r="B41" s="1638"/>
    </row>
    <row r="42" spans="1:9">
      <c r="A42" s="1638" t="s">
        <v>1901</v>
      </c>
      <c r="B42" s="1638" t="s">
        <v>2047</v>
      </c>
    </row>
    <row r="43" spans="1:9">
      <c r="A43" s="1638"/>
      <c r="B43" s="1638" t="s">
        <v>1903</v>
      </c>
    </row>
    <row r="44" spans="1:9">
      <c r="A44" s="1638"/>
      <c r="B44" s="1638"/>
    </row>
    <row r="45" spans="1:9">
      <c r="A45" s="1638" t="s">
        <v>1901</v>
      </c>
      <c r="B45" s="1638" t="s">
        <v>2045</v>
      </c>
    </row>
    <row r="46" spans="1:9" s="1638" customFormat="1" ht="12.75">
      <c r="B46" s="1638" t="str">
        <f>项目基本情况!K4</f>
        <v>土地估价师、土地估价师</v>
      </c>
    </row>
    <row r="47" spans="1:9">
      <c r="A47" s="1638"/>
      <c r="B47" s="1638"/>
    </row>
    <row r="48" spans="1:9">
      <c r="A48" s="1638" t="s">
        <v>1901</v>
      </c>
      <c r="B48" s="1638" t="s">
        <v>2048</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1904</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1905</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27220.14平方米。根据《建设工程规划许可证》[]、《出让合同》[]，估价对象规划建筑面积为163564.33平方米。</v>
      </c>
    </row>
    <row r="7" spans="1:4" ht="56.25">
      <c r="A7" s="1779" t="s">
        <v>2746</v>
      </c>
    </row>
    <row r="8" spans="1:4" ht="18.75">
      <c r="A8" s="1778" t="s">
        <v>1906</v>
      </c>
    </row>
    <row r="9" spans="1:4" ht="56.25">
      <c r="A9" s="1780"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1" t="s">
        <v>2026</v>
      </c>
    </row>
    <row r="11" spans="1:4" ht="18.75">
      <c r="A11" s="1764" t="str">
        <f>TEXT(项目基本情况!D3,"yyyy年m月d日;;")&amp;IF(项目基本情况!B3=项目基本情况!D3,"（评估专业人员勘察现场之日）","")</f>
        <v>2019年7月1日（评估专业人员勘察现场之日）</v>
      </c>
    </row>
    <row r="12" spans="1:4" ht="18.75">
      <c r="A12" s="1781" t="s">
        <v>2025</v>
      </c>
    </row>
    <row r="13" spans="1:4" ht="18.75">
      <c r="A13" s="1775" t="s">
        <v>2938</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2072</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2073</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根据《国有土地使用证》[]，估价对象（分摊）出让国有建设用地使用权面积为27220.14平方米。根据《建设工程规划许可证》[]、《出让合同》[]，估价对象规划建筑面积为163564.33平方米。</v>
      </c>
    </row>
    <row r="21" spans="1:1" ht="18.75">
      <c r="A21" s="1775" t="s">
        <v>2074</v>
      </c>
    </row>
    <row r="22" spans="1:1" ht="93.7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2064年1月15日、商业2054年1月15日地下车库2054年1月15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2075</v>
      </c>
    </row>
    <row r="25" spans="1:1" ht="75">
      <c r="A25" s="1775" t="str">
        <f>定义!C53</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26" spans="1:1" ht="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2027</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1904</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1905</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27220.14平方米。根据《建设工程规划许可证》[]、《出让合同》[]，估价对象规划建筑面积为163564.33平方米。</v>
      </c>
    </row>
    <row r="7" spans="1:4" ht="93.75">
      <c r="A7" s="2827" t="s">
        <v>2747</v>
      </c>
    </row>
    <row r="8" spans="1:4" ht="18.75">
      <c r="A8" s="1778" t="s">
        <v>1906</v>
      </c>
    </row>
    <row r="9" spans="1:4" ht="56.25">
      <c r="A9" s="1780"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1" t="s">
        <v>2026</v>
      </c>
    </row>
    <row r="11" spans="1:4" ht="18.75">
      <c r="A11" s="1764" t="str">
        <f>TEXT(项目基本情况!D3,"yyyy年m月d日;;")&amp;IF(项目基本情况!B3=项目基本情况!D3,"（评估专业人员勘察现场之日）","")</f>
        <v>2019年7月1日（评估专业人员勘察现场之日）</v>
      </c>
    </row>
    <row r="12" spans="1:4" ht="18.75">
      <c r="A12" s="1781" t="s">
        <v>2025</v>
      </c>
    </row>
    <row r="13" spans="1:4" ht="18.75">
      <c r="A13" s="1775" t="s">
        <v>2071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2072</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2073</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根据《国有土地使用证》[]，估价对象（分摊）出让国有建设用地使用权面积为27220.14平方米。根据《建设工程规划许可证》[]、《出让合同》[]，估价对象规划建筑面积为163564.33平方米。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2074</v>
      </c>
    </row>
    <row r="23" spans="1:1" ht="18.75">
      <c r="A23" s="2829" t="s">
        <v>2748</v>
      </c>
    </row>
    <row r="24" spans="1:1" ht="18.75">
      <c r="A24" s="1775" t="s">
        <v>2075</v>
      </c>
    </row>
    <row r="25" spans="1:1" ht="75">
      <c r="A25" s="1775" t="str">
        <f>定义!C53</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26" spans="1:1" ht="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2027</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47" t="s">
        <v>2038</v>
      </c>
      <c r="B1" s="3747"/>
      <c r="C1" s="3747"/>
      <c r="D1" s="3747"/>
      <c r="E1" s="3747"/>
      <c r="F1" s="3747"/>
      <c r="G1" s="3747"/>
      <c r="H1" s="3747"/>
      <c r="I1" s="3747"/>
      <c r="J1" s="3747"/>
      <c r="K1" s="3747"/>
      <c r="L1" s="3747"/>
      <c r="M1" s="3747"/>
      <c r="N1" s="3747"/>
      <c r="O1" s="3747"/>
      <c r="P1" s="3747"/>
      <c r="Q1" s="3747"/>
      <c r="R1" s="3747"/>
    </row>
    <row r="2" spans="1:18">
      <c r="A2" s="1791" t="s">
        <v>2040</v>
      </c>
      <c r="B2" s="1791"/>
      <c r="C2" s="1791"/>
      <c r="D2" s="1791"/>
      <c r="E2" s="1791"/>
      <c r="F2" s="1791"/>
      <c r="G2" s="1791"/>
      <c r="H2" s="1791"/>
      <c r="I2" s="1792"/>
      <c r="J2" s="1792"/>
      <c r="K2" s="1793" t="str">
        <f>"估价期日："&amp;TEXT(项目基本情况!D3,"yyyy年m月d日;;")</f>
        <v>估价期日：2019年7月1日</v>
      </c>
      <c r="L2" s="1791"/>
      <c r="M2" s="1791"/>
      <c r="N2" s="1791"/>
      <c r="O2" s="1791"/>
      <c r="P2" s="1791"/>
      <c r="Q2" s="1791"/>
      <c r="R2" s="1793" t="str">
        <f>"估价期日的国有建设用地使用权性质："&amp;项目基本情况!B16</f>
        <v>估价期日的国有建设用地使用权性质：出让</v>
      </c>
    </row>
    <row r="3" spans="1:18" ht="23.25" customHeight="1">
      <c r="A3" s="3748" t="s">
        <v>2029</v>
      </c>
      <c r="B3" s="3748" t="s">
        <v>2730</v>
      </c>
      <c r="C3" s="3749" t="s">
        <v>2030</v>
      </c>
      <c r="D3" s="3748" t="s">
        <v>2734</v>
      </c>
      <c r="E3" s="3751" t="s">
        <v>2031</v>
      </c>
      <c r="F3" s="3751"/>
      <c r="G3" s="3751"/>
      <c r="H3" s="3751" t="s">
        <v>2032</v>
      </c>
      <c r="I3" s="3751"/>
      <c r="J3" s="3751"/>
      <c r="K3" s="3749" t="s">
        <v>2033</v>
      </c>
      <c r="L3" s="3749" t="s">
        <v>2034</v>
      </c>
      <c r="M3" s="3748" t="s">
        <v>2731</v>
      </c>
      <c r="N3" s="3750" t="str">
        <f>"（分摊）"&amp;项目基本情况!B16&amp;"国有建设用地使用权面积/㎡"</f>
        <v>（分摊）出让国有建设用地使用权面积/㎡</v>
      </c>
      <c r="O3" s="3748" t="s">
        <v>2063</v>
      </c>
      <c r="P3" s="3749" t="s">
        <v>2043</v>
      </c>
      <c r="Q3" s="3749" t="s">
        <v>2064</v>
      </c>
      <c r="R3" s="3749" t="s">
        <v>2035</v>
      </c>
    </row>
    <row r="4" spans="1:18" ht="36.75" customHeight="1">
      <c r="A4" s="3748"/>
      <c r="B4" s="3748"/>
      <c r="C4" s="3749"/>
      <c r="D4" s="3748"/>
      <c r="E4" s="2612" t="s">
        <v>2042</v>
      </c>
      <c r="F4" s="2612" t="s">
        <v>2743</v>
      </c>
      <c r="G4" s="2612" t="s">
        <v>2036</v>
      </c>
      <c r="H4" s="2612" t="s">
        <v>2037</v>
      </c>
      <c r="I4" s="2612" t="s">
        <v>2744</v>
      </c>
      <c r="J4" s="2612" t="s">
        <v>2036</v>
      </c>
      <c r="K4" s="3749"/>
      <c r="L4" s="3749"/>
      <c r="M4" s="3748"/>
      <c r="N4" s="3750"/>
      <c r="O4" s="3748"/>
      <c r="P4" s="3749"/>
      <c r="Q4" s="3749"/>
      <c r="R4" s="3749"/>
    </row>
    <row r="5" spans="1:18" ht="135" customHeight="1">
      <c r="A5" s="1927" t="s">
        <v>2654</v>
      </c>
      <c r="B5" s="2821" t="s">
        <v>2652</v>
      </c>
      <c r="C5" s="2611">
        <v>22</v>
      </c>
      <c r="D5" s="2610" t="s">
        <v>2653</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27220.14</v>
      </c>
      <c r="O5" s="1794">
        <f>项目基本情况!C21</f>
        <v>163564.33000000002</v>
      </c>
      <c r="P5" s="1794">
        <f ca="1">结果表!E42</f>
        <v>7784</v>
      </c>
      <c r="Q5" s="1794">
        <f ca="1">结果表!D42</f>
        <v>1295</v>
      </c>
      <c r="R5" s="1795">
        <f ca="1">结果表!C42</f>
        <v>21188</v>
      </c>
    </row>
    <row r="6" spans="1:18">
      <c r="A6" s="3744" t="str">
        <f>IF(项目基本情况!B9="市场价格","——","抵押价格")</f>
        <v>抵押价格</v>
      </c>
      <c r="B6" s="3745"/>
      <c r="C6" s="3745"/>
      <c r="D6" s="3745"/>
      <c r="E6" s="3745"/>
      <c r="F6" s="3745"/>
      <c r="G6" s="3745"/>
      <c r="H6" s="3745"/>
      <c r="I6" s="3745"/>
      <c r="J6" s="3745"/>
      <c r="K6" s="3745"/>
      <c r="L6" s="3745"/>
      <c r="M6" s="3745"/>
      <c r="N6" s="3745"/>
      <c r="O6" s="3745"/>
      <c r="P6" s="3745"/>
      <c r="Q6" s="3746"/>
      <c r="R6" s="1796">
        <f ca="1">结果表!O39</f>
        <v>21188</v>
      </c>
    </row>
    <row r="7" spans="1:18">
      <c r="A7" s="3744" t="str">
        <f>IF(项目基本情况!B9="市场价格","——",IF(项目基本情况!E8="已注销及未注销","抵押担保权已注销时的抵押价格","——"))</f>
        <v>——</v>
      </c>
      <c r="B7" s="3745"/>
      <c r="C7" s="3745"/>
      <c r="D7" s="3745"/>
      <c r="E7" s="3745"/>
      <c r="F7" s="3745"/>
      <c r="G7" s="3745"/>
      <c r="H7" s="3745"/>
      <c r="I7" s="3745"/>
      <c r="J7" s="3745"/>
      <c r="K7" s="3745"/>
      <c r="L7" s="3745"/>
      <c r="M7" s="3745"/>
      <c r="N7" s="3745"/>
      <c r="O7" s="3745"/>
      <c r="P7" s="3745"/>
      <c r="Q7" s="3746"/>
      <c r="R7" s="1796" t="str">
        <f>结果表!O40</f>
        <v>——</v>
      </c>
    </row>
    <row r="8" spans="1:18">
      <c r="A8" s="3744">
        <f>IF(项目基本情况!B9="市场价格","——",项目基本情况!E9)</f>
        <v>0</v>
      </c>
      <c r="B8" s="3745"/>
      <c r="C8" s="3745"/>
      <c r="D8" s="3745"/>
      <c r="E8" s="3745"/>
      <c r="F8" s="3745"/>
      <c r="G8" s="3745"/>
      <c r="H8" s="3745"/>
      <c r="I8" s="3745"/>
      <c r="J8" s="3745"/>
      <c r="K8" s="3745"/>
      <c r="L8" s="3745"/>
      <c r="M8" s="3745"/>
      <c r="N8" s="3745"/>
      <c r="O8" s="3745"/>
      <c r="P8" s="3745"/>
      <c r="Q8" s="3746"/>
      <c r="R8" s="1796" t="str">
        <f>结果表!O41</f>
        <v>——</v>
      </c>
    </row>
    <row r="9" spans="1:18">
      <c r="A9" s="1797" t="s">
        <v>2041</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2028</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752" t="s">
        <v>2065</v>
      </c>
      <c r="B1" s="3752"/>
      <c r="C1" s="3752"/>
      <c r="D1" s="3752"/>
    </row>
    <row r="2" spans="1:4" ht="47.25" customHeight="1">
      <c r="A2" s="3756" t="str">
        <f>"1.权利限制："&amp;项目基本情况!L24&amp;"未设定租赁等其他他项权利。"</f>
        <v>1.权利限制：根据估价对象《不动产权证书》原件、《国有土地使用权》复印件，截至估价期日，估价对象抵押权未见登记。未设定租赁等其他他项权利。</v>
      </c>
      <c r="B2" s="3756"/>
      <c r="C2" s="3756"/>
      <c r="D2" s="3756"/>
    </row>
    <row r="3" spans="1:4" ht="48" customHeight="1">
      <c r="A3" s="37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52"/>
      <c r="C3" s="3752"/>
      <c r="D3" s="3752"/>
    </row>
    <row r="4" spans="1:4" ht="36.75" customHeight="1">
      <c r="A4" s="3752" t="str">
        <f>"3.估价规划限制条件：详见"&amp;项目基本情况!E21&amp;"。"</f>
        <v>3.估价规划限制条件：详见《建设工程规划许可证》[]、《出让合同》[]。</v>
      </c>
      <c r="B4" s="3752"/>
      <c r="C4" s="3752"/>
      <c r="D4" s="3752"/>
    </row>
    <row r="5" spans="1:4">
      <c r="A5" s="3755" t="s">
        <v>2066</v>
      </c>
      <c r="B5" s="3755"/>
      <c r="C5" s="3755"/>
      <c r="D5" s="3755"/>
    </row>
    <row r="6" spans="1:4">
      <c r="A6" s="3752" t="s">
        <v>2044</v>
      </c>
      <c r="B6" s="3752"/>
      <c r="C6" s="3752"/>
      <c r="D6" s="3752"/>
    </row>
    <row r="7" spans="1:4" ht="33" customHeight="1">
      <c r="A7" s="3752" t="s">
        <v>2574</v>
      </c>
      <c r="B7" s="3752"/>
      <c r="C7" s="3752"/>
      <c r="D7" s="3752"/>
    </row>
    <row r="8" spans="1:4" ht="32.25" customHeight="1">
      <c r="A8" s="37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52"/>
      <c r="C8" s="3752"/>
      <c r="D8" s="3752"/>
    </row>
    <row r="9" spans="1:4" ht="33.75" customHeight="1">
      <c r="A9" s="37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52"/>
      <c r="C9" s="3752"/>
      <c r="D9" s="3752"/>
    </row>
    <row r="10" spans="1:4">
      <c r="A10" s="3752" t="str">
        <f>IF(项目基本情况!B8="抵押","4.估价师所知悉的法定优先受偿款情况为：","——")</f>
        <v>4.估价师所知悉的法定优先受偿款情况为：</v>
      </c>
      <c r="B10" s="3752"/>
      <c r="C10" s="3752"/>
      <c r="D10" s="3752"/>
    </row>
    <row r="11" spans="1:4" ht="37.5" customHeight="1">
      <c r="A11" s="375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54"/>
      <c r="C11" s="3754"/>
      <c r="D11" s="3754"/>
    </row>
    <row r="12" spans="1:4" ht="168" customHeight="1">
      <c r="A12" s="3755" t="s">
        <v>2068</v>
      </c>
      <c r="B12" s="3755"/>
      <c r="C12" s="3755"/>
      <c r="D12" s="3755"/>
    </row>
    <row r="13" spans="1:4">
      <c r="A13" s="3753" t="s">
        <v>2745</v>
      </c>
      <c r="B13" s="3753"/>
      <c r="C13" s="3753"/>
      <c r="D13" s="3753"/>
    </row>
    <row r="14" spans="1:4">
      <c r="A14" s="3754" t="str">
        <f>IF(项目基本情况!B8="抵押","综上，"&amp;结果表!K47,"——")</f>
        <v>综上，本次评估不存在估价师知悉的法定优先受偿款</v>
      </c>
      <c r="B14" s="3754"/>
      <c r="C14" s="3754"/>
      <c r="D14" s="3754"/>
    </row>
    <row r="15" spans="1:4" ht="58.5" customHeight="1">
      <c r="A15" s="37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52"/>
      <c r="C15" s="3752"/>
      <c r="D15" s="3752"/>
    </row>
    <row r="16" spans="1:4" ht="70.5" customHeight="1">
      <c r="A16" s="37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52"/>
      <c r="C16" s="3752"/>
      <c r="D16" s="3752"/>
    </row>
    <row r="17" spans="1:4">
      <c r="A17" s="3752" t="s">
        <v>2701</v>
      </c>
      <c r="B17" s="3752"/>
      <c r="C17" s="3752"/>
      <c r="D17" s="3752"/>
    </row>
    <row r="18" spans="1:4">
      <c r="A18" s="3752" t="s">
        <v>2693</v>
      </c>
      <c r="B18" s="3752"/>
      <c r="C18" s="3752"/>
      <c r="D18" s="3752"/>
    </row>
    <row r="19" spans="1:4">
      <c r="A19" s="2822" t="s">
        <v>2694</v>
      </c>
      <c r="B19" s="2822" t="s">
        <v>2695</v>
      </c>
      <c r="C19" s="2822" t="s">
        <v>2696</v>
      </c>
      <c r="D19" s="2822" t="s">
        <v>2697</v>
      </c>
    </row>
    <row r="20" spans="1:4">
      <c r="A20" s="2822" t="str">
        <f>项目基本情况!B4</f>
        <v>土地估价师</v>
      </c>
      <c r="B20" s="2822">
        <f>项目基本情况!C4</f>
        <v>0</v>
      </c>
      <c r="C20" s="2824"/>
      <c r="D20" s="1784" t="s">
        <v>2702</v>
      </c>
    </row>
    <row r="21" spans="1:4">
      <c r="A21" s="2822" t="str">
        <f>项目基本情况!D4</f>
        <v>土地估价师</v>
      </c>
      <c r="B21" s="2822">
        <f>项目基本情况!E4</f>
        <v>0</v>
      </c>
      <c r="C21" s="2824"/>
      <c r="D21" s="1784" t="s">
        <v>2703</v>
      </c>
    </row>
    <row r="23" spans="1:4">
      <c r="A23" s="3752" t="s">
        <v>2698</v>
      </c>
      <c r="B23" s="3752"/>
      <c r="C23" s="3752"/>
      <c r="D23" s="3752"/>
    </row>
    <row r="24" spans="1:4">
      <c r="A24" s="2822" t="s">
        <v>2694</v>
      </c>
      <c r="B24" s="2822" t="s">
        <v>2699</v>
      </c>
      <c r="C24" s="2822" t="s">
        <v>2696</v>
      </c>
      <c r="D24" s="2822" t="s">
        <v>2697</v>
      </c>
    </row>
    <row r="25" spans="1:4">
      <c r="A25" s="2825" t="s">
        <v>2700</v>
      </c>
      <c r="B25" s="2822" t="s">
        <v>952</v>
      </c>
      <c r="C25" s="2824"/>
      <c r="D25" s="1784" t="s">
        <v>2703</v>
      </c>
    </row>
    <row r="29" spans="1:4">
      <c r="D29" s="2823" t="s">
        <v>2039</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25">
      <c r="A15" s="3764" t="s">
        <v>53</v>
      </c>
      <c r="B15" s="3765" t="s">
        <v>846</v>
      </c>
      <c r="C15" s="3761"/>
    </row>
    <row r="16" spans="1:7" ht="14.25">
      <c r="A16" s="3764"/>
      <c r="B16" s="3762" t="s">
        <v>54</v>
      </c>
      <c r="C16" s="1167" t="s">
        <v>53</v>
      </c>
    </row>
    <row r="17" spans="1:3" ht="14.25">
      <c r="A17" s="3764"/>
      <c r="B17" s="3762"/>
      <c r="C17" s="1167" t="s">
        <v>55</v>
      </c>
    </row>
    <row r="18" spans="1:3" ht="14.25">
      <c r="A18" s="3764"/>
      <c r="B18" s="3762"/>
      <c r="C18" s="1167" t="s">
        <v>56</v>
      </c>
    </row>
    <row r="19" spans="1:3" ht="14.25">
      <c r="A19" s="3764"/>
      <c r="B19" s="3760" t="s">
        <v>57</v>
      </c>
      <c r="C19" s="3761"/>
    </row>
    <row r="20" spans="1:3" ht="14.25">
      <c r="A20" s="1168" t="s">
        <v>58</v>
      </c>
      <c r="B20" s="1169"/>
      <c r="C20" s="1170"/>
    </row>
    <row r="21" spans="1:3" ht="14.25">
      <c r="A21" s="3763" t="s">
        <v>59</v>
      </c>
      <c r="B21" s="3760" t="s">
        <v>60</v>
      </c>
      <c r="C21" s="3761"/>
    </row>
    <row r="22" spans="1:3" ht="14.25">
      <c r="A22" s="3763"/>
      <c r="B22" s="3760" t="s">
        <v>61</v>
      </c>
      <c r="C22" s="3761"/>
    </row>
    <row r="23" spans="1:3" ht="14.25">
      <c r="A23" s="3763"/>
      <c r="B23" s="3760" t="s">
        <v>62</v>
      </c>
      <c r="C23" s="3761"/>
    </row>
    <row r="24" spans="1:3" ht="14.25">
      <c r="A24" s="3763"/>
      <c r="B24" s="3766" t="s">
        <v>63</v>
      </c>
      <c r="C24" s="1171" t="s">
        <v>837</v>
      </c>
    </row>
    <row r="25" spans="1:3" ht="14.25">
      <c r="A25" s="3763"/>
      <c r="B25" s="3767"/>
      <c r="C25" s="1171" t="s">
        <v>838</v>
      </c>
    </row>
    <row r="26" spans="1:3" ht="14.25">
      <c r="A26" s="3763"/>
      <c r="B26" s="3767"/>
      <c r="C26" s="1171" t="s">
        <v>839</v>
      </c>
    </row>
    <row r="27" spans="1:3" ht="14.25">
      <c r="A27" s="3763"/>
      <c r="B27" s="3767"/>
      <c r="C27" s="1171" t="s">
        <v>840</v>
      </c>
    </row>
    <row r="28" spans="1:3" ht="14.25">
      <c r="A28" s="3763"/>
      <c r="B28" s="3767"/>
      <c r="C28" s="1171" t="s">
        <v>841</v>
      </c>
    </row>
    <row r="29" spans="1:3" ht="14.25">
      <c r="A29" s="3763"/>
      <c r="B29" s="3767"/>
      <c r="C29" s="1171" t="s">
        <v>842</v>
      </c>
    </row>
    <row r="30" spans="1:3" ht="14.25">
      <c r="A30" s="3763"/>
      <c r="B30" s="3767"/>
      <c r="C30" s="1171" t="s">
        <v>843</v>
      </c>
    </row>
    <row r="31" spans="1:3" ht="14.25">
      <c r="A31" s="3763"/>
      <c r="B31" s="3767"/>
      <c r="C31" s="1171" t="s">
        <v>844</v>
      </c>
    </row>
    <row r="32" spans="1:3" ht="14.25">
      <c r="A32" s="3763"/>
      <c r="B32" s="3767"/>
      <c r="C32" s="1171" t="s">
        <v>1646</v>
      </c>
    </row>
    <row r="33" spans="1:3" ht="14.25">
      <c r="A33" s="3763"/>
      <c r="B33" s="3757" t="s">
        <v>1652</v>
      </c>
      <c r="C33" s="1171" t="s">
        <v>1647</v>
      </c>
    </row>
    <row r="34" spans="1:3" ht="14.25">
      <c r="A34" s="3763"/>
      <c r="B34" s="3758"/>
      <c r="C34" s="1176" t="s">
        <v>1648</v>
      </c>
    </row>
    <row r="35" spans="1:3" ht="14.25">
      <c r="A35" s="3763"/>
      <c r="B35" s="3758"/>
      <c r="C35" s="1177" t="s">
        <v>1649</v>
      </c>
    </row>
    <row r="36" spans="1:3" ht="14.25">
      <c r="A36" s="3763"/>
      <c r="B36" s="3758"/>
      <c r="C36" s="1177" t="s">
        <v>1650</v>
      </c>
    </row>
    <row r="37" spans="1:3" ht="14.25">
      <c r="A37" s="3763"/>
      <c r="B37" s="3759"/>
      <c r="C37" s="1178" t="s">
        <v>1651</v>
      </c>
    </row>
    <row r="38" spans="1:3">
      <c r="A38" s="1172" t="s">
        <v>845</v>
      </c>
    </row>
    <row r="41" spans="1:3">
      <c r="A41" s="1172" t="s">
        <v>68</v>
      </c>
    </row>
    <row r="42" spans="1:3" ht="14.25">
      <c r="A42" s="1173" t="s">
        <v>853</v>
      </c>
    </row>
    <row r="43" spans="1:3" ht="14.25">
      <c r="A43" s="1174" t="s">
        <v>69</v>
      </c>
    </row>
    <row r="44" spans="1:3" ht="14.25">
      <c r="A44" s="1173" t="s">
        <v>852</v>
      </c>
    </row>
    <row r="45" spans="1:3" ht="14.25">
      <c r="A45" s="1175" t="s">
        <v>854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6" customWidth="1"/>
    <col min="2" max="5" width="22.625" style="3126"/>
    <col min="6" max="6" width="25.625" style="3126" customWidth="1"/>
    <col min="7" max="16384" width="22.625" style="3126"/>
  </cols>
  <sheetData>
    <row r="2" spans="1:6" ht="20.25" customHeight="1">
      <c r="A2" s="3123" t="s">
        <v>1907</v>
      </c>
      <c r="B2" s="3124">
        <f ca="1">TODAY()</f>
        <v>43656</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43849</v>
      </c>
      <c r="D4" s="3128" t="s">
        <v>1914</v>
      </c>
      <c r="E4" s="3128">
        <f ca="1">IF(F4&lt;B2,"已过期",96010014)</f>
        <v>96010014</v>
      </c>
      <c r="F4" s="3131">
        <v>47118</v>
      </c>
    </row>
    <row r="5" spans="1:6" ht="20.25" customHeight="1">
      <c r="A5" s="3128" t="s">
        <v>1915</v>
      </c>
      <c r="B5" s="3128">
        <f ca="1">IF(C5&lt;B2,"已过期",1119970074)</f>
        <v>1119970074</v>
      </c>
      <c r="C5" s="3130">
        <v>43849</v>
      </c>
      <c r="D5" s="3128" t="s">
        <v>1915</v>
      </c>
      <c r="E5" s="3128">
        <f ca="1">IF(F5&lt;B2,"已过期",2002110027)</f>
        <v>2002110027</v>
      </c>
      <c r="F5" s="3131">
        <v>46752</v>
      </c>
    </row>
    <row r="6" spans="1:6" ht="20.25" customHeight="1">
      <c r="A6" s="3128" t="s">
        <v>1916</v>
      </c>
      <c r="B6" s="3128">
        <f ca="1">IF(C6&lt;B2,"已过期",1119970111)</f>
        <v>1119970111</v>
      </c>
      <c r="C6" s="3130">
        <v>43849</v>
      </c>
      <c r="D6" s="3128" t="s">
        <v>1916</v>
      </c>
      <c r="E6" s="3128">
        <f ca="1">IF(F6&lt;B2,"已过期",94010078)</f>
        <v>94010078</v>
      </c>
      <c r="F6" s="3131">
        <v>46387</v>
      </c>
    </row>
    <row r="7" spans="1:6" ht="20.25" customHeight="1">
      <c r="A7" s="3128" t="s">
        <v>1917</v>
      </c>
      <c r="B7" s="3128">
        <f ca="1">IF(C7&lt;B2,"已过期",1120050019)</f>
        <v>1120050019</v>
      </c>
      <c r="C7" s="3130">
        <v>44395</v>
      </c>
      <c r="D7" s="3128" t="s">
        <v>1917</v>
      </c>
      <c r="E7" s="3128">
        <f ca="1">IF(F7&lt;B2,"已过期",2002110030)</f>
        <v>2002110030</v>
      </c>
      <c r="F7" s="3131">
        <v>46387</v>
      </c>
    </row>
    <row r="8" spans="1:6" ht="20.25" customHeight="1">
      <c r="A8" s="3128" t="s">
        <v>1918</v>
      </c>
      <c r="B8" s="3128">
        <f ca="1">IF(C8&lt;B2,"已过期",1120000080)</f>
        <v>1120000080</v>
      </c>
      <c r="C8" s="3130">
        <v>43849</v>
      </c>
      <c r="D8" s="3128" t="s">
        <v>1918</v>
      </c>
      <c r="E8" s="3128">
        <f ca="1">IF(F8&lt;B2,"已过期",2000110082)</f>
        <v>2000110082</v>
      </c>
      <c r="F8" s="3131">
        <v>46387</v>
      </c>
    </row>
    <row r="9" spans="1:6" ht="20.25" customHeight="1">
      <c r="A9" s="3128" t="s">
        <v>1919</v>
      </c>
      <c r="B9" s="3128">
        <f ca="1">IF(C9&lt;B2,"已过期",1419970001)</f>
        <v>1419970001</v>
      </c>
      <c r="C9" s="3130">
        <v>43867</v>
      </c>
      <c r="D9" s="3128" t="s">
        <v>1919</v>
      </c>
      <c r="E9" s="3128">
        <f ca="1">IF(F9&lt;B2,"已过期",2002110125)</f>
        <v>2002110125</v>
      </c>
      <c r="F9" s="3131">
        <v>47118</v>
      </c>
    </row>
    <row r="10" spans="1:6" ht="20.25" customHeight="1">
      <c r="A10" s="3128" t="s">
        <v>1920</v>
      </c>
      <c r="B10" s="3128">
        <f ca="1">IF(C10&lt;B2,"已过期",1120060040)</f>
        <v>1120060040</v>
      </c>
      <c r="C10" s="3130">
        <v>44554</v>
      </c>
      <c r="D10" s="3128" t="s">
        <v>1920</v>
      </c>
      <c r="E10" s="3128">
        <f ca="1">IF(F10&lt;B2,"已过期",2004110096)</f>
        <v>2004110096</v>
      </c>
      <c r="F10" s="3131">
        <v>47118</v>
      </c>
    </row>
    <row r="11" spans="1:6" ht="20.25" customHeight="1">
      <c r="A11" s="3128" t="s">
        <v>1921</v>
      </c>
      <c r="B11" s="3128">
        <f ca="1">IF(C11&lt;B2,"已过期",1120100036)</f>
        <v>1120100036</v>
      </c>
      <c r="C11" s="3130">
        <v>44675</v>
      </c>
      <c r="D11" s="3128" t="s">
        <v>1921</v>
      </c>
      <c r="E11" s="3128">
        <f ca="1">IF(F11&lt;B2,"已过期",2010110070)</f>
        <v>2010110070</v>
      </c>
      <c r="F11" s="3131">
        <v>47907</v>
      </c>
    </row>
    <row r="12" spans="1:6" ht="20.25" customHeight="1">
      <c r="A12" s="3128"/>
      <c r="B12" s="3128"/>
      <c r="C12" s="3130"/>
      <c r="D12" s="3128"/>
      <c r="E12" s="3128"/>
      <c r="F12" s="3131"/>
    </row>
    <row r="13" spans="1:6" ht="20.25" customHeight="1">
      <c r="A13" s="3128" t="s">
        <v>1922</v>
      </c>
      <c r="B13" s="3128">
        <f ca="1">IF(C13&lt;B2,"已过期",1120070131)</f>
        <v>1120070131</v>
      </c>
      <c r="C13" s="3130">
        <v>43814</v>
      </c>
      <c r="D13" s="3128" t="s">
        <v>1922</v>
      </c>
      <c r="E13" s="3128">
        <f ca="1">IF(F13&lt;B2,"已过期",2014110011)</f>
        <v>2014110011</v>
      </c>
      <c r="F13" s="3131">
        <v>49302</v>
      </c>
    </row>
    <row r="14" spans="1:6" ht="20.25" customHeight="1">
      <c r="A14" s="3128" t="s">
        <v>2977</v>
      </c>
      <c r="B14" s="3128">
        <f ca="1">IF(C14&lt;B2,"已过期",1120040230)</f>
        <v>1120040230</v>
      </c>
      <c r="C14" s="3132">
        <v>43835</v>
      </c>
      <c r="D14" s="3133" t="s">
        <v>2978</v>
      </c>
      <c r="E14" s="3128">
        <f ca="1">IF(F14&lt;B2,"已过期",98030020)</f>
        <v>98030020</v>
      </c>
      <c r="F14" s="3131">
        <v>47118</v>
      </c>
    </row>
    <row r="15" spans="1:6" ht="20.25" customHeight="1">
      <c r="A15" s="3128" t="s">
        <v>2573</v>
      </c>
      <c r="B15" s="3128">
        <f ca="1">IF(C15&lt;B2,"已过期",1120070085)</f>
        <v>1120070085</v>
      </c>
      <c r="C15" s="3132">
        <v>43814</v>
      </c>
      <c r="D15" s="3128" t="s">
        <v>2979</v>
      </c>
      <c r="E15" s="3128">
        <f ca="1">IF(F15&lt;B2,"已过期",2004110128)</f>
        <v>2004110128</v>
      </c>
      <c r="F15" s="3134">
        <v>47118</v>
      </c>
    </row>
    <row r="16" spans="1:6" ht="20.25" customHeight="1">
      <c r="A16" s="3128" t="s">
        <v>1923</v>
      </c>
      <c r="B16" s="3128">
        <f ca="1">IF(C16&lt;B2,"已过期",1120140022)</f>
        <v>1120140022</v>
      </c>
      <c r="C16" s="3130">
        <v>44029</v>
      </c>
      <c r="D16" s="3128" t="s">
        <v>2980</v>
      </c>
      <c r="E16" s="3128">
        <f ca="1">IF(F16&lt;B2,"已过期",2008110059)</f>
        <v>2008110059</v>
      </c>
      <c r="F16" s="3131">
        <v>47177</v>
      </c>
    </row>
    <row r="17" spans="1:7" ht="20.25" customHeight="1">
      <c r="A17" s="3128"/>
      <c r="B17" s="3128"/>
      <c r="C17" s="3130"/>
      <c r="D17" s="3133" t="s">
        <v>2981</v>
      </c>
      <c r="E17" s="3128">
        <f ca="1">IF(F17&lt;B2,"已过期",2014110076)</f>
        <v>2014110076</v>
      </c>
      <c r="F17" s="3131">
        <v>49302</v>
      </c>
    </row>
    <row r="18" spans="1:7" ht="20.25" customHeight="1">
      <c r="A18" s="3128"/>
      <c r="B18" s="3128"/>
      <c r="C18" s="3130"/>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1924</v>
      </c>
      <c r="E21" s="3128">
        <f ca="1">IF(F21&lt;B2,"已过期",2011110090)</f>
        <v>2011110090</v>
      </c>
      <c r="F21" s="3131">
        <v>48302</v>
      </c>
    </row>
    <row r="22" spans="1:7" ht="20.25" customHeight="1">
      <c r="A22" s="3128" t="s">
        <v>1925</v>
      </c>
      <c r="B22" s="3128">
        <f ca="1">IF(C22&lt;B2,"已过期",1120020033)</f>
        <v>1120020033</v>
      </c>
      <c r="C22" s="3130">
        <v>44339</v>
      </c>
      <c r="D22" s="3128" t="s">
        <v>1925</v>
      </c>
      <c r="E22" s="3128">
        <f ca="1">IF(F22&lt;B2,"已过期",2000110137)</f>
        <v>2000110137</v>
      </c>
      <c r="F22" s="3131">
        <v>46387</v>
      </c>
    </row>
    <row r="23" spans="1:7" ht="20.25" customHeight="1">
      <c r="A23" s="3128"/>
      <c r="B23" s="3128"/>
      <c r="C23" s="3130"/>
      <c r="D23" s="3128"/>
      <c r="E23" s="3128"/>
      <c r="F23" s="3128"/>
    </row>
    <row r="24" spans="1:7" s="3136" customFormat="1" ht="20.25" customHeight="1">
      <c r="A24" s="3127" t="s">
        <v>2053</v>
      </c>
      <c r="B24" s="3127" t="s">
        <v>2053</v>
      </c>
      <c r="C24" s="3130"/>
      <c r="D24" s="3135" t="s">
        <v>2053</v>
      </c>
      <c r="E24" s="3127" t="s">
        <v>2053</v>
      </c>
      <c r="F24" s="3134"/>
    </row>
    <row r="25" spans="1:7" ht="20.25" customHeight="1">
      <c r="A25" s="3768" t="s">
        <v>1926</v>
      </c>
      <c r="B25" s="3768"/>
      <c r="C25" s="3768"/>
      <c r="D25" s="3768"/>
      <c r="E25" s="3768"/>
      <c r="F25" s="3768"/>
      <c r="G25" s="3768"/>
    </row>
    <row r="26" spans="1:7" ht="20.25" customHeight="1">
      <c r="A26" s="3769" t="s">
        <v>1927</v>
      </c>
      <c r="B26" s="3769"/>
      <c r="C26" s="3769"/>
      <c r="D26" s="3769" t="s">
        <v>1928</v>
      </c>
      <c r="E26" s="3769"/>
      <c r="F26" s="3769"/>
    </row>
    <row r="27" spans="1:7" s="3123" customFormat="1" ht="20.25" customHeight="1">
      <c r="A27" s="3137" t="s">
        <v>1929</v>
      </c>
      <c r="B27" s="3138" t="s">
        <v>1930</v>
      </c>
      <c r="C27" s="3138" t="s">
        <v>1931</v>
      </c>
      <c r="D27" s="3128" t="s">
        <v>1929</v>
      </c>
      <c r="E27" s="3138" t="s">
        <v>1930</v>
      </c>
      <c r="F27" s="3138" t="s">
        <v>1931</v>
      </c>
    </row>
    <row r="28" spans="1:7" s="3123" customFormat="1" ht="20.25" customHeight="1">
      <c r="A28" s="3139" t="s">
        <v>1932</v>
      </c>
      <c r="B28" s="3139" t="s">
        <v>1933</v>
      </c>
      <c r="C28" s="3131">
        <v>43725</v>
      </c>
      <c r="D28" s="3139" t="s">
        <v>1934</v>
      </c>
      <c r="E28" s="3139" t="s">
        <v>1935</v>
      </c>
      <c r="F28" s="3140">
        <v>44377</v>
      </c>
    </row>
    <row r="29" spans="1:7" s="3123" customFormat="1" ht="20.25" customHeight="1">
      <c r="A29" s="3139"/>
      <c r="B29" s="3139"/>
      <c r="C29" s="3141"/>
      <c r="D29" s="3139" t="s">
        <v>1936</v>
      </c>
      <c r="E29" s="3139" t="s">
        <v>2989</v>
      </c>
      <c r="F29" s="3140">
        <v>43646</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49" priority="121">
      <formula>AND($C24-TODAY()&lt;30,TODAY()&lt;$C24)</formula>
    </cfRule>
  </conditionalFormatting>
  <conditionalFormatting sqref="C28">
    <cfRule type="expression" dxfId="248" priority="120">
      <formula>AND($C28-TODAY()&lt;30,TODAY()&lt;$C28)</formula>
    </cfRule>
  </conditionalFormatting>
  <conditionalFormatting sqref="C28 F4">
    <cfRule type="cellIs" dxfId="247" priority="122" stopIfTrue="1" operator="lessThan">
      <formula>$B$2</formula>
    </cfRule>
  </conditionalFormatting>
  <conditionalFormatting sqref="F5">
    <cfRule type="cellIs" dxfId="246" priority="118" stopIfTrue="1" operator="lessThan">
      <formula>$B$2</formula>
    </cfRule>
  </conditionalFormatting>
  <conditionalFormatting sqref="F6 F8 F10">
    <cfRule type="cellIs" dxfId="245" priority="116" stopIfTrue="1" operator="lessThan">
      <formula>$B$2</formula>
    </cfRule>
  </conditionalFormatting>
  <conditionalFormatting sqref="C24:D24">
    <cfRule type="expression" dxfId="244" priority="114">
      <formula>AND($C24-TODAY()&lt;30,TODAY()&lt;$C24)</formula>
    </cfRule>
  </conditionalFormatting>
  <conditionalFormatting sqref="F7 F9 F11 C24:D24">
    <cfRule type="cellIs" dxfId="243" priority="115" stopIfTrue="1" operator="lessThan">
      <formula>$B$2</formula>
    </cfRule>
  </conditionalFormatting>
  <conditionalFormatting sqref="F18">
    <cfRule type="cellIs" dxfId="242" priority="87" stopIfTrue="1" operator="lessThan">
      <formula>$B$2</formula>
    </cfRule>
  </conditionalFormatting>
  <conditionalFormatting sqref="F22">
    <cfRule type="cellIs" dxfId="241" priority="86" stopIfTrue="1" operator="lessThan">
      <formula>$B$2</formula>
    </cfRule>
  </conditionalFormatting>
  <conditionalFormatting sqref="F21">
    <cfRule type="cellIs" dxfId="240" priority="85" stopIfTrue="1" operator="lessThan">
      <formula>$B$2</formula>
    </cfRule>
  </conditionalFormatting>
  <conditionalFormatting sqref="B4:B11 E4:E11 E18:E23 B17:B23 B13 E13">
    <cfRule type="cellIs" dxfId="239" priority="83" stopIfTrue="1" operator="equal">
      <formula>"已过期"</formula>
    </cfRule>
  </conditionalFormatting>
  <conditionalFormatting sqref="F28">
    <cfRule type="cellIs" dxfId="238" priority="80" stopIfTrue="1" operator="lessThan">
      <formula>$B$2</formula>
    </cfRule>
  </conditionalFormatting>
  <conditionalFormatting sqref="F28">
    <cfRule type="expression" dxfId="237" priority="124">
      <formula>AND($E28-TODAY()&lt;30,TODAY()&lt;$E28)</formula>
    </cfRule>
  </conditionalFormatting>
  <conditionalFormatting sqref="C5">
    <cfRule type="expression" dxfId="236" priority="75">
      <formula>AND($C5-TODAY()&lt;30,TODAY()&lt;$C5)</formula>
    </cfRule>
  </conditionalFormatting>
  <conditionalFormatting sqref="C5">
    <cfRule type="cellIs" dxfId="235" priority="76" stopIfTrue="1" operator="lessThan">
      <formula>$B$2</formula>
    </cfRule>
  </conditionalFormatting>
  <conditionalFormatting sqref="C4:C6">
    <cfRule type="expression" dxfId="234" priority="73">
      <formula>AND($C4-TODAY()&lt;30,TODAY()&lt;$C4)</formula>
    </cfRule>
  </conditionalFormatting>
  <conditionalFormatting sqref="C4:C6">
    <cfRule type="cellIs" dxfId="233" priority="74" stopIfTrue="1" operator="lessThan">
      <formula>$B$2</formula>
    </cfRule>
  </conditionalFormatting>
  <conditionalFormatting sqref="C8:C9">
    <cfRule type="expression" dxfId="232" priority="71">
      <formula>AND($C8-TODAY()&lt;30,TODAY()&lt;$C8)</formula>
    </cfRule>
  </conditionalFormatting>
  <conditionalFormatting sqref="C8:C9">
    <cfRule type="cellIs" dxfId="231" priority="72" stopIfTrue="1" operator="lessThan">
      <formula>$B$2</formula>
    </cfRule>
  </conditionalFormatting>
  <conditionalFormatting sqref="C7">
    <cfRule type="expression" dxfId="230" priority="54">
      <formula>AND($C7-TODAY()&lt;30,TODAY()&lt;$C7)</formula>
    </cfRule>
  </conditionalFormatting>
  <conditionalFormatting sqref="C7">
    <cfRule type="cellIs" dxfId="229" priority="55" stopIfTrue="1" operator="lessThan">
      <formula>$B$2</formula>
    </cfRule>
  </conditionalFormatting>
  <conditionalFormatting sqref="C13 C23 C17:C21">
    <cfRule type="expression" dxfId="228" priority="52">
      <formula>AND($C13-TODAY()&lt;30,TODAY()&lt;$C13)</formula>
    </cfRule>
  </conditionalFormatting>
  <conditionalFormatting sqref="C13 C23 C17:C21">
    <cfRule type="cellIs" dxfId="227" priority="53" stopIfTrue="1" operator="lessThan">
      <formula>$B$2</formula>
    </cfRule>
  </conditionalFormatting>
  <conditionalFormatting sqref="F13">
    <cfRule type="cellIs" dxfId="226" priority="51" stopIfTrue="1" operator="lessThan">
      <formula>$B$2</formula>
    </cfRule>
  </conditionalFormatting>
  <conditionalFormatting sqref="F12">
    <cfRule type="cellIs" dxfId="225" priority="43" stopIfTrue="1" operator="lessThan">
      <formula>$B$2</formula>
    </cfRule>
  </conditionalFormatting>
  <conditionalFormatting sqref="B12 E12">
    <cfRule type="cellIs" dxfId="224" priority="42" stopIfTrue="1" operator="equal">
      <formula>"已过期"</formula>
    </cfRule>
  </conditionalFormatting>
  <conditionalFormatting sqref="C12">
    <cfRule type="expression" dxfId="223" priority="40">
      <formula>AND($C12-TODAY()&lt;30,TODAY()&lt;$C12)</formula>
    </cfRule>
  </conditionalFormatting>
  <conditionalFormatting sqref="C12">
    <cfRule type="cellIs" dxfId="222" priority="41" stopIfTrue="1" operator="lessThan">
      <formula>$B$2</formula>
    </cfRule>
  </conditionalFormatting>
  <conditionalFormatting sqref="C22">
    <cfRule type="expression" dxfId="221" priority="32">
      <formula>AND($C22-TODAY()&lt;30,TODAY()&lt;$C22)</formula>
    </cfRule>
  </conditionalFormatting>
  <conditionalFormatting sqref="C22">
    <cfRule type="cellIs" dxfId="220" priority="33" stopIfTrue="1" operator="lessThan">
      <formula>$B$2</formula>
    </cfRule>
  </conditionalFormatting>
  <conditionalFormatting sqref="C16">
    <cfRule type="expression" dxfId="219" priority="30">
      <formula>AND($C16-TODAY()&lt;30,TODAY()&lt;$C16)</formula>
    </cfRule>
  </conditionalFormatting>
  <conditionalFormatting sqref="C16">
    <cfRule type="cellIs" dxfId="218" priority="31" stopIfTrue="1" operator="lessThan">
      <formula>$B$2</formula>
    </cfRule>
  </conditionalFormatting>
  <conditionalFormatting sqref="C16">
    <cfRule type="expression" dxfId="217" priority="28">
      <formula>AND($C16-TODAY()&lt;30,TODAY()&lt;$C16)</formula>
    </cfRule>
  </conditionalFormatting>
  <conditionalFormatting sqref="C16">
    <cfRule type="cellIs" dxfId="216" priority="29" stopIfTrue="1" operator="lessThan">
      <formula>$B$2</formula>
    </cfRule>
  </conditionalFormatting>
  <conditionalFormatting sqref="B16">
    <cfRule type="cellIs" dxfId="215" priority="27" stopIfTrue="1" operator="equal">
      <formula>"已过期"</formula>
    </cfRule>
  </conditionalFormatting>
  <conditionalFormatting sqref="C14:C15">
    <cfRule type="expression" dxfId="214" priority="25">
      <formula>AND($C14-TODAY()&lt;30,TODAY()&lt;$C14)</formula>
    </cfRule>
  </conditionalFormatting>
  <conditionalFormatting sqref="C14:C15">
    <cfRule type="cellIs" dxfId="213" priority="26" stopIfTrue="1" operator="lessThan">
      <formula>$B$2</formula>
    </cfRule>
  </conditionalFormatting>
  <conditionalFormatting sqref="C14">
    <cfRule type="expression" dxfId="212" priority="23">
      <formula>AND($C14-TODAY()&lt;30,TODAY()&lt;$C14)</formula>
    </cfRule>
  </conditionalFormatting>
  <conditionalFormatting sqref="C14">
    <cfRule type="cellIs" dxfId="211" priority="24" stopIfTrue="1" operator="lessThan">
      <formula>$B$2</formula>
    </cfRule>
  </conditionalFormatting>
  <conditionalFormatting sqref="C15">
    <cfRule type="expression" dxfId="210" priority="21">
      <formula>AND($C15-TODAY()&lt;30,TODAY()&lt;$C15)</formula>
    </cfRule>
  </conditionalFormatting>
  <conditionalFormatting sqref="C15">
    <cfRule type="cellIs" dxfId="209" priority="22" stopIfTrue="1" operator="lessThan">
      <formula>$B$2</formula>
    </cfRule>
  </conditionalFormatting>
  <conditionalFormatting sqref="B14">
    <cfRule type="cellIs" dxfId="208" priority="20" stopIfTrue="1" operator="equal">
      <formula>"已过期"</formula>
    </cfRule>
  </conditionalFormatting>
  <conditionalFormatting sqref="B15">
    <cfRule type="cellIs" dxfId="207" priority="19" stopIfTrue="1" operator="equal">
      <formula>"已过期"</formula>
    </cfRule>
  </conditionalFormatting>
  <conditionalFormatting sqref="A15">
    <cfRule type="cellIs" dxfId="206" priority="18" stopIfTrue="1" operator="equal">
      <formula>"已过期"</formula>
    </cfRule>
  </conditionalFormatting>
  <conditionalFormatting sqref="C15">
    <cfRule type="expression" dxfId="205" priority="17">
      <formula>AND($C15-TODAY()&lt;30,TODAY()&lt;$C15)</formula>
    </cfRule>
  </conditionalFormatting>
  <conditionalFormatting sqref="F16">
    <cfRule type="cellIs" dxfId="204" priority="16" stopIfTrue="1" operator="lessThan">
      <formula>$B$2</formula>
    </cfRule>
  </conditionalFormatting>
  <conditionalFormatting sqref="E16">
    <cfRule type="cellIs" dxfId="203" priority="15" stopIfTrue="1" operator="equal">
      <formula>"已过期"</formula>
    </cfRule>
  </conditionalFormatting>
  <conditionalFormatting sqref="E15">
    <cfRule type="cellIs" dxfId="202" priority="14" stopIfTrue="1" operator="equal">
      <formula>"已过期"</formula>
    </cfRule>
  </conditionalFormatting>
  <conditionalFormatting sqref="D15">
    <cfRule type="cellIs" dxfId="201" priority="13" stopIfTrue="1" operator="equal">
      <formula>"已过期"</formula>
    </cfRule>
  </conditionalFormatting>
  <conditionalFormatting sqref="F17">
    <cfRule type="cellIs" dxfId="200" priority="12" stopIfTrue="1" operator="lessThan">
      <formula>$B$2</formula>
    </cfRule>
  </conditionalFormatting>
  <conditionalFormatting sqref="E17">
    <cfRule type="cellIs" dxfId="199" priority="11" stopIfTrue="1" operator="equal">
      <formula>"已过期"</formula>
    </cfRule>
  </conditionalFormatting>
  <conditionalFormatting sqref="E14">
    <cfRule type="cellIs" dxfId="198" priority="10" stopIfTrue="1" operator="equal">
      <formula>"已过期"</formula>
    </cfRule>
  </conditionalFormatting>
  <conditionalFormatting sqref="F14">
    <cfRule type="cellIs" dxfId="197" priority="9" stopIfTrue="1" operator="lessThan">
      <formula>$B$2</formula>
    </cfRule>
  </conditionalFormatting>
  <conditionalFormatting sqref="C10:C11">
    <cfRule type="expression" dxfId="196" priority="5">
      <formula>AND($C10-TODAY()&lt;30,TODAY()&lt;$C10)</formula>
    </cfRule>
  </conditionalFormatting>
  <conditionalFormatting sqref="C10:C11">
    <cfRule type="cellIs" dxfId="195" priority="6" stopIfTrue="1" operator="lessThan">
      <formula>$B$2</formula>
    </cfRule>
  </conditionalFormatting>
  <conditionalFormatting sqref="F29">
    <cfRule type="cellIs" dxfId="194" priority="1" stopIfTrue="1" operator="lessThan">
      <formula>$B$2</formula>
    </cfRule>
  </conditionalFormatting>
  <conditionalFormatting sqref="F29">
    <cfRule type="expression" dxfId="193"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4" zoomScale="80" zoomScaleNormal="80" workbookViewId="0">
      <selection activeCell="G14" sqref="G14 C14 A74:XFD75"/>
    </sheetView>
  </sheetViews>
  <sheetFormatPr defaultColWidth="9" defaultRowHeight="14.25"/>
  <cols>
    <col min="1" max="1" width="10.5" style="3370" customWidth="1"/>
    <col min="2" max="2" width="15.75" style="3370" customWidth="1"/>
    <col min="3" max="3" width="15.125" style="3370" customWidth="1"/>
    <col min="4" max="4" width="12.25" style="3370" customWidth="1"/>
    <col min="5" max="5" width="14.375" style="3370" customWidth="1"/>
    <col min="6" max="6" width="12.25" style="3370" customWidth="1"/>
    <col min="7" max="7" width="14.5" style="3370" customWidth="1"/>
    <col min="8" max="8" width="12.25" style="3370" customWidth="1"/>
    <col min="9" max="9" width="14.5" style="3370" customWidth="1"/>
    <col min="10" max="10" width="12.25" style="3370" customWidth="1"/>
    <col min="11" max="11" width="12.25" style="3738" customWidth="1"/>
    <col min="12" max="12" width="12.25" style="3739" customWidth="1"/>
    <col min="13" max="15" width="12.25" style="3370" customWidth="1"/>
    <col min="16" max="16" width="4.75" style="3370" customWidth="1"/>
    <col min="17" max="17" width="19.5" style="3370" customWidth="1"/>
    <col min="18" max="22" width="6.125" style="3370" customWidth="1"/>
    <col min="23" max="23" width="5.75" style="3370" customWidth="1"/>
    <col min="24" max="24" width="4.25" style="3370" customWidth="1"/>
    <col min="25" max="25" width="3.5" style="3370" customWidth="1"/>
    <col min="26" max="26" width="19.75" style="3370" customWidth="1"/>
    <col min="27" max="28" width="9.375" style="3370" customWidth="1"/>
    <col min="29" max="16384" width="9" style="3370"/>
  </cols>
  <sheetData>
    <row r="1" spans="1:29" s="3351" customFormat="1" ht="28.5" customHeight="1">
      <c r="A1" s="3338" t="s">
        <v>3325</v>
      </c>
      <c r="B1" s="3339" t="s">
        <v>3326</v>
      </c>
      <c r="C1" s="3340" t="s">
        <v>3327</v>
      </c>
      <c r="D1" s="3341" t="s">
        <v>923</v>
      </c>
      <c r="E1" s="3342"/>
      <c r="F1" s="3343" t="s">
        <v>3048</v>
      </c>
      <c r="G1" s="3344" t="s">
        <v>3328</v>
      </c>
      <c r="H1" s="3345"/>
      <c r="I1" s="3345"/>
      <c r="J1" s="3345"/>
      <c r="K1" s="3346"/>
      <c r="L1" s="3347"/>
      <c r="M1" s="3348"/>
      <c r="N1" s="3348"/>
      <c r="O1" s="3348"/>
      <c r="P1" s="3349"/>
      <c r="Q1" s="3349"/>
      <c r="R1" s="3349"/>
      <c r="S1" s="3349"/>
      <c r="T1" s="3349"/>
      <c r="U1" s="3349"/>
      <c r="V1" s="3349"/>
      <c r="W1" s="3349"/>
      <c r="X1" s="3349"/>
      <c r="Y1" s="3349"/>
      <c r="Z1" s="3349"/>
      <c r="AA1" s="3349"/>
      <c r="AB1" s="3349"/>
      <c r="AC1" s="3350"/>
    </row>
    <row r="2" spans="1:29" s="3360" customFormat="1" ht="28.5" customHeight="1">
      <c r="A2" s="422" t="s">
        <v>3329</v>
      </c>
      <c r="B2" s="3352" t="e">
        <f>ROUND(B3*D3/10000,0)</f>
        <v>#REF!</v>
      </c>
      <c r="C2" s="3353"/>
      <c r="D2" s="3353"/>
      <c r="E2" s="3353"/>
      <c r="F2" s="3354"/>
      <c r="G2" s="3353"/>
      <c r="H2" s="3353"/>
      <c r="I2" s="3353"/>
      <c r="J2" s="3353"/>
      <c r="K2" s="3355"/>
      <c r="L2" s="3356"/>
      <c r="M2" s="3357"/>
      <c r="N2" s="3357"/>
      <c r="O2" s="3357"/>
      <c r="P2" s="3358"/>
      <c r="Q2" s="3358"/>
      <c r="R2" s="3358"/>
      <c r="S2" s="3358"/>
      <c r="T2" s="3358"/>
      <c r="U2" s="3358"/>
      <c r="V2" s="3358"/>
      <c r="W2" s="3358"/>
      <c r="X2" s="3358"/>
      <c r="Y2" s="3358"/>
      <c r="Z2" s="3358"/>
      <c r="AA2" s="3358"/>
      <c r="AB2" s="3358"/>
      <c r="AC2" s="3359"/>
    </row>
    <row r="3" spans="1:29" s="3360" customFormat="1" ht="28.5" customHeight="1" thickBot="1">
      <c r="A3" s="508" t="s">
        <v>3330</v>
      </c>
      <c r="B3" s="3361" t="e">
        <f>C49</f>
        <v>#REF!</v>
      </c>
      <c r="C3" s="3362" t="s">
        <v>3331</v>
      </c>
      <c r="D3" s="3361" t="e">
        <f>SUMIF(#REF!,D1,#REF!)</f>
        <v>#REF!</v>
      </c>
      <c r="E3" s="3353"/>
      <c r="F3" s="3354"/>
      <c r="G3" s="3353"/>
      <c r="H3" s="3353"/>
      <c r="I3" s="3353"/>
      <c r="J3" s="3353"/>
      <c r="K3" s="3355"/>
      <c r="L3" s="3356"/>
      <c r="M3" s="3357"/>
      <c r="N3" s="3357"/>
      <c r="O3" s="3357"/>
      <c r="P3" s="3358"/>
      <c r="Q3" s="3358"/>
      <c r="R3" s="3358"/>
      <c r="S3" s="3358"/>
      <c r="T3" s="3358"/>
      <c r="U3" s="3358"/>
      <c r="V3" s="3358"/>
      <c r="W3" s="3358"/>
      <c r="X3" s="3358"/>
      <c r="Y3" s="3358"/>
      <c r="Z3" s="3358"/>
      <c r="AA3" s="3358"/>
      <c r="AB3" s="3358"/>
      <c r="AC3" s="3363"/>
    </row>
    <row r="4" spans="1:29" ht="15">
      <c r="A4" s="3364" t="s">
        <v>3332</v>
      </c>
      <c r="B4" s="3365"/>
      <c r="C4" s="3794" t="s">
        <v>3333</v>
      </c>
      <c r="D4" s="3795"/>
      <c r="E4" s="3796" t="s">
        <v>3334</v>
      </c>
      <c r="F4" s="3797"/>
      <c r="G4" s="3794" t="s">
        <v>3335</v>
      </c>
      <c r="H4" s="3795"/>
      <c r="I4" s="3794" t="s">
        <v>3336</v>
      </c>
      <c r="J4" s="3795"/>
      <c r="K4" s="3366" t="s">
        <v>3337</v>
      </c>
      <c r="L4" s="3367"/>
      <c r="M4" s="3368"/>
      <c r="N4" s="3368"/>
      <c r="O4" s="3368"/>
      <c r="P4" s="3798" t="s">
        <v>3338</v>
      </c>
      <c r="Q4" s="3799"/>
      <c r="R4" s="3784" t="s">
        <v>3339</v>
      </c>
      <c r="S4" s="3785"/>
      <c r="T4" s="3784" t="s">
        <v>3340</v>
      </c>
      <c r="U4" s="3785"/>
      <c r="V4" s="3783" t="s">
        <v>3341</v>
      </c>
      <c r="W4" s="3783"/>
      <c r="X4" s="3369"/>
      <c r="Y4" s="3784" t="s">
        <v>3338</v>
      </c>
      <c r="Z4" s="3785"/>
      <c r="AA4" s="3790" t="s">
        <v>3339</v>
      </c>
      <c r="AB4" s="3790" t="s">
        <v>3340</v>
      </c>
      <c r="AC4" s="3790" t="s">
        <v>3341</v>
      </c>
    </row>
    <row r="5" spans="1:29" ht="15">
      <c r="A5" s="3371"/>
      <c r="B5" s="3372"/>
      <c r="C5" s="3804" t="s">
        <v>3342</v>
      </c>
      <c r="D5" s="3805"/>
      <c r="E5" s="3806" t="s">
        <v>3343</v>
      </c>
      <c r="F5" s="3807"/>
      <c r="G5" s="3808" t="s">
        <v>3344</v>
      </c>
      <c r="H5" s="3805"/>
      <c r="I5" s="3808" t="s">
        <v>3346</v>
      </c>
      <c r="J5" s="3805"/>
      <c r="K5" s="3373"/>
      <c r="L5" s="3367"/>
      <c r="M5" s="3368"/>
      <c r="N5" s="3368"/>
      <c r="O5" s="3368"/>
      <c r="P5" s="3800"/>
      <c r="Q5" s="3801"/>
      <c r="R5" s="3786"/>
      <c r="S5" s="3787"/>
      <c r="T5" s="3786"/>
      <c r="U5" s="3787"/>
      <c r="V5" s="3783"/>
      <c r="W5" s="3783"/>
      <c r="X5" s="3369"/>
      <c r="Y5" s="3786"/>
      <c r="Z5" s="3787"/>
      <c r="AA5" s="3791"/>
      <c r="AB5" s="3791"/>
      <c r="AC5" s="3791"/>
    </row>
    <row r="6" spans="1:29" ht="15.75" thickBot="1">
      <c r="A6" s="3374"/>
      <c r="B6" s="3375"/>
      <c r="C6" s="3809" t="s">
        <v>3347</v>
      </c>
      <c r="D6" s="3810"/>
      <c r="E6" s="3811" t="s">
        <v>3347</v>
      </c>
      <c r="F6" s="3812"/>
      <c r="G6" s="3809" t="s">
        <v>3347</v>
      </c>
      <c r="H6" s="3810"/>
      <c r="I6" s="3809" t="s">
        <v>3347</v>
      </c>
      <c r="J6" s="3810"/>
      <c r="K6" s="3373" t="s">
        <v>3348</v>
      </c>
      <c r="L6" s="3367"/>
      <c r="M6" s="3368"/>
      <c r="N6" s="3368"/>
      <c r="O6" s="3368"/>
      <c r="P6" s="3802"/>
      <c r="Q6" s="3803"/>
      <c r="R6" s="3786"/>
      <c r="S6" s="3787"/>
      <c r="T6" s="3788"/>
      <c r="U6" s="3789"/>
      <c r="V6" s="3783"/>
      <c r="W6" s="3783"/>
      <c r="X6" s="3369"/>
      <c r="Y6" s="3788"/>
      <c r="Z6" s="3789"/>
      <c r="AA6" s="3792"/>
      <c r="AB6" s="3792"/>
      <c r="AC6" s="3792"/>
    </row>
    <row r="7" spans="1:29" s="3390" customFormat="1" ht="15.75" thickBot="1">
      <c r="A7" s="3376"/>
      <c r="B7" s="3377" t="s">
        <v>3349</v>
      </c>
      <c r="C7" s="3378" t="e">
        <f>#REF!</f>
        <v>#REF!</v>
      </c>
      <c r="D7" s="3379">
        <v>100</v>
      </c>
      <c r="E7" s="3380" t="e">
        <f>C7</f>
        <v>#REF!</v>
      </c>
      <c r="F7" s="3381">
        <f>SUMIF(58:58,YEAR(E7)&amp;"-"&amp;MONTH(E7),59:59)</f>
        <v>100</v>
      </c>
      <c r="G7" s="3382" t="e">
        <f>C7</f>
        <v>#REF!</v>
      </c>
      <c r="H7" s="3379">
        <f>SUMIF(58:58,YEAR(G7)&amp;"-"&amp;MONTH(G7),59:59)</f>
        <v>100</v>
      </c>
      <c r="I7" s="3382" t="e">
        <f>C7</f>
        <v>#REF!</v>
      </c>
      <c r="J7" s="3379">
        <f>SUMIF(58:58,YEAR(I7)&amp;"-"&amp;MONTH(I7),59:59)</f>
        <v>100</v>
      </c>
      <c r="K7" s="3383"/>
      <c r="L7" s="3384"/>
      <c r="M7" s="3385"/>
      <c r="N7" s="3385"/>
      <c r="O7" s="3385"/>
      <c r="P7" s="3780" t="s">
        <v>3350</v>
      </c>
      <c r="Q7" s="3793"/>
      <c r="R7" s="3386" t="s">
        <v>3351</v>
      </c>
      <c r="S7" s="3387">
        <f t="shared" ref="S7:S15" si="0">F7</f>
        <v>100</v>
      </c>
      <c r="T7" s="3386" t="s">
        <v>3351</v>
      </c>
      <c r="U7" s="3387">
        <f t="shared" ref="U7:U15" si="1">H7</f>
        <v>100</v>
      </c>
      <c r="V7" s="3386" t="s">
        <v>3351</v>
      </c>
      <c r="W7" s="3387">
        <f t="shared" ref="W7:W15" si="2">J7</f>
        <v>100</v>
      </c>
      <c r="X7" s="3388"/>
      <c r="Y7" s="3780" t="s">
        <v>3350</v>
      </c>
      <c r="Z7" s="3781"/>
      <c r="AA7" s="3389">
        <f>D7/F7</f>
        <v>1</v>
      </c>
      <c r="AB7" s="3389">
        <f>D7/H7</f>
        <v>1</v>
      </c>
      <c r="AC7" s="3389">
        <f>D7/J7</f>
        <v>1</v>
      </c>
    </row>
    <row r="8" spans="1:29" s="3390" customFormat="1" ht="15.75" thickBot="1">
      <c r="A8" s="3391"/>
      <c r="B8" s="3392" t="s">
        <v>3352</v>
      </c>
      <c r="C8" s="3393" t="s">
        <v>3353</v>
      </c>
      <c r="D8" s="3379">
        <v>100</v>
      </c>
      <c r="E8" s="3394" t="s">
        <v>3012</v>
      </c>
      <c r="F8" s="3381">
        <f>SUMIF(61:61,E8,62:62)-SUMIF(61:61,C8,62:62)+100</f>
        <v>100</v>
      </c>
      <c r="G8" s="3393" t="s">
        <v>3012</v>
      </c>
      <c r="H8" s="3379">
        <f>SUMIF(61:61,G8,62:62)-SUMIF(61:61,C8,62:62)+100</f>
        <v>100</v>
      </c>
      <c r="I8" s="3394" t="s">
        <v>3012</v>
      </c>
      <c r="J8" s="3379">
        <f>SUMIF(61:61,I8,62:62)-SUMIF(61:61,C8,62:62)+100</f>
        <v>100</v>
      </c>
      <c r="K8" s="3383"/>
      <c r="L8" s="3384"/>
      <c r="M8" s="3385"/>
      <c r="N8" s="3385"/>
      <c r="O8" s="3385"/>
      <c r="P8" s="3780" t="s">
        <v>3354</v>
      </c>
      <c r="Q8" s="3781"/>
      <c r="R8" s="3386" t="s">
        <v>3355</v>
      </c>
      <c r="S8" s="3387">
        <f t="shared" si="0"/>
        <v>100</v>
      </c>
      <c r="T8" s="3386" t="s">
        <v>3355</v>
      </c>
      <c r="U8" s="3387">
        <f t="shared" si="1"/>
        <v>100</v>
      </c>
      <c r="V8" s="3386" t="s">
        <v>3355</v>
      </c>
      <c r="W8" s="3387">
        <f t="shared" si="2"/>
        <v>100</v>
      </c>
      <c r="X8" s="3388"/>
      <c r="Y8" s="3780" t="s">
        <v>3354</v>
      </c>
      <c r="Z8" s="3781"/>
      <c r="AA8" s="3389">
        <f t="shared" ref="AA8:AA46" si="3">D8/F8</f>
        <v>1</v>
      </c>
      <c r="AB8" s="3389">
        <f t="shared" ref="AB8:AB46" si="4">D8/H8</f>
        <v>1</v>
      </c>
      <c r="AC8" s="3389">
        <f t="shared" ref="AC8:AC46" si="5">D8/J8</f>
        <v>1</v>
      </c>
    </row>
    <row r="9" spans="1:29" s="3390" customFormat="1" ht="15">
      <c r="A9" s="3395"/>
      <c r="B9" s="3396" t="s">
        <v>3356</v>
      </c>
      <c r="C9" s="3397" t="s">
        <v>3357</v>
      </c>
      <c r="D9" s="3398">
        <v>100</v>
      </c>
      <c r="E9" s="3399" t="s">
        <v>923</v>
      </c>
      <c r="F9" s="3400">
        <f>SUMIF(63:63,E9,64:64)-SUMIF(63:63,C9,64:64)+100</f>
        <v>100</v>
      </c>
      <c r="G9" s="3401" t="s">
        <v>923</v>
      </c>
      <c r="H9" s="3398">
        <f>SUMIF(63:63,G9,64:64)-SUMIF(63:63,C9,64:64)+100</f>
        <v>100</v>
      </c>
      <c r="I9" s="3401" t="s">
        <v>923</v>
      </c>
      <c r="J9" s="3398">
        <f>SUMIF(63:63,I9,64:64)-SUMIF(63:63,C9,64:64)+100</f>
        <v>100</v>
      </c>
      <c r="K9" s="3383"/>
      <c r="L9" s="3384"/>
      <c r="M9" s="3385"/>
      <c r="N9" s="3385"/>
      <c r="O9" s="3402"/>
      <c r="P9" s="3770" t="s">
        <v>535</v>
      </c>
      <c r="Q9" s="3403" t="str">
        <f t="shared" ref="Q9:Q15" si="6">B9</f>
        <v>用途</v>
      </c>
      <c r="R9" s="3386" t="s">
        <v>3355</v>
      </c>
      <c r="S9" s="3387">
        <f t="shared" si="0"/>
        <v>100</v>
      </c>
      <c r="T9" s="3386" t="s">
        <v>3355</v>
      </c>
      <c r="U9" s="3387">
        <f t="shared" si="1"/>
        <v>100</v>
      </c>
      <c r="V9" s="3386" t="s">
        <v>3355</v>
      </c>
      <c r="W9" s="3387">
        <f t="shared" si="2"/>
        <v>100</v>
      </c>
      <c r="X9" s="3388"/>
      <c r="Y9" s="3782" t="s">
        <v>3358</v>
      </c>
      <c r="Z9" s="3404" t="str">
        <f t="shared" ref="Z9:Z15" si="7">Q9</f>
        <v>用途</v>
      </c>
      <c r="AA9" s="3389">
        <f t="shared" si="3"/>
        <v>1</v>
      </c>
      <c r="AB9" s="3389">
        <f t="shared" si="4"/>
        <v>1</v>
      </c>
      <c r="AC9" s="3389">
        <f t="shared" si="5"/>
        <v>1</v>
      </c>
    </row>
    <row r="10" spans="1:29" s="3414" customFormat="1" ht="27">
      <c r="A10" s="3405"/>
      <c r="B10" s="3392" t="s">
        <v>2756</v>
      </c>
      <c r="C10" s="3406" t="s">
        <v>3047</v>
      </c>
      <c r="D10" s="3407">
        <v>100</v>
      </c>
      <c r="E10" s="3408" t="s">
        <v>3047</v>
      </c>
      <c r="F10" s="3409">
        <f>SUMIF(65:65,E10,66:66)-SUMIF(65:65,C10,66:66)+100</f>
        <v>100</v>
      </c>
      <c r="G10" s="3406" t="s">
        <v>3047</v>
      </c>
      <c r="H10" s="3407">
        <f>SUMIF(65:65,G10,66:66)-SUMIF(65:65,C10,66:66)+100</f>
        <v>100</v>
      </c>
      <c r="I10" s="3406" t="s">
        <v>3047</v>
      </c>
      <c r="J10" s="3407">
        <f>SUMIF(65:65,I10,66:66)-SUMIF(65:65,C10,66:66)+100</f>
        <v>100</v>
      </c>
      <c r="K10" s="3410">
        <v>2</v>
      </c>
      <c r="L10" s="3411"/>
      <c r="M10" s="3412"/>
      <c r="N10" s="3412"/>
      <c r="O10" s="3413"/>
      <c r="P10" s="3770"/>
      <c r="Q10" s="3403" t="str">
        <f t="shared" si="6"/>
        <v>土地使用年限（年）</v>
      </c>
      <c r="R10" s="3386" t="s">
        <v>8</v>
      </c>
      <c r="S10" s="3387">
        <f t="shared" si="0"/>
        <v>100</v>
      </c>
      <c r="T10" s="3386" t="s">
        <v>8</v>
      </c>
      <c r="U10" s="3387">
        <f t="shared" si="1"/>
        <v>100</v>
      </c>
      <c r="V10" s="3386" t="s">
        <v>8</v>
      </c>
      <c r="W10" s="3387">
        <f t="shared" si="2"/>
        <v>100</v>
      </c>
      <c r="X10" s="3388"/>
      <c r="Y10" s="3782"/>
      <c r="Z10" s="3404" t="str">
        <f t="shared" si="7"/>
        <v>土地使用年限（年）</v>
      </c>
      <c r="AA10" s="3389">
        <f t="shared" si="3"/>
        <v>1</v>
      </c>
      <c r="AB10" s="3389">
        <f t="shared" si="4"/>
        <v>1</v>
      </c>
      <c r="AC10" s="3389">
        <f t="shared" si="5"/>
        <v>1</v>
      </c>
    </row>
    <row r="11" spans="1:29" ht="15">
      <c r="A11" s="3415"/>
      <c r="B11" s="3392" t="s">
        <v>2757</v>
      </c>
      <c r="C11" s="3416" t="e">
        <f>#REF!</f>
        <v>#REF!</v>
      </c>
      <c r="D11" s="3407">
        <v>100</v>
      </c>
      <c r="E11" s="3417">
        <v>2</v>
      </c>
      <c r="F11" s="3409" t="e">
        <f>LOOKUP(E11,68:68,69:69)-LOOKUP(C11,68:68,69:69)+100</f>
        <v>#REF!</v>
      </c>
      <c r="G11" s="3418">
        <v>3</v>
      </c>
      <c r="H11" s="3407" t="e">
        <f>LOOKUP(G11,68:68,69:69)-LOOKUP(C11,68:68,69:69)+100</f>
        <v>#REF!</v>
      </c>
      <c r="I11" s="3418">
        <v>2.39</v>
      </c>
      <c r="J11" s="3407" t="e">
        <f>LOOKUP(I11,68:68,69:69)-LOOKUP(C11,68:68,69:69)+100</f>
        <v>#REF!</v>
      </c>
      <c r="K11" s="3410">
        <v>1</v>
      </c>
      <c r="L11" s="3419"/>
      <c r="M11" s="3368"/>
      <c r="N11" s="3368"/>
      <c r="O11" s="3420"/>
      <c r="P11" s="3770"/>
      <c r="Q11" s="3403" t="str">
        <f t="shared" si="6"/>
        <v>容积率</v>
      </c>
      <c r="R11" s="3386" t="s">
        <v>3351</v>
      </c>
      <c r="S11" s="3387" t="e">
        <f t="shared" si="0"/>
        <v>#REF!</v>
      </c>
      <c r="T11" s="3386" t="s">
        <v>3351</v>
      </c>
      <c r="U11" s="3387" t="e">
        <f t="shared" si="1"/>
        <v>#REF!</v>
      </c>
      <c r="V11" s="3386" t="s">
        <v>3351</v>
      </c>
      <c r="W11" s="3387" t="e">
        <f t="shared" si="2"/>
        <v>#REF!</v>
      </c>
      <c r="X11" s="3388"/>
      <c r="Y11" s="3782"/>
      <c r="Z11" s="3404" t="str">
        <f t="shared" si="7"/>
        <v>容积率</v>
      </c>
      <c r="AA11" s="3389" t="e">
        <f t="shared" si="3"/>
        <v>#REF!</v>
      </c>
      <c r="AB11" s="3389" t="e">
        <f t="shared" si="4"/>
        <v>#REF!</v>
      </c>
      <c r="AC11" s="3389" t="e">
        <f t="shared" si="5"/>
        <v>#REF!</v>
      </c>
    </row>
    <row r="12" spans="1:29" s="3390" customFormat="1" ht="15">
      <c r="A12" s="3421"/>
      <c r="B12" s="3422">
        <v>111</v>
      </c>
      <c r="C12" s="3423"/>
      <c r="D12" s="3424">
        <v>100</v>
      </c>
      <c r="E12" s="3423"/>
      <c r="F12" s="3409">
        <f>SUMIF(70:70,E12,71:71)-SUMIF(70:70,C12,71:71)+100</f>
        <v>100</v>
      </c>
      <c r="G12" s="3423"/>
      <c r="H12" s="3407">
        <f>SUMIF(70:70,G12,71:71)-SUMIF(70:70,C12,71:71)+100</f>
        <v>100</v>
      </c>
      <c r="I12" s="3423"/>
      <c r="J12" s="3407">
        <f>SUMIF(70:70,I12,71:71)-SUMIF(70:70,C12,71:71)+100</f>
        <v>100</v>
      </c>
      <c r="K12" s="3425"/>
      <c r="L12" s="3384"/>
      <c r="M12" s="3385"/>
      <c r="N12" s="3385"/>
      <c r="O12" s="3402"/>
      <c r="P12" s="3770"/>
      <c r="Q12" s="3403">
        <f t="shared" si="6"/>
        <v>111</v>
      </c>
      <c r="R12" s="3386" t="s">
        <v>3351</v>
      </c>
      <c r="S12" s="3387">
        <f t="shared" si="0"/>
        <v>100</v>
      </c>
      <c r="T12" s="3386" t="s">
        <v>3351</v>
      </c>
      <c r="U12" s="3387">
        <f t="shared" si="1"/>
        <v>100</v>
      </c>
      <c r="V12" s="3386" t="s">
        <v>3351</v>
      </c>
      <c r="W12" s="3387">
        <f t="shared" si="2"/>
        <v>100</v>
      </c>
      <c r="X12" s="3388"/>
      <c r="Y12" s="3782"/>
      <c r="Z12" s="3404">
        <f t="shared" si="7"/>
        <v>111</v>
      </c>
      <c r="AA12" s="3389">
        <f>D12/F12</f>
        <v>1</v>
      </c>
      <c r="AB12" s="3389">
        <f>D12/H12</f>
        <v>1</v>
      </c>
      <c r="AC12" s="3389">
        <f>D12/J12</f>
        <v>1</v>
      </c>
    </row>
    <row r="13" spans="1:29" ht="15">
      <c r="A13" s="3421"/>
      <c r="B13" s="3422">
        <v>111</v>
      </c>
      <c r="C13" s="3426"/>
      <c r="D13" s="3427">
        <v>100</v>
      </c>
      <c r="E13" s="3426"/>
      <c r="F13" s="3409">
        <f>SUMIF(72:72,E13,73:73)-SUMIF(72:72,C13,73:73)+100</f>
        <v>100</v>
      </c>
      <c r="G13" s="3426"/>
      <c r="H13" s="3427">
        <f>SUMIF(72:72,G13,73:73)-SUMIF(72:72,C13,73:73)+100</f>
        <v>100</v>
      </c>
      <c r="I13" s="3426"/>
      <c r="J13" s="3427">
        <f>SUMIF(72:72,I13,73:73)-SUMIF(72:72,C13,73:73)+100</f>
        <v>100</v>
      </c>
      <c r="K13" s="3425"/>
      <c r="L13" s="3428"/>
      <c r="M13" s="3368"/>
      <c r="N13" s="3368"/>
      <c r="O13" s="3420"/>
      <c r="P13" s="3770"/>
      <c r="Q13" s="3403">
        <f t="shared" si="6"/>
        <v>111</v>
      </c>
      <c r="R13" s="3386" t="s">
        <v>3351</v>
      </c>
      <c r="S13" s="3387">
        <f t="shared" si="0"/>
        <v>100</v>
      </c>
      <c r="T13" s="3386" t="s">
        <v>3351</v>
      </c>
      <c r="U13" s="3387">
        <f t="shared" si="1"/>
        <v>100</v>
      </c>
      <c r="V13" s="3386" t="s">
        <v>3351</v>
      </c>
      <c r="W13" s="3387">
        <f t="shared" si="2"/>
        <v>100</v>
      </c>
      <c r="X13" s="3388"/>
      <c r="Y13" s="3782"/>
      <c r="Z13" s="3404">
        <f t="shared" si="7"/>
        <v>111</v>
      </c>
      <c r="AA13" s="3389">
        <f t="shared" si="3"/>
        <v>1</v>
      </c>
      <c r="AB13" s="3389">
        <f t="shared" si="4"/>
        <v>1</v>
      </c>
      <c r="AC13" s="3389">
        <f t="shared" si="5"/>
        <v>1</v>
      </c>
    </row>
    <row r="14" spans="1:29" ht="15.75" thickBot="1">
      <c r="A14" s="3429"/>
      <c r="B14" s="3430">
        <v>111</v>
      </c>
      <c r="C14" s="3431"/>
      <c r="D14" s="3432">
        <v>100</v>
      </c>
      <c r="E14" s="3431"/>
      <c r="F14" s="3433">
        <f>SUMIF(74:74,E14,75:75)-SUMIF(74:74,C14,75:75)+100</f>
        <v>100</v>
      </c>
      <c r="G14" s="3431"/>
      <c r="H14" s="3432">
        <f>SUMIF(74:74,G14,75:75)-SUMIF(74:74,C14,75:75)+100</f>
        <v>100</v>
      </c>
      <c r="I14" s="3431"/>
      <c r="J14" s="3432">
        <f>SUMIF(74:74,I14,75:75)-SUMIF(74:74,C14,75:75)+100</f>
        <v>100</v>
      </c>
      <c r="K14" s="3425"/>
      <c r="L14" s="3428"/>
      <c r="M14" s="3368"/>
      <c r="N14" s="3368"/>
      <c r="O14" s="3420"/>
      <c r="P14" s="3770"/>
      <c r="Q14" s="3403">
        <f t="shared" si="6"/>
        <v>111</v>
      </c>
      <c r="R14" s="3386" t="s">
        <v>3351</v>
      </c>
      <c r="S14" s="3387">
        <f t="shared" si="0"/>
        <v>100</v>
      </c>
      <c r="T14" s="3386" t="s">
        <v>3351</v>
      </c>
      <c r="U14" s="3387">
        <f t="shared" si="1"/>
        <v>100</v>
      </c>
      <c r="V14" s="3386" t="s">
        <v>3351</v>
      </c>
      <c r="W14" s="3387">
        <f t="shared" si="2"/>
        <v>100</v>
      </c>
      <c r="X14" s="3388"/>
      <c r="Y14" s="3782"/>
      <c r="Z14" s="3404">
        <f t="shared" si="7"/>
        <v>111</v>
      </c>
      <c r="AA14" s="3389">
        <f t="shared" si="3"/>
        <v>1</v>
      </c>
      <c r="AB14" s="3389">
        <f t="shared" si="4"/>
        <v>1</v>
      </c>
      <c r="AC14" s="3389">
        <f t="shared" si="5"/>
        <v>1</v>
      </c>
    </row>
    <row r="15" spans="1:29" ht="81">
      <c r="A15" s="3434" t="s">
        <v>3359</v>
      </c>
      <c r="B15" s="3435" t="s">
        <v>295</v>
      </c>
      <c r="C15" s="3436" t="e">
        <f>#REF!</f>
        <v>#REF!</v>
      </c>
      <c r="D15" s="3437">
        <v>100</v>
      </c>
      <c r="E15" s="3438" t="s">
        <v>3360</v>
      </c>
      <c r="F15" s="3439">
        <f>SUMIF(76:76,E16,77:77)-SUMIF(76:76,C16,77:77)+100</f>
        <v>100</v>
      </c>
      <c r="G15" s="3440" t="s">
        <v>3361</v>
      </c>
      <c r="H15" s="3437">
        <f>SUMIF(76:76,G16,77:77)-SUMIF(76:76,C16,77:77)+100</f>
        <v>100</v>
      </c>
      <c r="I15" s="3438" t="s">
        <v>3362</v>
      </c>
      <c r="J15" s="3437">
        <f>SUMIF(76:76,I16,77:77)-SUMIF(76:76,C16,77:77)+100</f>
        <v>100</v>
      </c>
      <c r="K15" s="3441">
        <v>2</v>
      </c>
      <c r="L15" s="3428"/>
      <c r="M15" s="3368"/>
      <c r="N15" s="3368"/>
      <c r="O15" s="3420"/>
      <c r="P15" s="3775" t="s">
        <v>3363</v>
      </c>
      <c r="Q15" s="3442" t="str">
        <f t="shared" si="6"/>
        <v>居住社区成熟度</v>
      </c>
      <c r="R15" s="3443" t="s">
        <v>3351</v>
      </c>
      <c r="S15" s="3444">
        <f t="shared" si="0"/>
        <v>100</v>
      </c>
      <c r="T15" s="3443" t="s">
        <v>3351</v>
      </c>
      <c r="U15" s="3444">
        <f t="shared" si="1"/>
        <v>100</v>
      </c>
      <c r="V15" s="3443" t="s">
        <v>3351</v>
      </c>
      <c r="W15" s="3444">
        <f t="shared" si="2"/>
        <v>100</v>
      </c>
      <c r="X15" s="3369"/>
      <c r="Y15" s="3775" t="s">
        <v>3363</v>
      </c>
      <c r="Z15" s="3445" t="str">
        <f t="shared" si="7"/>
        <v>居住社区成熟度</v>
      </c>
      <c r="AA15" s="3446">
        <f t="shared" si="3"/>
        <v>1</v>
      </c>
      <c r="AB15" s="3446">
        <f t="shared" si="4"/>
        <v>1</v>
      </c>
      <c r="AC15" s="3446">
        <f t="shared" si="5"/>
        <v>1</v>
      </c>
    </row>
    <row r="16" spans="1:29" ht="15">
      <c r="A16" s="3447"/>
      <c r="B16" s="3448"/>
      <c r="C16" s="3449" t="s">
        <v>3014</v>
      </c>
      <c r="D16" s="3450"/>
      <c r="E16" s="3451" t="s">
        <v>3014</v>
      </c>
      <c r="F16" s="3452"/>
      <c r="G16" s="3453" t="s">
        <v>3014</v>
      </c>
      <c r="H16" s="3454"/>
      <c r="I16" s="3451" t="s">
        <v>3014</v>
      </c>
      <c r="J16" s="3450"/>
      <c r="K16" s="3455"/>
      <c r="L16" s="3428"/>
      <c r="M16" s="3368"/>
      <c r="N16" s="3368"/>
      <c r="O16" s="3420"/>
      <c r="P16" s="3776"/>
      <c r="Q16" s="3442"/>
      <c r="R16" s="3443"/>
      <c r="S16" s="3444"/>
      <c r="T16" s="3443"/>
      <c r="U16" s="3444"/>
      <c r="V16" s="3443"/>
      <c r="W16" s="3444"/>
      <c r="X16" s="3369"/>
      <c r="Y16" s="3776"/>
      <c r="Z16" s="3445"/>
      <c r="AA16" s="3446">
        <v>1</v>
      </c>
      <c r="AB16" s="3446">
        <v>1</v>
      </c>
      <c r="AC16" s="3446">
        <v>1</v>
      </c>
    </row>
    <row r="17" spans="1:29" ht="123">
      <c r="A17" s="3447"/>
      <c r="B17" s="3456" t="s">
        <v>296</v>
      </c>
      <c r="C17" s="3457" t="e">
        <f>#REF!</f>
        <v>#REF!</v>
      </c>
      <c r="D17" s="3454">
        <v>100</v>
      </c>
      <c r="E17" s="3458" t="s">
        <v>3364</v>
      </c>
      <c r="F17" s="3459">
        <f>SUMIF(78:78,E18,79:79)-SUMIF(78:78,C18,79:79)+100</f>
        <v>100</v>
      </c>
      <c r="G17" s="3460" t="s">
        <v>3365</v>
      </c>
      <c r="H17" s="3461">
        <f>SUMIF(78:78,G18,79:79)-SUMIF(78:78,C18,79:79)+100</f>
        <v>100</v>
      </c>
      <c r="I17" s="3460" t="s">
        <v>3366</v>
      </c>
      <c r="J17" s="3461">
        <f>SUMIF(78:78,I18,79:79)-SUMIF(78:78,C18,79:79)+100</f>
        <v>100</v>
      </c>
      <c r="K17" s="3441">
        <v>2</v>
      </c>
      <c r="L17" s="3428"/>
      <c r="M17" s="3368"/>
      <c r="N17" s="3368"/>
      <c r="O17" s="3420"/>
      <c r="P17" s="3776"/>
      <c r="Q17" s="3442" t="str">
        <f>B17</f>
        <v>交通便捷度</v>
      </c>
      <c r="R17" s="3443" t="s">
        <v>3367</v>
      </c>
      <c r="S17" s="3444">
        <f>F17</f>
        <v>100</v>
      </c>
      <c r="T17" s="3443" t="s">
        <v>3351</v>
      </c>
      <c r="U17" s="3444">
        <f>H17</f>
        <v>100</v>
      </c>
      <c r="V17" s="3443" t="s">
        <v>3351</v>
      </c>
      <c r="W17" s="3444">
        <f>J17</f>
        <v>100</v>
      </c>
      <c r="X17" s="3369"/>
      <c r="Y17" s="3776"/>
      <c r="Z17" s="3445" t="str">
        <f>Q17</f>
        <v>交通便捷度</v>
      </c>
      <c r="AA17" s="3446">
        <f t="shared" si="3"/>
        <v>1</v>
      </c>
      <c r="AB17" s="3446">
        <f t="shared" si="4"/>
        <v>1</v>
      </c>
      <c r="AC17" s="3446">
        <f t="shared" si="5"/>
        <v>1</v>
      </c>
    </row>
    <row r="18" spans="1:29" ht="15">
      <c r="A18" s="3447"/>
      <c r="B18" s="3462"/>
      <c r="C18" s="3463" t="s">
        <v>3015</v>
      </c>
      <c r="D18" s="3454"/>
      <c r="E18" s="3464" t="s">
        <v>3015</v>
      </c>
      <c r="F18" s="3459"/>
      <c r="G18" s="3465" t="s">
        <v>3015</v>
      </c>
      <c r="H18" s="3450"/>
      <c r="I18" s="3464" t="s">
        <v>3015</v>
      </c>
      <c r="J18" s="3450"/>
      <c r="K18" s="3455"/>
      <c r="L18" s="3428"/>
      <c r="M18" s="3368"/>
      <c r="N18" s="3368"/>
      <c r="O18" s="3420"/>
      <c r="P18" s="3776"/>
      <c r="Q18" s="3442"/>
      <c r="R18" s="3443"/>
      <c r="S18" s="3444"/>
      <c r="T18" s="3443"/>
      <c r="U18" s="3444"/>
      <c r="V18" s="3443"/>
      <c r="W18" s="3444"/>
      <c r="X18" s="3369"/>
      <c r="Y18" s="3776"/>
      <c r="Z18" s="3445"/>
      <c r="AA18" s="3446">
        <v>1</v>
      </c>
      <c r="AB18" s="3446">
        <v>1</v>
      </c>
      <c r="AC18" s="3446">
        <v>1</v>
      </c>
    </row>
    <row r="19" spans="1:29" ht="149.25">
      <c r="A19" s="3447"/>
      <c r="B19" s="3466" t="s">
        <v>3368</v>
      </c>
      <c r="C19" s="3457" t="e">
        <f>#REF!</f>
        <v>#REF!</v>
      </c>
      <c r="D19" s="3461">
        <v>100</v>
      </c>
      <c r="E19" s="3467" t="s">
        <v>3369</v>
      </c>
      <c r="F19" s="3468">
        <f>SUMIF(80:80,E20,81:81)-SUMIF(80:80,C20,81:81)+100</f>
        <v>100</v>
      </c>
      <c r="G19" s="3467" t="s">
        <v>3370</v>
      </c>
      <c r="H19" s="3454">
        <f>SUMIF(80:80,G20,81:81)-SUMIF(80:80,C20,81:81)+100</f>
        <v>102</v>
      </c>
      <c r="I19" s="3467" t="s">
        <v>3371</v>
      </c>
      <c r="J19" s="3454">
        <f>SUMIF(80:80,I20,81:81)-SUMIF(80:80,C20,81:81)+100</f>
        <v>102</v>
      </c>
      <c r="K19" s="3441">
        <v>2</v>
      </c>
      <c r="L19" s="3428"/>
      <c r="M19" s="3368"/>
      <c r="N19" s="3368"/>
      <c r="O19" s="3420"/>
      <c r="P19" s="3776"/>
      <c r="Q19" s="3442" t="str">
        <f>B19</f>
        <v>公共配套设施</v>
      </c>
      <c r="R19" s="3443" t="s">
        <v>3351</v>
      </c>
      <c r="S19" s="3444">
        <f>F19</f>
        <v>100</v>
      </c>
      <c r="T19" s="3443" t="s">
        <v>3351</v>
      </c>
      <c r="U19" s="3444">
        <f>H19</f>
        <v>102</v>
      </c>
      <c r="V19" s="3443" t="s">
        <v>3351</v>
      </c>
      <c r="W19" s="3444">
        <f>J19</f>
        <v>102</v>
      </c>
      <c r="X19" s="3369"/>
      <c r="Y19" s="3776"/>
      <c r="Z19" s="3445" t="str">
        <f>Q19</f>
        <v>公共配套设施</v>
      </c>
      <c r="AA19" s="3446">
        <f t="shared" si="3"/>
        <v>1</v>
      </c>
      <c r="AB19" s="3446">
        <f t="shared" si="4"/>
        <v>0.98039215686274506</v>
      </c>
      <c r="AC19" s="3446">
        <f t="shared" si="5"/>
        <v>0.98039215686274506</v>
      </c>
    </row>
    <row r="20" spans="1:29" ht="15">
      <c r="A20" s="3447"/>
      <c r="B20" s="3462"/>
      <c r="C20" s="3449" t="s">
        <v>3015</v>
      </c>
      <c r="D20" s="3450"/>
      <c r="E20" s="3451" t="s">
        <v>3015</v>
      </c>
      <c r="F20" s="3452"/>
      <c r="G20" s="3453" t="s">
        <v>3014</v>
      </c>
      <c r="H20" s="3450"/>
      <c r="I20" s="3451" t="s">
        <v>3014</v>
      </c>
      <c r="J20" s="3450"/>
      <c r="K20" s="3455"/>
      <c r="L20" s="3428"/>
      <c r="M20" s="3368"/>
      <c r="N20" s="3368"/>
      <c r="O20" s="3420"/>
      <c r="P20" s="3776"/>
      <c r="Q20" s="3442"/>
      <c r="R20" s="3443"/>
      <c r="S20" s="3444"/>
      <c r="T20" s="3443"/>
      <c r="U20" s="3444"/>
      <c r="V20" s="3443"/>
      <c r="W20" s="3444"/>
      <c r="X20" s="3369"/>
      <c r="Y20" s="3776"/>
      <c r="Z20" s="3445"/>
      <c r="AA20" s="3446">
        <v>1</v>
      </c>
      <c r="AB20" s="3446">
        <v>1</v>
      </c>
      <c r="AC20" s="3446">
        <v>1</v>
      </c>
    </row>
    <row r="21" spans="1:29" ht="28.5">
      <c r="A21" s="3447"/>
      <c r="B21" s="3469" t="s">
        <v>3372</v>
      </c>
      <c r="C21" s="3457" t="e">
        <f>#REF!</f>
        <v>#REF!</v>
      </c>
      <c r="D21" s="3461">
        <v>100</v>
      </c>
      <c r="E21" s="3470" t="s">
        <v>3143</v>
      </c>
      <c r="F21" s="3468">
        <f>SUMIF(82:82,E22,83:83)-SUMIF(82:82,C22,83:83)+100</f>
        <v>100</v>
      </c>
      <c r="G21" s="3470" t="s">
        <v>3143</v>
      </c>
      <c r="H21" s="3461">
        <f>SUMIF(82:82,G22,83:83)-SUMIF(82:82,C22,83:83)+100</f>
        <v>100</v>
      </c>
      <c r="I21" s="3467" t="s">
        <v>3143</v>
      </c>
      <c r="J21" s="3461">
        <f>SUMIF(82:82,I22,83:83)-SUMIF(82:82,C22,83:83)+100</f>
        <v>100</v>
      </c>
      <c r="K21" s="3441">
        <v>1</v>
      </c>
      <c r="L21" s="3428"/>
      <c r="M21" s="3368"/>
      <c r="N21" s="3368"/>
      <c r="O21" s="3420"/>
      <c r="P21" s="3776"/>
      <c r="Q21" s="3442" t="str">
        <f>B21</f>
        <v>基础设施水平</v>
      </c>
      <c r="R21" s="3443" t="s">
        <v>3351</v>
      </c>
      <c r="S21" s="3444">
        <f>F21</f>
        <v>100</v>
      </c>
      <c r="T21" s="3443" t="s">
        <v>3351</v>
      </c>
      <c r="U21" s="3444">
        <f>H21</f>
        <v>100</v>
      </c>
      <c r="V21" s="3443" t="s">
        <v>3351</v>
      </c>
      <c r="W21" s="3444">
        <f>J21</f>
        <v>100</v>
      </c>
      <c r="X21" s="3369"/>
      <c r="Y21" s="3776"/>
      <c r="Z21" s="3445" t="str">
        <f>Q21</f>
        <v>基础设施水平</v>
      </c>
      <c r="AA21" s="3446">
        <f t="shared" ref="AA21" si="8">D21/F21</f>
        <v>1</v>
      </c>
      <c r="AB21" s="3446">
        <f t="shared" ref="AB21" si="9">D21/H21</f>
        <v>1</v>
      </c>
      <c r="AC21" s="3446">
        <f t="shared" ref="AC21" si="10">D21/J21</f>
        <v>1</v>
      </c>
    </row>
    <row r="22" spans="1:29" ht="15">
      <c r="A22" s="3447"/>
      <c r="B22" s="3471"/>
      <c r="C22" s="3463" t="s">
        <v>3031</v>
      </c>
      <c r="D22" s="3450"/>
      <c r="E22" s="3449" t="s">
        <v>3031</v>
      </c>
      <c r="F22" s="3452"/>
      <c r="G22" s="3449" t="s">
        <v>3031</v>
      </c>
      <c r="H22" s="3450"/>
      <c r="I22" s="3449" t="s">
        <v>3031</v>
      </c>
      <c r="J22" s="3450"/>
      <c r="K22" s="3472"/>
      <c r="L22" s="3428"/>
      <c r="M22" s="3368"/>
      <c r="N22" s="3368"/>
      <c r="O22" s="3420"/>
      <c r="P22" s="3776"/>
      <c r="Q22" s="3442"/>
      <c r="R22" s="3443"/>
      <c r="S22" s="3444"/>
      <c r="T22" s="3443"/>
      <c r="U22" s="3444"/>
      <c r="V22" s="3443"/>
      <c r="W22" s="3444"/>
      <c r="X22" s="3369"/>
      <c r="Y22" s="3776"/>
      <c r="Z22" s="3445"/>
      <c r="AA22" s="3446">
        <v>1</v>
      </c>
      <c r="AB22" s="3446">
        <v>1</v>
      </c>
      <c r="AC22" s="3446">
        <v>1</v>
      </c>
    </row>
    <row r="23" spans="1:29" ht="81">
      <c r="A23" s="3447"/>
      <c r="B23" s="3456" t="s">
        <v>297</v>
      </c>
      <c r="C23" s="3457" t="e">
        <f>#REF!</f>
        <v>#REF!</v>
      </c>
      <c r="D23" s="3454">
        <v>100</v>
      </c>
      <c r="E23" s="3473" t="s">
        <v>3373</v>
      </c>
      <c r="F23" s="3459">
        <f>SUMIF(84:84,E24,85:85)-SUMIF(84:84,C24,85:85)+100</f>
        <v>98</v>
      </c>
      <c r="G23" s="3473" t="s">
        <v>3374</v>
      </c>
      <c r="H23" s="3454">
        <f>SUMIF(84:84,G24,85:85)-SUMIF(84:84,C24,85:85)+100</f>
        <v>100</v>
      </c>
      <c r="I23" s="3473" t="s">
        <v>3374</v>
      </c>
      <c r="J23" s="3454">
        <f>SUMIF(84:84,I24,85:85)-SUMIF(84:84,C24,85:85)+100</f>
        <v>100</v>
      </c>
      <c r="K23" s="3441">
        <v>2</v>
      </c>
      <c r="L23" s="3428"/>
      <c r="M23" s="3368"/>
      <c r="N23" s="3368"/>
      <c r="O23" s="3420"/>
      <c r="P23" s="3776"/>
      <c r="Q23" s="3442" t="str">
        <f>B23</f>
        <v>自然及人文环境</v>
      </c>
      <c r="R23" s="3443" t="s">
        <v>3351</v>
      </c>
      <c r="S23" s="3444">
        <f>F23</f>
        <v>98</v>
      </c>
      <c r="T23" s="3443" t="s">
        <v>3351</v>
      </c>
      <c r="U23" s="3444">
        <f>H23</f>
        <v>100</v>
      </c>
      <c r="V23" s="3443" t="s">
        <v>3351</v>
      </c>
      <c r="W23" s="3444">
        <f>J23</f>
        <v>100</v>
      </c>
      <c r="X23" s="3369"/>
      <c r="Y23" s="3776"/>
      <c r="Z23" s="3445" t="str">
        <f>Q23</f>
        <v>自然及人文环境</v>
      </c>
      <c r="AA23" s="3446">
        <f t="shared" si="3"/>
        <v>1.0204081632653061</v>
      </c>
      <c r="AB23" s="3446">
        <f t="shared" si="4"/>
        <v>1</v>
      </c>
      <c r="AC23" s="3446">
        <f t="shared" si="5"/>
        <v>1</v>
      </c>
    </row>
    <row r="24" spans="1:29" ht="15">
      <c r="A24" s="3447"/>
      <c r="B24" s="3462"/>
      <c r="C24" s="3449" t="s">
        <v>3014</v>
      </c>
      <c r="D24" s="3450"/>
      <c r="E24" s="3451" t="s">
        <v>3015</v>
      </c>
      <c r="F24" s="3452"/>
      <c r="G24" s="3453" t="s">
        <v>3014</v>
      </c>
      <c r="H24" s="3450"/>
      <c r="I24" s="3451" t="s">
        <v>3014</v>
      </c>
      <c r="J24" s="3450"/>
      <c r="K24" s="3455"/>
      <c r="L24" s="3428"/>
      <c r="M24" s="3368"/>
      <c r="N24" s="3368"/>
      <c r="O24" s="3420"/>
      <c r="P24" s="3776"/>
      <c r="Q24" s="3442"/>
      <c r="R24" s="3443"/>
      <c r="S24" s="3444"/>
      <c r="T24" s="3443"/>
      <c r="U24" s="3444"/>
      <c r="V24" s="3443"/>
      <c r="W24" s="3444"/>
      <c r="X24" s="3369"/>
      <c r="Y24" s="3776"/>
      <c r="Z24" s="3445"/>
      <c r="AA24" s="3446">
        <v>1</v>
      </c>
      <c r="AB24" s="3446">
        <v>1</v>
      </c>
      <c r="AC24" s="3446">
        <v>1</v>
      </c>
    </row>
    <row r="25" spans="1:29" ht="15">
      <c r="A25" s="3447"/>
      <c r="B25" s="3474" t="s">
        <v>3375</v>
      </c>
      <c r="C25" s="3475"/>
      <c r="D25" s="3427">
        <v>100</v>
      </c>
      <c r="E25" s="3476"/>
      <c r="F25" s="3477">
        <f>SUMIF(86:86,E25,87:87)-SUMIF(86:86,C25,87:87)+100</f>
        <v>100</v>
      </c>
      <c r="G25" s="3478"/>
      <c r="H25" s="3427">
        <f>SUMIF(86:86,G25,87:87)-SUMIF(86:86,C25,87:87)+100</f>
        <v>100</v>
      </c>
      <c r="I25" s="3476"/>
      <c r="J25" s="3427">
        <f>SUMIF(86:86,I25,87:87)-SUMIF(86:86,C25,87:87)+100</f>
        <v>100</v>
      </c>
      <c r="K25" s="3410"/>
      <c r="L25" s="3428"/>
      <c r="M25" s="3368"/>
      <c r="N25" s="3368"/>
      <c r="O25" s="3420"/>
      <c r="P25" s="3776"/>
      <c r="Q25" s="3442" t="str">
        <f t="shared" ref="Q25:Q46" si="11">B25</f>
        <v>楼层-1</v>
      </c>
      <c r="R25" s="3443" t="s">
        <v>3351</v>
      </c>
      <c r="S25" s="3444">
        <f>F25</f>
        <v>100</v>
      </c>
      <c r="T25" s="3443" t="s">
        <v>3351</v>
      </c>
      <c r="U25" s="3444">
        <f>H25</f>
        <v>100</v>
      </c>
      <c r="V25" s="3443" t="s">
        <v>3351</v>
      </c>
      <c r="W25" s="3444">
        <f>J25</f>
        <v>100</v>
      </c>
      <c r="X25" s="3369"/>
      <c r="Y25" s="3776"/>
      <c r="Z25" s="3445" t="str">
        <f>Q25</f>
        <v>楼层-1</v>
      </c>
      <c r="AA25" s="3446">
        <f t="shared" si="3"/>
        <v>1</v>
      </c>
      <c r="AB25" s="3446">
        <f t="shared" si="4"/>
        <v>1</v>
      </c>
      <c r="AC25" s="3446">
        <f t="shared" si="5"/>
        <v>1</v>
      </c>
    </row>
    <row r="26" spans="1:29" ht="15">
      <c r="A26" s="3447"/>
      <c r="B26" s="3479" t="s">
        <v>723</v>
      </c>
      <c r="C26" s="3475"/>
      <c r="D26" s="3427">
        <v>100</v>
      </c>
      <c r="E26" s="3476"/>
      <c r="F26" s="3477">
        <f>SUMIF(88:88,E26,89:89)-SUMIF(88:88,C26,89:89)+100</f>
        <v>100</v>
      </c>
      <c r="G26" s="3478"/>
      <c r="H26" s="3427">
        <f>SUMIF(88:88,G26,89:89)-SUMIF(88:88,C26,89:89)+100</f>
        <v>100</v>
      </c>
      <c r="I26" s="3476"/>
      <c r="J26" s="3427">
        <f>SUMIF(88:88,I26,89:89)-SUMIF(88:88,C26,89:89)+100</f>
        <v>100</v>
      </c>
      <c r="K26" s="3410"/>
      <c r="L26" s="3428"/>
      <c r="M26" s="3368"/>
      <c r="N26" s="3368"/>
      <c r="O26" s="3420"/>
      <c r="P26" s="3776"/>
      <c r="Q26" s="3442" t="str">
        <f t="shared" si="11"/>
        <v>朝向</v>
      </c>
      <c r="R26" s="3443" t="s">
        <v>3351</v>
      </c>
      <c r="S26" s="3444">
        <f>F26</f>
        <v>100</v>
      </c>
      <c r="T26" s="3443" t="s">
        <v>3351</v>
      </c>
      <c r="U26" s="3444">
        <f>H26</f>
        <v>100</v>
      </c>
      <c r="V26" s="3443" t="s">
        <v>3351</v>
      </c>
      <c r="W26" s="3444">
        <f>J26</f>
        <v>100</v>
      </c>
      <c r="X26" s="3369"/>
      <c r="Y26" s="3776"/>
      <c r="Z26" s="3445" t="str">
        <f>Q26</f>
        <v>朝向</v>
      </c>
      <c r="AA26" s="3446">
        <f t="shared" si="3"/>
        <v>1</v>
      </c>
      <c r="AB26" s="3446">
        <f t="shared" si="4"/>
        <v>1</v>
      </c>
      <c r="AC26" s="3446">
        <f t="shared" si="5"/>
        <v>1</v>
      </c>
    </row>
    <row r="27" spans="1:29" s="3390" customFormat="1" ht="15">
      <c r="A27" s="3480"/>
      <c r="B27" s="3481" t="s">
        <v>3376</v>
      </c>
      <c r="C27" s="3482" t="s">
        <v>3377</v>
      </c>
      <c r="D27" s="3483">
        <v>100</v>
      </c>
      <c r="E27" s="3484" t="s">
        <v>3378</v>
      </c>
      <c r="F27" s="3485">
        <f>SUMIF(90:90,E27,91:91)-SUMIF(90:90,C27,91:91)+100</f>
        <v>101</v>
      </c>
      <c r="G27" s="3486" t="s">
        <v>3378</v>
      </c>
      <c r="H27" s="3483">
        <f>SUMIF(90:90,G27,91:91)-SUMIF(90:90,C27,91:91)+100</f>
        <v>101</v>
      </c>
      <c r="I27" s="3484" t="s">
        <v>3379</v>
      </c>
      <c r="J27" s="3483">
        <f>SUMIF(90:90,I27,91:91)-SUMIF(90:90,C27,91:91)+100</f>
        <v>99</v>
      </c>
      <c r="K27" s="3425"/>
      <c r="L27" s="3384"/>
      <c r="M27" s="3385"/>
      <c r="N27" s="3385"/>
      <c r="O27" s="3402"/>
      <c r="P27" s="3776"/>
      <c r="Q27" s="3403" t="str">
        <f t="shared" si="11"/>
        <v>道路级别</v>
      </c>
      <c r="R27" s="3386" t="s">
        <v>3351</v>
      </c>
      <c r="S27" s="3387">
        <f>F27</f>
        <v>101</v>
      </c>
      <c r="T27" s="3386" t="s">
        <v>3351</v>
      </c>
      <c r="U27" s="3387">
        <f>H27</f>
        <v>101</v>
      </c>
      <c r="V27" s="3386" t="s">
        <v>3351</v>
      </c>
      <c r="W27" s="3387">
        <f>J27</f>
        <v>99</v>
      </c>
      <c r="X27" s="3388"/>
      <c r="Y27" s="3776"/>
      <c r="Z27" s="3404" t="str">
        <f>Q27</f>
        <v>道路级别</v>
      </c>
      <c r="AA27" s="3446">
        <f>D27/F27</f>
        <v>0.99009900990099009</v>
      </c>
      <c r="AB27" s="3446">
        <f>D27/H27</f>
        <v>0.99009900990099009</v>
      </c>
      <c r="AC27" s="3446">
        <f>D27/J27</f>
        <v>1.0101010101010102</v>
      </c>
    </row>
    <row r="28" spans="1:29" ht="15">
      <c r="A28" s="3447"/>
      <c r="B28" s="3487">
        <v>111</v>
      </c>
      <c r="C28" s="3482" t="s">
        <v>3380</v>
      </c>
      <c r="D28" s="3427">
        <v>100</v>
      </c>
      <c r="E28" s="3426" t="s">
        <v>3381</v>
      </c>
      <c r="F28" s="3477">
        <f>SUMIF(92:92,E28,93:93)-SUMIF(92:92,C28,93:93)+100</f>
        <v>100</v>
      </c>
      <c r="G28" s="3488" t="s">
        <v>3382</v>
      </c>
      <c r="H28" s="3427">
        <f>SUMIF(92:92,G28,93:93)-SUMIF(92:92,C28,93:93)+100</f>
        <v>100</v>
      </c>
      <c r="I28" s="3489" t="s">
        <v>3383</v>
      </c>
      <c r="J28" s="3427">
        <f>SUMIF(92:92,I28,93:93)-SUMIF(92:92,C28,93:93)+100</f>
        <v>100</v>
      </c>
      <c r="K28" s="3425"/>
      <c r="L28" s="3428"/>
      <c r="M28" s="3368"/>
      <c r="N28" s="3368"/>
      <c r="O28" s="3420"/>
      <c r="P28" s="3776"/>
      <c r="Q28" s="3442">
        <f t="shared" si="11"/>
        <v>111</v>
      </c>
      <c r="R28" s="3443" t="s">
        <v>3351</v>
      </c>
      <c r="S28" s="3444">
        <f t="shared" ref="S28:S46" si="12">F28</f>
        <v>100</v>
      </c>
      <c r="T28" s="3443" t="s">
        <v>3351</v>
      </c>
      <c r="U28" s="3444">
        <f t="shared" ref="U28:U46" si="13">H28</f>
        <v>100</v>
      </c>
      <c r="V28" s="3443" t="s">
        <v>3351</v>
      </c>
      <c r="W28" s="3444">
        <f t="shared" ref="W28:W46" si="14">J28</f>
        <v>100</v>
      </c>
      <c r="X28" s="3369"/>
      <c r="Y28" s="3776"/>
      <c r="Z28" s="3445">
        <f t="shared" ref="Z28:Z46" si="15">Q28</f>
        <v>111</v>
      </c>
      <c r="AA28" s="3446">
        <f t="shared" si="3"/>
        <v>1</v>
      </c>
      <c r="AB28" s="3446">
        <f t="shared" si="4"/>
        <v>1</v>
      </c>
      <c r="AC28" s="3446">
        <f t="shared" si="5"/>
        <v>1</v>
      </c>
    </row>
    <row r="29" spans="1:29" ht="15">
      <c r="A29" s="3447"/>
      <c r="B29" s="3487">
        <v>111</v>
      </c>
      <c r="C29" s="3426"/>
      <c r="D29" s="3427">
        <v>100</v>
      </c>
      <c r="E29" s="3426"/>
      <c r="F29" s="3477">
        <f>SUMIF(94:94,E29,95:95)-SUMIF(94:94,C29,95:95)+100</f>
        <v>100</v>
      </c>
      <c r="G29" s="3426"/>
      <c r="H29" s="3427">
        <f>SUMIF(94:94,G29,95:95)-SUMIF(94:94,C29,95:95)+100</f>
        <v>100</v>
      </c>
      <c r="I29" s="3426"/>
      <c r="J29" s="3427">
        <f>SUMIF(94:94,I29,95:95)-SUMIF(94:94,C29,95:95)+100</f>
        <v>100</v>
      </c>
      <c r="K29" s="3425"/>
      <c r="L29" s="3428"/>
      <c r="M29" s="3368"/>
      <c r="N29" s="3368"/>
      <c r="O29" s="3420"/>
      <c r="P29" s="3776"/>
      <c r="Q29" s="3442">
        <f t="shared" si="11"/>
        <v>111</v>
      </c>
      <c r="R29" s="3443" t="s">
        <v>3351</v>
      </c>
      <c r="S29" s="3444">
        <f t="shared" si="12"/>
        <v>100</v>
      </c>
      <c r="T29" s="3443" t="s">
        <v>3351</v>
      </c>
      <c r="U29" s="3444">
        <f t="shared" si="13"/>
        <v>100</v>
      </c>
      <c r="V29" s="3443" t="s">
        <v>3351</v>
      </c>
      <c r="W29" s="3444">
        <f t="shared" si="14"/>
        <v>100</v>
      </c>
      <c r="X29" s="3369"/>
      <c r="Y29" s="3776"/>
      <c r="Z29" s="3445">
        <f t="shared" si="15"/>
        <v>111</v>
      </c>
      <c r="AA29" s="3446">
        <f t="shared" si="3"/>
        <v>1</v>
      </c>
      <c r="AB29" s="3446">
        <f t="shared" si="4"/>
        <v>1</v>
      </c>
      <c r="AC29" s="3446">
        <f t="shared" si="5"/>
        <v>1</v>
      </c>
    </row>
    <row r="30" spans="1:29" ht="15">
      <c r="A30" s="3447"/>
      <c r="B30" s="3487">
        <v>111</v>
      </c>
      <c r="C30" s="3426"/>
      <c r="D30" s="3427">
        <v>100</v>
      </c>
      <c r="E30" s="3426"/>
      <c r="F30" s="3477">
        <f>SUMIF(96:96,E30,97:97)-SUMIF(96:96,C30,97:97)+100</f>
        <v>100</v>
      </c>
      <c r="G30" s="3426"/>
      <c r="H30" s="3427">
        <f>SUMIF(96:96,G30,97:97)-SUMIF(96:96,C30,97:97)+100</f>
        <v>100</v>
      </c>
      <c r="I30" s="3426"/>
      <c r="J30" s="3427">
        <f>SUMIF(96:96,I30,97:97)-SUMIF(96:96,C30,97:97)+100</f>
        <v>100</v>
      </c>
      <c r="K30" s="3425"/>
      <c r="L30" s="3428"/>
      <c r="M30" s="3368"/>
      <c r="N30" s="3368"/>
      <c r="O30" s="3420"/>
      <c r="P30" s="3776"/>
      <c r="Q30" s="3442">
        <f t="shared" si="11"/>
        <v>111</v>
      </c>
      <c r="R30" s="3443" t="s">
        <v>3351</v>
      </c>
      <c r="S30" s="3444">
        <f t="shared" si="12"/>
        <v>100</v>
      </c>
      <c r="T30" s="3443" t="s">
        <v>3351</v>
      </c>
      <c r="U30" s="3444">
        <f t="shared" si="13"/>
        <v>100</v>
      </c>
      <c r="V30" s="3443" t="s">
        <v>3351</v>
      </c>
      <c r="W30" s="3444">
        <f t="shared" si="14"/>
        <v>100</v>
      </c>
      <c r="X30" s="3369"/>
      <c r="Y30" s="3776"/>
      <c r="Z30" s="3445">
        <f t="shared" si="15"/>
        <v>111</v>
      </c>
      <c r="AA30" s="3446">
        <f t="shared" si="3"/>
        <v>1</v>
      </c>
      <c r="AB30" s="3446">
        <f t="shared" si="4"/>
        <v>1</v>
      </c>
      <c r="AC30" s="3446">
        <f t="shared" si="5"/>
        <v>1</v>
      </c>
    </row>
    <row r="31" spans="1:29" ht="15.75" thickBot="1">
      <c r="A31" s="3490"/>
      <c r="B31" s="3487">
        <v>111</v>
      </c>
      <c r="C31" s="3431"/>
      <c r="D31" s="3432">
        <v>100</v>
      </c>
      <c r="E31" s="3431"/>
      <c r="F31" s="3433">
        <f>SUMIF(98:98,E31,99:99)-SUMIF(98:98,C31,99:99)+100</f>
        <v>100</v>
      </c>
      <c r="G31" s="3431"/>
      <c r="H31" s="3432">
        <f>SUMIF(98:98,G31,99:99)-SUMIF(98:98,C31,99:99)+100</f>
        <v>100</v>
      </c>
      <c r="I31" s="3431"/>
      <c r="J31" s="3432">
        <f>SUMIF(98:98,I31,99:99)-SUMIF(98:98,C31,99:99)+100</f>
        <v>100</v>
      </c>
      <c r="K31" s="3425"/>
      <c r="L31" s="3428"/>
      <c r="M31" s="3368"/>
      <c r="N31" s="3368"/>
      <c r="O31" s="3420"/>
      <c r="P31" s="3776"/>
      <c r="Q31" s="3442">
        <f t="shared" si="11"/>
        <v>111</v>
      </c>
      <c r="R31" s="3443" t="s">
        <v>3351</v>
      </c>
      <c r="S31" s="3444">
        <f t="shared" si="12"/>
        <v>100</v>
      </c>
      <c r="T31" s="3443" t="s">
        <v>3351</v>
      </c>
      <c r="U31" s="3444">
        <f t="shared" si="13"/>
        <v>100</v>
      </c>
      <c r="V31" s="3443" t="s">
        <v>3351</v>
      </c>
      <c r="W31" s="3444">
        <f t="shared" si="14"/>
        <v>100</v>
      </c>
      <c r="X31" s="3369"/>
      <c r="Y31" s="3776"/>
      <c r="Z31" s="3445">
        <f t="shared" si="15"/>
        <v>111</v>
      </c>
      <c r="AA31" s="3446">
        <f t="shared" si="3"/>
        <v>1</v>
      </c>
      <c r="AB31" s="3446">
        <f t="shared" si="4"/>
        <v>1</v>
      </c>
      <c r="AC31" s="3446">
        <f t="shared" si="5"/>
        <v>1</v>
      </c>
    </row>
    <row r="32" spans="1:29" ht="15">
      <c r="A32" s="3491" t="s">
        <v>3384</v>
      </c>
      <c r="B32" s="3492" t="s">
        <v>725</v>
      </c>
      <c r="C32" s="3493" t="s">
        <v>3385</v>
      </c>
      <c r="D32" s="3494">
        <v>100</v>
      </c>
      <c r="E32" s="3495" t="s">
        <v>3385</v>
      </c>
      <c r="F32" s="3477">
        <f>SUMIF(100:100,E32,101:101)-SUMIF(100:100,C32,101:101)+100</f>
        <v>100</v>
      </c>
      <c r="G32" s="3493" t="s">
        <v>3385</v>
      </c>
      <c r="H32" s="3494">
        <f>SUMIF(100:100,G32,101:101)-SUMIF(100:100,C32,101:101)+100</f>
        <v>100</v>
      </c>
      <c r="I32" s="3495" t="s">
        <v>3385</v>
      </c>
      <c r="J32" s="3427">
        <f>SUMIF(100:100,I32,101:101)-SUMIF(100:100,C32,101:101)+100</f>
        <v>100</v>
      </c>
      <c r="K32" s="3410">
        <v>5</v>
      </c>
      <c r="L32" s="3428"/>
      <c r="M32" s="3368"/>
      <c r="N32" s="3368"/>
      <c r="O32" s="3420"/>
      <c r="P32" s="3777" t="s">
        <v>3386</v>
      </c>
      <c r="Q32" s="3442" t="str">
        <f t="shared" si="11"/>
        <v>建筑类型</v>
      </c>
      <c r="R32" s="3443" t="s">
        <v>3351</v>
      </c>
      <c r="S32" s="3444">
        <f t="shared" si="12"/>
        <v>100</v>
      </c>
      <c r="T32" s="3443" t="s">
        <v>3351</v>
      </c>
      <c r="U32" s="3444">
        <f t="shared" si="13"/>
        <v>100</v>
      </c>
      <c r="V32" s="3443" t="s">
        <v>3351</v>
      </c>
      <c r="W32" s="3444">
        <f t="shared" si="14"/>
        <v>100</v>
      </c>
      <c r="X32" s="3369"/>
      <c r="Y32" s="3778" t="s">
        <v>3386</v>
      </c>
      <c r="Z32" s="3445" t="str">
        <f t="shared" si="15"/>
        <v>建筑类型</v>
      </c>
      <c r="AA32" s="3446">
        <f t="shared" si="3"/>
        <v>1</v>
      </c>
      <c r="AB32" s="3446">
        <f t="shared" si="4"/>
        <v>1</v>
      </c>
      <c r="AC32" s="3446">
        <f t="shared" si="5"/>
        <v>1</v>
      </c>
    </row>
    <row r="33" spans="1:29" s="3507" customFormat="1" ht="15">
      <c r="A33" s="3496"/>
      <c r="B33" s="3479" t="s">
        <v>726</v>
      </c>
      <c r="C33" s="3497">
        <v>1</v>
      </c>
      <c r="D33" s="3407">
        <v>100</v>
      </c>
      <c r="E33" s="3498">
        <v>1</v>
      </c>
      <c r="F33" s="3409">
        <f>LOOKUP(E33,103:103,104:104)-LOOKUP(C33,103:103,104:104)+100</f>
        <v>100</v>
      </c>
      <c r="G33" s="3499">
        <v>1</v>
      </c>
      <c r="H33" s="3407">
        <f>LOOKUP(G33,103:103,104:104)-LOOKUP(C33,103:103,104:104)+100</f>
        <v>100</v>
      </c>
      <c r="I33" s="3498">
        <v>1</v>
      </c>
      <c r="J33" s="3407">
        <f>LOOKUP(I33,103:103,104:104)-LOOKUP(C33,103:103,104:104)+100</f>
        <v>100</v>
      </c>
      <c r="K33" s="3425"/>
      <c r="L33" s="3419"/>
      <c r="M33" s="3500"/>
      <c r="N33" s="3500"/>
      <c r="O33" s="3501"/>
      <c r="P33" s="3778"/>
      <c r="Q33" s="3502" t="str">
        <f t="shared" si="11"/>
        <v>项目建筑规模</v>
      </c>
      <c r="R33" s="3503" t="s">
        <v>3351</v>
      </c>
      <c r="S33" s="3504">
        <f t="shared" si="12"/>
        <v>100</v>
      </c>
      <c r="T33" s="3503" t="s">
        <v>3351</v>
      </c>
      <c r="U33" s="3504">
        <f t="shared" si="13"/>
        <v>100</v>
      </c>
      <c r="V33" s="3503" t="s">
        <v>3351</v>
      </c>
      <c r="W33" s="3504">
        <f t="shared" si="14"/>
        <v>100</v>
      </c>
      <c r="X33" s="3505"/>
      <c r="Y33" s="3778"/>
      <c r="Z33" s="3506" t="str">
        <f t="shared" si="15"/>
        <v>项目建筑规模</v>
      </c>
      <c r="AA33" s="3446">
        <f t="shared" si="3"/>
        <v>1</v>
      </c>
      <c r="AB33" s="3446">
        <f t="shared" si="4"/>
        <v>1</v>
      </c>
      <c r="AC33" s="3446">
        <f t="shared" si="5"/>
        <v>1</v>
      </c>
    </row>
    <row r="34" spans="1:29" ht="15">
      <c r="A34" s="3508"/>
      <c r="B34" s="3479" t="s">
        <v>727</v>
      </c>
      <c r="C34" s="3509" t="s">
        <v>3009</v>
      </c>
      <c r="D34" s="3427">
        <v>100</v>
      </c>
      <c r="E34" s="3510" t="s">
        <v>3009</v>
      </c>
      <c r="F34" s="3477">
        <f>SUMIF(105:105,E34,106:106)-SUMIF(105:105,C34,106:106)+100</f>
        <v>100</v>
      </c>
      <c r="G34" s="3509" t="s">
        <v>3009</v>
      </c>
      <c r="H34" s="3427">
        <f>SUMIF(105:105,G34,106:106)-SUMIF(105:105,C34,106:106)+100</f>
        <v>100</v>
      </c>
      <c r="I34" s="3510" t="s">
        <v>3009</v>
      </c>
      <c r="J34" s="3427">
        <f>SUMIF(105:105,I34,106:106)-SUMIF(105:105,C34,106:106)+100</f>
        <v>100</v>
      </c>
      <c r="K34" s="3410">
        <v>2</v>
      </c>
      <c r="L34" s="3428"/>
      <c r="M34" s="3368"/>
      <c r="N34" s="3368"/>
      <c r="O34" s="3420"/>
      <c r="P34" s="3778"/>
      <c r="Q34" s="3442" t="str">
        <f t="shared" si="11"/>
        <v>建筑结构</v>
      </c>
      <c r="R34" s="3443" t="s">
        <v>3351</v>
      </c>
      <c r="S34" s="3444">
        <f t="shared" si="12"/>
        <v>100</v>
      </c>
      <c r="T34" s="3443" t="s">
        <v>3351</v>
      </c>
      <c r="U34" s="3444">
        <f t="shared" si="13"/>
        <v>100</v>
      </c>
      <c r="V34" s="3443" t="s">
        <v>3351</v>
      </c>
      <c r="W34" s="3444">
        <f t="shared" si="14"/>
        <v>100</v>
      </c>
      <c r="X34" s="3369"/>
      <c r="Y34" s="3778"/>
      <c r="Z34" s="3445" t="str">
        <f t="shared" si="15"/>
        <v>建筑结构</v>
      </c>
      <c r="AA34" s="3446">
        <f t="shared" si="3"/>
        <v>1</v>
      </c>
      <c r="AB34" s="3446">
        <f t="shared" si="4"/>
        <v>1</v>
      </c>
      <c r="AC34" s="3446">
        <f t="shared" si="5"/>
        <v>1</v>
      </c>
    </row>
    <row r="35" spans="1:29" ht="15">
      <c r="A35" s="3508"/>
      <c r="B35" s="3479" t="s">
        <v>728</v>
      </c>
      <c r="C35" s="3478" t="s">
        <v>3014</v>
      </c>
      <c r="D35" s="3427">
        <v>100</v>
      </c>
      <c r="E35" s="3476" t="s">
        <v>3014</v>
      </c>
      <c r="F35" s="3477">
        <f>SUMIF(107:107,E35,108:108)-SUMIF(107:107,C35,108:108)+100</f>
        <v>100</v>
      </c>
      <c r="G35" s="3478" t="s">
        <v>3014</v>
      </c>
      <c r="H35" s="3427">
        <f>SUMIF(107:107,G35,108:108)-SUMIF(107:107,C35,108:108)+100</f>
        <v>100</v>
      </c>
      <c r="I35" s="3476" t="s">
        <v>3014</v>
      </c>
      <c r="J35" s="3427">
        <f>SUMIF(107:107,I35,108:108)-SUMIF(107:107,C35,108:108)+100</f>
        <v>100</v>
      </c>
      <c r="K35" s="3410">
        <v>8</v>
      </c>
      <c r="L35" s="3428"/>
      <c r="M35" s="3368"/>
      <c r="N35" s="3368"/>
      <c r="O35" s="3420"/>
      <c r="P35" s="3778"/>
      <c r="Q35" s="3442" t="str">
        <f t="shared" si="11"/>
        <v>建筑品质</v>
      </c>
      <c r="R35" s="3443" t="s">
        <v>3351</v>
      </c>
      <c r="S35" s="3444">
        <f t="shared" si="12"/>
        <v>100</v>
      </c>
      <c r="T35" s="3443" t="s">
        <v>3351</v>
      </c>
      <c r="U35" s="3444">
        <f t="shared" si="13"/>
        <v>100</v>
      </c>
      <c r="V35" s="3443" t="s">
        <v>3351</v>
      </c>
      <c r="W35" s="3444">
        <f t="shared" si="14"/>
        <v>100</v>
      </c>
      <c r="X35" s="3369"/>
      <c r="Y35" s="3778"/>
      <c r="Z35" s="3445" t="str">
        <f t="shared" si="15"/>
        <v>建筑品质</v>
      </c>
      <c r="AA35" s="3446">
        <f t="shared" si="3"/>
        <v>1</v>
      </c>
      <c r="AB35" s="3446">
        <f t="shared" si="4"/>
        <v>1</v>
      </c>
      <c r="AC35" s="3446">
        <f t="shared" si="5"/>
        <v>1</v>
      </c>
    </row>
    <row r="36" spans="1:29" ht="15">
      <c r="A36" s="3508"/>
      <c r="B36" s="3479" t="s">
        <v>729</v>
      </c>
      <c r="C36" s="3478" t="s">
        <v>3017</v>
      </c>
      <c r="D36" s="3427">
        <v>100</v>
      </c>
      <c r="E36" s="3476" t="s">
        <v>3017</v>
      </c>
      <c r="F36" s="3477">
        <f>SUMIF(109:109,E36,110:110)-SUMIF(109:109,C36,110:110)+100</f>
        <v>100</v>
      </c>
      <c r="G36" s="3478" t="s">
        <v>3017</v>
      </c>
      <c r="H36" s="3427">
        <f>SUMIF(109:109,G36,110:110)-SUMIF(109:109,C36,110:110)+100</f>
        <v>100</v>
      </c>
      <c r="I36" s="3476" t="s">
        <v>3017</v>
      </c>
      <c r="J36" s="3427">
        <f>SUMIF(109:109,I36,110:110)-SUMIF(109:109,C36,110:110)+100</f>
        <v>100</v>
      </c>
      <c r="K36" s="3410">
        <v>1</v>
      </c>
      <c r="L36" s="3428"/>
      <c r="M36" s="3368"/>
      <c r="N36" s="3368"/>
      <c r="O36" s="3420"/>
      <c r="P36" s="3778"/>
      <c r="Q36" s="3442" t="str">
        <f t="shared" si="11"/>
        <v>公共部分装修</v>
      </c>
      <c r="R36" s="3443" t="s">
        <v>3351</v>
      </c>
      <c r="S36" s="3444">
        <f t="shared" si="12"/>
        <v>100</v>
      </c>
      <c r="T36" s="3443" t="s">
        <v>3351</v>
      </c>
      <c r="U36" s="3444">
        <f t="shared" si="13"/>
        <v>100</v>
      </c>
      <c r="V36" s="3443" t="s">
        <v>3351</v>
      </c>
      <c r="W36" s="3444">
        <f t="shared" si="14"/>
        <v>100</v>
      </c>
      <c r="X36" s="3369"/>
      <c r="Y36" s="3778"/>
      <c r="Z36" s="3445" t="str">
        <f t="shared" si="15"/>
        <v>公共部分装修</v>
      </c>
      <c r="AA36" s="3446">
        <f t="shared" si="3"/>
        <v>1</v>
      </c>
      <c r="AB36" s="3446">
        <f t="shared" si="4"/>
        <v>1</v>
      </c>
      <c r="AC36" s="3446">
        <f t="shared" si="5"/>
        <v>1</v>
      </c>
    </row>
    <row r="37" spans="1:29" s="3390" customFormat="1" ht="15">
      <c r="A37" s="3511"/>
      <c r="B37" s="3479" t="s">
        <v>730</v>
      </c>
      <c r="C37" s="3512">
        <v>1</v>
      </c>
      <c r="D37" s="3407">
        <v>100</v>
      </c>
      <c r="E37" s="3513">
        <v>1</v>
      </c>
      <c r="F37" s="3409">
        <f>LOOKUP(E37,112:112,113:113)-LOOKUP(C37,112:112,113:113)+100</f>
        <v>100</v>
      </c>
      <c r="G37" s="3514">
        <v>1</v>
      </c>
      <c r="H37" s="3407">
        <f>LOOKUP(G37,112:112,113:113)-LOOKUP(C37,112:112,113:113)+100</f>
        <v>100</v>
      </c>
      <c r="I37" s="3513">
        <v>1</v>
      </c>
      <c r="J37" s="3407">
        <f>LOOKUP(I37,112:112,113:113)-LOOKUP(C37,112:112,113:113)+100</f>
        <v>100</v>
      </c>
      <c r="K37" s="3410">
        <v>1</v>
      </c>
      <c r="L37" s="3384"/>
      <c r="M37" s="3385"/>
      <c r="N37" s="3385"/>
      <c r="O37" s="3402"/>
      <c r="P37" s="3778"/>
      <c r="Q37" s="3403" t="str">
        <f t="shared" si="11"/>
        <v>成新度</v>
      </c>
      <c r="R37" s="3386" t="s">
        <v>3351</v>
      </c>
      <c r="S37" s="3387">
        <f t="shared" si="12"/>
        <v>100</v>
      </c>
      <c r="T37" s="3386" t="s">
        <v>3351</v>
      </c>
      <c r="U37" s="3387">
        <f t="shared" si="13"/>
        <v>100</v>
      </c>
      <c r="V37" s="3386" t="s">
        <v>3351</v>
      </c>
      <c r="W37" s="3387">
        <f t="shared" si="14"/>
        <v>100</v>
      </c>
      <c r="X37" s="3388"/>
      <c r="Y37" s="3778"/>
      <c r="Z37" s="3404" t="str">
        <f t="shared" si="15"/>
        <v>成新度</v>
      </c>
      <c r="AA37" s="3389">
        <f t="shared" si="3"/>
        <v>1</v>
      </c>
      <c r="AB37" s="3389">
        <f t="shared" si="4"/>
        <v>1</v>
      </c>
      <c r="AC37" s="3389">
        <f t="shared" si="5"/>
        <v>1</v>
      </c>
    </row>
    <row r="38" spans="1:29" ht="15">
      <c r="A38" s="3508"/>
      <c r="B38" s="3479" t="s">
        <v>731</v>
      </c>
      <c r="C38" s="3478" t="s">
        <v>3019</v>
      </c>
      <c r="D38" s="3427">
        <v>100</v>
      </c>
      <c r="E38" s="3476" t="s">
        <v>3019</v>
      </c>
      <c r="F38" s="3477">
        <f>SUMIF(114:114,E38,115:115)-SUMIF(114:114,C38,115:115)+100</f>
        <v>100</v>
      </c>
      <c r="G38" s="3478" t="s">
        <v>3019</v>
      </c>
      <c r="H38" s="3427">
        <f>SUMIF(114:114,G38,115:115)-SUMIF(114:114,C38,115:115)+100</f>
        <v>100</v>
      </c>
      <c r="I38" s="3476" t="s">
        <v>3019</v>
      </c>
      <c r="J38" s="3427">
        <f>SUMIF(114:114,I38,115:115)-SUMIF(114:114,C38,115:115)+100</f>
        <v>100</v>
      </c>
      <c r="K38" s="3410">
        <v>3</v>
      </c>
      <c r="L38" s="3428"/>
      <c r="M38" s="3368"/>
      <c r="N38" s="3368"/>
      <c r="O38" s="3420"/>
      <c r="P38" s="3778" t="s">
        <v>3386</v>
      </c>
      <c r="Q38" s="3442" t="str">
        <f t="shared" si="11"/>
        <v>物业管理</v>
      </c>
      <c r="R38" s="3443" t="s">
        <v>3351</v>
      </c>
      <c r="S38" s="3444">
        <f t="shared" si="12"/>
        <v>100</v>
      </c>
      <c r="T38" s="3443" t="s">
        <v>3351</v>
      </c>
      <c r="U38" s="3444">
        <f t="shared" si="13"/>
        <v>100</v>
      </c>
      <c r="V38" s="3443" t="s">
        <v>3351</v>
      </c>
      <c r="W38" s="3444">
        <f t="shared" si="14"/>
        <v>100</v>
      </c>
      <c r="X38" s="3369"/>
      <c r="Y38" s="3778" t="s">
        <v>3386</v>
      </c>
      <c r="Z38" s="3445" t="str">
        <f t="shared" si="15"/>
        <v>物业管理</v>
      </c>
      <c r="AA38" s="3446">
        <f t="shared" si="3"/>
        <v>1</v>
      </c>
      <c r="AB38" s="3446">
        <f t="shared" si="4"/>
        <v>1</v>
      </c>
      <c r="AC38" s="3446">
        <f t="shared" si="5"/>
        <v>1</v>
      </c>
    </row>
    <row r="39" spans="1:29" ht="15">
      <c r="A39" s="3508"/>
      <c r="B39" s="3474" t="s">
        <v>3387</v>
      </c>
      <c r="C39" s="3478" t="s">
        <v>3031</v>
      </c>
      <c r="D39" s="3427">
        <v>100</v>
      </c>
      <c r="E39" s="3476" t="s">
        <v>3031</v>
      </c>
      <c r="F39" s="3477">
        <f>SUMIF(116:116,E39,117:117)-SUMIF(116:116,C39,117:117)+100</f>
        <v>100</v>
      </c>
      <c r="G39" s="3478" t="s">
        <v>3031</v>
      </c>
      <c r="H39" s="3427">
        <f>SUMIF(116:116,G39,117:117)-SUMIF(116:116,C39,117:117)+100</f>
        <v>100</v>
      </c>
      <c r="I39" s="3476" t="s">
        <v>3031</v>
      </c>
      <c r="J39" s="3427">
        <f>SUMIF(116:116,I39,117:117)-SUMIF(116:116,C39,117:117)+100</f>
        <v>100</v>
      </c>
      <c r="K39" s="3410">
        <v>1</v>
      </c>
      <c r="L39" s="3428"/>
      <c r="M39" s="3368"/>
      <c r="N39" s="3368"/>
      <c r="O39" s="3420"/>
      <c r="P39" s="3778"/>
      <c r="Q39" s="3442" t="str">
        <f t="shared" si="11"/>
        <v>市政基础设施</v>
      </c>
      <c r="R39" s="3443" t="s">
        <v>3351</v>
      </c>
      <c r="S39" s="3444">
        <f t="shared" si="12"/>
        <v>100</v>
      </c>
      <c r="T39" s="3443" t="s">
        <v>3351</v>
      </c>
      <c r="U39" s="3444">
        <f t="shared" si="13"/>
        <v>100</v>
      </c>
      <c r="V39" s="3443" t="s">
        <v>3351</v>
      </c>
      <c r="W39" s="3444">
        <f t="shared" si="14"/>
        <v>100</v>
      </c>
      <c r="X39" s="3369"/>
      <c r="Y39" s="3778"/>
      <c r="Z39" s="3445" t="str">
        <f t="shared" si="15"/>
        <v>市政基础设施</v>
      </c>
      <c r="AA39" s="3446">
        <f t="shared" si="3"/>
        <v>1</v>
      </c>
      <c r="AB39" s="3446">
        <f t="shared" si="4"/>
        <v>1</v>
      </c>
      <c r="AC39" s="3446">
        <f t="shared" si="5"/>
        <v>1</v>
      </c>
    </row>
    <row r="40" spans="1:29" ht="15">
      <c r="A40" s="3508"/>
      <c r="B40" s="3479" t="s">
        <v>732</v>
      </c>
      <c r="C40" s="3478"/>
      <c r="D40" s="3427">
        <v>100</v>
      </c>
      <c r="E40" s="3476"/>
      <c r="F40" s="3477">
        <f>SUMIF(118:118,E40,119:119)-SUMIF(118:118,C40,119:119)+100</f>
        <v>100</v>
      </c>
      <c r="G40" s="3478"/>
      <c r="H40" s="3427">
        <f>SUMIF(118:118,G40,119:119)-SUMIF(118:118,C40,119:119)+100</f>
        <v>100</v>
      </c>
      <c r="I40" s="3476"/>
      <c r="J40" s="3427">
        <f>SUMIF(118:118,I40,119:119)-SUMIF(118:118,C40,119:119)+100</f>
        <v>100</v>
      </c>
      <c r="K40" s="3410"/>
      <c r="L40" s="3428"/>
      <c r="M40" s="3368"/>
      <c r="N40" s="3368"/>
      <c r="O40" s="3420"/>
      <c r="P40" s="3778"/>
      <c r="Q40" s="3442" t="str">
        <f t="shared" si="11"/>
        <v>房型</v>
      </c>
      <c r="R40" s="3443" t="s">
        <v>3351</v>
      </c>
      <c r="S40" s="3444">
        <f t="shared" si="12"/>
        <v>100</v>
      </c>
      <c r="T40" s="3443" t="s">
        <v>3351</v>
      </c>
      <c r="U40" s="3444">
        <f t="shared" si="13"/>
        <v>100</v>
      </c>
      <c r="V40" s="3443" t="s">
        <v>3351</v>
      </c>
      <c r="W40" s="3444">
        <f t="shared" si="14"/>
        <v>100</v>
      </c>
      <c r="X40" s="3369"/>
      <c r="Y40" s="3778"/>
      <c r="Z40" s="3445" t="str">
        <f t="shared" si="15"/>
        <v>房型</v>
      </c>
      <c r="AA40" s="3446">
        <f t="shared" si="3"/>
        <v>1</v>
      </c>
      <c r="AB40" s="3446">
        <f t="shared" si="4"/>
        <v>1</v>
      </c>
      <c r="AC40" s="3446">
        <f t="shared" si="5"/>
        <v>1</v>
      </c>
    </row>
    <row r="41" spans="1:29" s="3507" customFormat="1" ht="28.5">
      <c r="A41" s="3496"/>
      <c r="B41" s="3479" t="s">
        <v>3388</v>
      </c>
      <c r="C41" s="3497" t="s">
        <v>3389</v>
      </c>
      <c r="D41" s="3407">
        <v>100</v>
      </c>
      <c r="E41" s="3498" t="s">
        <v>2504</v>
      </c>
      <c r="F41" s="3409">
        <f>SUMIF(120:120,E41,121:121)-SUMIF(120:120,C41,121:121)+100</f>
        <v>98</v>
      </c>
      <c r="G41" s="3499" t="s">
        <v>2503</v>
      </c>
      <c r="H41" s="3407">
        <f>SUMIF(120:120,G41,121:121)-SUMIF(120:120,C41,121:121)+100</f>
        <v>100</v>
      </c>
      <c r="I41" s="3515" t="s">
        <v>2505</v>
      </c>
      <c r="J41" s="3427">
        <f>SUMIF(120:120,I41,121:121)-SUMIF(120:120,C41,121:121)+100</f>
        <v>96</v>
      </c>
      <c r="K41" s="3425"/>
      <c r="L41" s="3419"/>
      <c r="M41" s="3500"/>
      <c r="N41" s="3500"/>
      <c r="O41" s="3501"/>
      <c r="P41" s="3778"/>
      <c r="Q41" s="3502" t="str">
        <f t="shared" si="11"/>
        <v>单套/主力户型建筑面积</v>
      </c>
      <c r="R41" s="3503" t="s">
        <v>8</v>
      </c>
      <c r="S41" s="3504">
        <f t="shared" si="12"/>
        <v>98</v>
      </c>
      <c r="T41" s="3503" t="s">
        <v>8</v>
      </c>
      <c r="U41" s="3504">
        <f t="shared" si="13"/>
        <v>100</v>
      </c>
      <c r="V41" s="3503" t="s">
        <v>8</v>
      </c>
      <c r="W41" s="3504">
        <f t="shared" si="14"/>
        <v>96</v>
      </c>
      <c r="X41" s="3505"/>
      <c r="Y41" s="3778"/>
      <c r="Z41" s="3506" t="str">
        <f t="shared" si="15"/>
        <v>单套/主力户型建筑面积</v>
      </c>
      <c r="AA41" s="3446">
        <f t="shared" si="3"/>
        <v>1.0204081632653061</v>
      </c>
      <c r="AB41" s="3446">
        <f t="shared" si="4"/>
        <v>1</v>
      </c>
      <c r="AC41" s="3446">
        <f t="shared" si="5"/>
        <v>1.0416666666666667</v>
      </c>
    </row>
    <row r="42" spans="1:29" ht="15">
      <c r="A42" s="3508"/>
      <c r="B42" s="3479" t="s">
        <v>734</v>
      </c>
      <c r="C42" s="3478" t="s">
        <v>3032</v>
      </c>
      <c r="D42" s="3427">
        <v>100</v>
      </c>
      <c r="E42" s="3476" t="s">
        <v>3032</v>
      </c>
      <c r="F42" s="3477">
        <f>SUMIF(122:122,E42,123:123)-SUMIF(122:122,C42,123:123)+100</f>
        <v>100</v>
      </c>
      <c r="G42" s="3478" t="s">
        <v>3032</v>
      </c>
      <c r="H42" s="3427">
        <f>SUMIF(122:122,G42,123:123)-SUMIF(122:122,C42,123:123)+100</f>
        <v>100</v>
      </c>
      <c r="I42" s="3476" t="s">
        <v>3032</v>
      </c>
      <c r="J42" s="3427">
        <f>SUMIF(122:122,I42,123:123)-SUMIF(122:122,C42,123:123)+100</f>
        <v>100</v>
      </c>
      <c r="K42" s="3410">
        <v>1</v>
      </c>
      <c r="L42" s="3428"/>
      <c r="M42" s="3368"/>
      <c r="N42" s="3368"/>
      <c r="O42" s="3420"/>
      <c r="P42" s="3778"/>
      <c r="Q42" s="3442" t="str">
        <f t="shared" si="11"/>
        <v>内部装修</v>
      </c>
      <c r="R42" s="3443" t="s">
        <v>3351</v>
      </c>
      <c r="S42" s="3444">
        <f t="shared" si="12"/>
        <v>100</v>
      </c>
      <c r="T42" s="3443" t="s">
        <v>3351</v>
      </c>
      <c r="U42" s="3444">
        <f t="shared" si="13"/>
        <v>100</v>
      </c>
      <c r="V42" s="3443" t="s">
        <v>3351</v>
      </c>
      <c r="W42" s="3444">
        <f t="shared" si="14"/>
        <v>100</v>
      </c>
      <c r="X42" s="3369"/>
      <c r="Y42" s="3778"/>
      <c r="Z42" s="3445" t="str">
        <f t="shared" si="15"/>
        <v>内部装修</v>
      </c>
      <c r="AA42" s="3446">
        <f t="shared" si="3"/>
        <v>1</v>
      </c>
      <c r="AB42" s="3446">
        <f t="shared" si="4"/>
        <v>1</v>
      </c>
      <c r="AC42" s="3446">
        <f t="shared" si="5"/>
        <v>1</v>
      </c>
    </row>
    <row r="43" spans="1:29" ht="27">
      <c r="A43" s="3508"/>
      <c r="B43" s="3479" t="s">
        <v>735</v>
      </c>
      <c r="C43" s="3478" t="s">
        <v>3014</v>
      </c>
      <c r="D43" s="3427">
        <v>100</v>
      </c>
      <c r="E43" s="3476" t="s">
        <v>3014</v>
      </c>
      <c r="F43" s="3477">
        <f>SUMIF(124:124,E43,125:125)-SUMIF(124:124,C43,125:125)+100</f>
        <v>100</v>
      </c>
      <c r="G43" s="3478" t="s">
        <v>3014</v>
      </c>
      <c r="H43" s="3427">
        <f>SUMIF(124:124,G43,125:125)-SUMIF(124:124,C43,125:125)+100</f>
        <v>100</v>
      </c>
      <c r="I43" s="3476" t="s">
        <v>3014</v>
      </c>
      <c r="J43" s="3427">
        <f>SUMIF(124:124,I43,125:125)-SUMIF(124:124,C43,125:125)+100</f>
        <v>100</v>
      </c>
      <c r="K43" s="3410">
        <v>2</v>
      </c>
      <c r="L43" s="3428"/>
      <c r="M43" s="3368"/>
      <c r="N43" s="3368"/>
      <c r="O43" s="3420"/>
      <c r="P43" s="3778"/>
      <c r="Q43" s="3442" t="str">
        <f t="shared" si="11"/>
        <v>内部装修维护情况</v>
      </c>
      <c r="R43" s="3443" t="s">
        <v>3351</v>
      </c>
      <c r="S43" s="3444">
        <f t="shared" si="12"/>
        <v>100</v>
      </c>
      <c r="T43" s="3443" t="s">
        <v>3351</v>
      </c>
      <c r="U43" s="3444">
        <f t="shared" si="13"/>
        <v>100</v>
      </c>
      <c r="V43" s="3443" t="s">
        <v>3351</v>
      </c>
      <c r="W43" s="3444">
        <f t="shared" si="14"/>
        <v>100</v>
      </c>
      <c r="X43" s="3369"/>
      <c r="Y43" s="3778"/>
      <c r="Z43" s="3445" t="str">
        <f t="shared" si="15"/>
        <v>内部装修维护情况</v>
      </c>
      <c r="AA43" s="3446">
        <f t="shared" si="3"/>
        <v>1</v>
      </c>
      <c r="AB43" s="3446">
        <f t="shared" si="4"/>
        <v>1</v>
      </c>
      <c r="AC43" s="3446">
        <f t="shared" si="5"/>
        <v>1</v>
      </c>
    </row>
    <row r="44" spans="1:29" s="3390" customFormat="1" ht="15">
      <c r="A44" s="3511"/>
      <c r="B44" s="3487">
        <v>111</v>
      </c>
      <c r="C44" s="3516"/>
      <c r="D44" s="3407">
        <v>100</v>
      </c>
      <c r="E44" s="3516"/>
      <c r="F44" s="3409">
        <f>SUMIF(126:126,E44,127:127)-SUMIF(126:126,C44,127:127)+100</f>
        <v>100</v>
      </c>
      <c r="G44" s="3516"/>
      <c r="H44" s="3407">
        <f>SUMIF(126:126,G44,127:127)-SUMIF(126:126,C44,127:127)+100</f>
        <v>100</v>
      </c>
      <c r="I44" s="3516"/>
      <c r="J44" s="3407">
        <f>SUMIF(126:126,I44,127:127)-SUMIF(126:126,C44,127:127)+100</f>
        <v>100</v>
      </c>
      <c r="K44" s="3425"/>
      <c r="L44" s="3384"/>
      <c r="M44" s="3385"/>
      <c r="N44" s="3385"/>
      <c r="O44" s="3402"/>
      <c r="P44" s="3778"/>
      <c r="Q44" s="3403">
        <f t="shared" si="11"/>
        <v>111</v>
      </c>
      <c r="R44" s="3386" t="s">
        <v>3351</v>
      </c>
      <c r="S44" s="3387">
        <f t="shared" si="12"/>
        <v>100</v>
      </c>
      <c r="T44" s="3386" t="s">
        <v>3351</v>
      </c>
      <c r="U44" s="3387">
        <f t="shared" si="13"/>
        <v>100</v>
      </c>
      <c r="V44" s="3386" t="s">
        <v>3351</v>
      </c>
      <c r="W44" s="3387">
        <f t="shared" si="14"/>
        <v>100</v>
      </c>
      <c r="X44" s="3388"/>
      <c r="Y44" s="3778"/>
      <c r="Z44" s="3404">
        <f t="shared" si="15"/>
        <v>111</v>
      </c>
      <c r="AA44" s="3389">
        <f t="shared" si="3"/>
        <v>1</v>
      </c>
      <c r="AB44" s="3389">
        <f t="shared" si="4"/>
        <v>1</v>
      </c>
      <c r="AC44" s="3389">
        <f t="shared" si="5"/>
        <v>1</v>
      </c>
    </row>
    <row r="45" spans="1:29" ht="15">
      <c r="A45" s="3508"/>
      <c r="B45" s="3487">
        <v>111</v>
      </c>
      <c r="C45" s="3426"/>
      <c r="D45" s="3427">
        <v>100</v>
      </c>
      <c r="E45" s="3426"/>
      <c r="F45" s="3477">
        <f>SUMIF(128:128,E45,129:129)-SUMIF(128:128,C45,129:129)+100</f>
        <v>100</v>
      </c>
      <c r="G45" s="3426"/>
      <c r="H45" s="3427">
        <f>SUMIF(128:128,G45,129:129)-SUMIF(128:128,C45,129:129)+100</f>
        <v>100</v>
      </c>
      <c r="I45" s="3426"/>
      <c r="J45" s="3427">
        <f>SUMIF(128:128,I45,129:129)-SUMIF(128:128,C45,129:129)+100</f>
        <v>100</v>
      </c>
      <c r="K45" s="3425"/>
      <c r="L45" s="3428"/>
      <c r="M45" s="3368"/>
      <c r="N45" s="3368"/>
      <c r="O45" s="3420"/>
      <c r="P45" s="3778"/>
      <c r="Q45" s="3442">
        <f t="shared" si="11"/>
        <v>111</v>
      </c>
      <c r="R45" s="3443" t="s">
        <v>3351</v>
      </c>
      <c r="S45" s="3444">
        <f t="shared" si="12"/>
        <v>100</v>
      </c>
      <c r="T45" s="3443" t="s">
        <v>3351</v>
      </c>
      <c r="U45" s="3444">
        <f t="shared" si="13"/>
        <v>100</v>
      </c>
      <c r="V45" s="3443" t="s">
        <v>3351</v>
      </c>
      <c r="W45" s="3444">
        <f t="shared" si="14"/>
        <v>100</v>
      </c>
      <c r="X45" s="3369"/>
      <c r="Y45" s="3778"/>
      <c r="Z45" s="3445">
        <f t="shared" si="15"/>
        <v>111</v>
      </c>
      <c r="AA45" s="3446">
        <f t="shared" si="3"/>
        <v>1</v>
      </c>
      <c r="AB45" s="3446">
        <f t="shared" si="4"/>
        <v>1</v>
      </c>
      <c r="AC45" s="3446">
        <f t="shared" si="5"/>
        <v>1</v>
      </c>
    </row>
    <row r="46" spans="1:29" ht="15.75" thickBot="1">
      <c r="A46" s="3517"/>
      <c r="B46" s="3518">
        <v>111</v>
      </c>
      <c r="C46" s="3431"/>
      <c r="D46" s="3432">
        <v>100</v>
      </c>
      <c r="E46" s="3431"/>
      <c r="F46" s="3433">
        <f>SUMIF(130:130,E46,131:131)-SUMIF(130:130,C46,131:131)+100</f>
        <v>100</v>
      </c>
      <c r="G46" s="3431"/>
      <c r="H46" s="3432">
        <f>SUMIF(130:130,G46,131:131)-SUMIF(130:130,C46,131:131)+100</f>
        <v>100</v>
      </c>
      <c r="I46" s="3431"/>
      <c r="J46" s="3432">
        <f>SUMIF(130:130,I46,131:131)-SUMIF(130:130,C46,131:131)+100</f>
        <v>100</v>
      </c>
      <c r="K46" s="3425"/>
      <c r="L46" s="3428"/>
      <c r="M46" s="3368"/>
      <c r="N46" s="3368"/>
      <c r="O46" s="3420"/>
      <c r="P46" s="3779"/>
      <c r="Q46" s="3442">
        <f t="shared" si="11"/>
        <v>111</v>
      </c>
      <c r="R46" s="3443" t="s">
        <v>3351</v>
      </c>
      <c r="S46" s="3444">
        <f t="shared" si="12"/>
        <v>100</v>
      </c>
      <c r="T46" s="3443" t="s">
        <v>3351</v>
      </c>
      <c r="U46" s="3444">
        <f t="shared" si="13"/>
        <v>100</v>
      </c>
      <c r="V46" s="3443" t="s">
        <v>3351</v>
      </c>
      <c r="W46" s="3444">
        <f t="shared" si="14"/>
        <v>100</v>
      </c>
      <c r="X46" s="3369"/>
      <c r="Y46" s="3779"/>
      <c r="Z46" s="3445">
        <f t="shared" si="15"/>
        <v>111</v>
      </c>
      <c r="AA46" s="3446">
        <f t="shared" si="3"/>
        <v>1</v>
      </c>
      <c r="AB46" s="3446">
        <f t="shared" si="4"/>
        <v>1</v>
      </c>
      <c r="AC46" s="3446">
        <f t="shared" si="5"/>
        <v>1</v>
      </c>
    </row>
    <row r="47" spans="1:29" ht="15">
      <c r="A47" s="3519" t="s">
        <v>3390</v>
      </c>
      <c r="B47" s="3520"/>
      <c r="C47" s="3521" t="s">
        <v>3391</v>
      </c>
      <c r="D47" s="3522"/>
      <c r="E47" s="3523">
        <v>13000</v>
      </c>
      <c r="F47" s="3524"/>
      <c r="G47" s="3525">
        <v>13500</v>
      </c>
      <c r="H47" s="3526"/>
      <c r="I47" s="3523">
        <v>15000</v>
      </c>
      <c r="J47" s="3526"/>
      <c r="K47" s="3527"/>
      <c r="L47" s="3528"/>
      <c r="M47" s="3529"/>
      <c r="N47" s="3368"/>
      <c r="O47" s="3529"/>
      <c r="P47" s="3770" t="str">
        <f>A47</f>
        <v>成交单价（元/平方米）</v>
      </c>
      <c r="Q47" s="3770"/>
      <c r="R47" s="3771">
        <f>E47</f>
        <v>13000</v>
      </c>
      <c r="S47" s="3771"/>
      <c r="T47" s="3771">
        <f>G47</f>
        <v>13500</v>
      </c>
      <c r="U47" s="3771"/>
      <c r="V47" s="3771">
        <f>I47</f>
        <v>15000</v>
      </c>
      <c r="W47" s="3771"/>
      <c r="X47" s="3530"/>
      <c r="Y47" s="3531"/>
      <c r="Z47" s="3530"/>
      <c r="AA47" s="3530"/>
      <c r="AB47" s="3530"/>
      <c r="AC47" s="3530"/>
    </row>
    <row r="48" spans="1:29" ht="15.75" thickBot="1">
      <c r="A48" s="3532" t="s">
        <v>3392</v>
      </c>
      <c r="B48" s="3533"/>
      <c r="C48" s="3534" t="e">
        <f>R49</f>
        <v>#REF!</v>
      </c>
      <c r="D48" s="3535"/>
      <c r="E48" s="3536" t="e">
        <f>R48</f>
        <v>#REF!</v>
      </c>
      <c r="F48" s="3536"/>
      <c r="G48" s="3534" t="e">
        <f>T48</f>
        <v>#REF!</v>
      </c>
      <c r="H48" s="3535"/>
      <c r="I48" s="3536" t="e">
        <f>V48</f>
        <v>#REF!</v>
      </c>
      <c r="J48" s="3535"/>
      <c r="K48" s="3537"/>
      <c r="L48" s="3528"/>
      <c r="M48" s="3529"/>
      <c r="N48" s="3529"/>
      <c r="O48" s="3529"/>
      <c r="P48" s="3770" t="str">
        <f>A48</f>
        <v>比较价格（元/平方米）</v>
      </c>
      <c r="Q48" s="3770"/>
      <c r="R48" s="3771" t="e">
        <f>IF(F1="售价",ROUND(PRODUCT(R47,AA7:AA46),0),ROUND(PRODUCT(R47,AA7:AA46),1))</f>
        <v>#REF!</v>
      </c>
      <c r="S48" s="3771"/>
      <c r="T48" s="3771" t="e">
        <f>IF(F1="售价",ROUND(PRODUCT(T47,AB7:AB46),0),ROUND(PRODUCT(T47,AB7:AB46),1))</f>
        <v>#REF!</v>
      </c>
      <c r="U48" s="3771"/>
      <c r="V48" s="3771" t="e">
        <f>IF(F1="售价",ROUND(PRODUCT(V47,AC7:AC46),0),ROUND(PRODUCT(V47,AC7:AC46),1))</f>
        <v>#REF!</v>
      </c>
      <c r="W48" s="3771"/>
      <c r="X48" s="3530"/>
      <c r="Y48" s="3530"/>
      <c r="Z48" s="3530"/>
      <c r="AA48" s="3530"/>
      <c r="AB48" s="3530"/>
      <c r="AC48" s="3530"/>
    </row>
    <row r="49" spans="1:29" ht="15.75" thickBot="1">
      <c r="A49" s="3538" t="s">
        <v>3393</v>
      </c>
      <c r="B49" s="3539"/>
      <c r="C49" s="3540" t="e">
        <f>R49</f>
        <v>#REF!</v>
      </c>
      <c r="D49" s="3540"/>
      <c r="E49" s="3540"/>
      <c r="F49" s="3540"/>
      <c r="G49" s="3540"/>
      <c r="H49" s="3540"/>
      <c r="I49" s="3540"/>
      <c r="J49" s="3540"/>
      <c r="K49" s="3541"/>
      <c r="L49" s="3528"/>
      <c r="M49" s="3529"/>
      <c r="N49" s="3529"/>
      <c r="O49" s="3529"/>
      <c r="P49" s="3772" t="str">
        <f>A49</f>
        <v>估价对象XX用房的比较价格（楼面单价，元/平方米）</v>
      </c>
      <c r="Q49" s="3773"/>
      <c r="R49" s="3774" t="e">
        <f>IF(F1="售价",ROUND(AVERAGE(R48:V48),0),ROUND(AVERAGE(R48:V48),1))</f>
        <v>#REF!</v>
      </c>
      <c r="S49" s="3774"/>
      <c r="T49" s="3774"/>
      <c r="U49" s="3774"/>
      <c r="V49" s="3774"/>
      <c r="W49" s="3774"/>
      <c r="X49" s="3530"/>
      <c r="Y49" s="3530"/>
      <c r="Z49" s="3530"/>
      <c r="AA49" s="3530"/>
      <c r="AB49" s="3530"/>
      <c r="AC49" s="3530"/>
    </row>
    <row r="50" spans="1:29">
      <c r="A50" s="3529"/>
      <c r="B50" s="3529"/>
      <c r="C50" s="3529"/>
      <c r="D50" s="3529"/>
      <c r="E50" s="3529"/>
      <c r="F50" s="3529"/>
      <c r="G50" s="3542"/>
      <c r="H50" s="3529"/>
      <c r="I50" s="3529"/>
      <c r="J50" s="3529"/>
      <c r="K50" s="3543"/>
      <c r="L50" s="3544"/>
      <c r="M50" s="3529"/>
      <c r="N50" s="3529"/>
      <c r="O50" s="3529"/>
      <c r="P50" s="3529"/>
      <c r="Q50" s="3529"/>
      <c r="R50" s="3529"/>
      <c r="S50" s="3529"/>
      <c r="T50" s="3529"/>
      <c r="U50" s="3529"/>
      <c r="V50" s="3529"/>
      <c r="W50" s="3529"/>
      <c r="X50" s="3529"/>
      <c r="Y50" s="3529"/>
      <c r="Z50" s="3529"/>
      <c r="AA50" s="3529"/>
      <c r="AB50" s="3529"/>
      <c r="AC50" s="3529"/>
    </row>
    <row r="51" spans="1:29">
      <c r="A51" s="3529"/>
      <c r="B51" s="3529"/>
      <c r="C51" s="3529"/>
      <c r="D51" s="3529"/>
      <c r="E51" s="3529"/>
      <c r="F51" s="3529"/>
      <c r="G51" s="3529"/>
      <c r="H51" s="3529"/>
      <c r="I51" s="3529"/>
      <c r="J51" s="3529"/>
      <c r="K51" s="3543"/>
      <c r="L51" s="3544"/>
      <c r="M51" s="3529"/>
      <c r="N51" s="3529"/>
      <c r="O51" s="3529"/>
      <c r="P51" s="3529"/>
      <c r="Q51" s="3529"/>
      <c r="R51" s="3529"/>
      <c r="S51" s="3529"/>
      <c r="T51" s="3529"/>
      <c r="U51" s="3529"/>
      <c r="V51" s="3529"/>
      <c r="W51" s="3529"/>
      <c r="X51" s="3529"/>
      <c r="Y51" s="3529"/>
      <c r="Z51" s="3529"/>
      <c r="AA51" s="3529"/>
      <c r="AB51" s="3529"/>
      <c r="AC51" s="3529"/>
    </row>
    <row r="52" spans="1:29" ht="13.5" customHeight="1">
      <c r="A52" s="3529"/>
      <c r="B52" s="3529"/>
      <c r="C52" s="3545" t="s">
        <v>3394</v>
      </c>
      <c r="D52" s="3546"/>
      <c r="E52" s="3547" t="e">
        <f>IF(E47&lt;E48,E48/E47-1,E47/E48-1)</f>
        <v>#REF!</v>
      </c>
      <c r="F52" s="3548" t="e">
        <f>IF(OR(E52&gt;=0.3,E52&lt;=-0.3),"超过30%","")</f>
        <v>#REF!</v>
      </c>
      <c r="G52" s="3547" t="e">
        <f>IF(G47&lt;G48,G48/G47-1,G47/G48-1)</f>
        <v>#REF!</v>
      </c>
      <c r="H52" s="3548" t="e">
        <f>IF(OR(G52&gt;=0.3,G52&lt;=-0.3),"超过30%","")</f>
        <v>#REF!</v>
      </c>
      <c r="I52" s="3547" t="e">
        <f>IF(I47&lt;I48,I48/I47-1,I47/I48-1)</f>
        <v>#REF!</v>
      </c>
      <c r="J52" s="3548" t="e">
        <f>IF(OR(I52&gt;=0.3,I52&lt;=-0.3),"超过30%","")</f>
        <v>#REF!</v>
      </c>
      <c r="K52" s="3543"/>
      <c r="L52" s="3544"/>
      <c r="M52" s="3529"/>
      <c r="N52" s="3529"/>
      <c r="O52" s="3529"/>
      <c r="P52" s="3529"/>
      <c r="Q52" s="3529"/>
      <c r="R52" s="3529"/>
      <c r="S52" s="3529"/>
      <c r="T52" s="3529"/>
      <c r="U52" s="3529"/>
      <c r="V52" s="3529"/>
      <c r="W52" s="3529"/>
      <c r="X52" s="3529"/>
      <c r="Y52" s="3529"/>
      <c r="Z52" s="3529"/>
      <c r="AA52" s="3529"/>
      <c r="AB52" s="3529"/>
      <c r="AC52" s="3529"/>
    </row>
    <row r="53" spans="1:29" ht="13.5" customHeight="1">
      <c r="A53" s="3529"/>
      <c r="B53" s="3529"/>
      <c r="C53" s="3545" t="s">
        <v>3395</v>
      </c>
      <c r="D53" s="3549"/>
      <c r="E53" s="3547" t="e">
        <f>IF(E48&lt;G48,G48/E48-1,E48/G48-1)</f>
        <v>#REF!</v>
      </c>
      <c r="F53" s="3548" t="e">
        <f>IF(OR(E53&gt;=0.2,E53&lt;=-0.2),"超过20%","")</f>
        <v>#REF!</v>
      </c>
      <c r="G53" s="3547" t="e">
        <f>IF(G48&lt;I48,I48/G48-1,G48/I48-1)</f>
        <v>#REF!</v>
      </c>
      <c r="H53" s="3548" t="e">
        <f>IF(OR(G53&gt;=0.2,G53&lt;=-0.2),"超过20%","")</f>
        <v>#REF!</v>
      </c>
      <c r="I53" s="3547" t="e">
        <f>IF(I48&lt;E48,E48/I48-1,I48/E48-1)</f>
        <v>#REF!</v>
      </c>
      <c r="J53" s="3548" t="e">
        <f>IF(OR(I53&gt;=0.2,I53&lt;=-0.2),"超过20%","")</f>
        <v>#REF!</v>
      </c>
      <c r="K53" s="3543"/>
      <c r="L53" s="3544"/>
      <c r="M53" s="3529"/>
      <c r="N53" s="3529"/>
      <c r="O53" s="3529"/>
      <c r="P53" s="3529"/>
      <c r="Q53" s="3529"/>
      <c r="R53" s="3529"/>
      <c r="S53" s="3529"/>
      <c r="T53" s="3529"/>
      <c r="U53" s="3529"/>
      <c r="V53" s="3529"/>
      <c r="W53" s="3529"/>
      <c r="X53" s="3529"/>
      <c r="Y53" s="3529"/>
      <c r="Z53" s="3529"/>
      <c r="AA53" s="3529"/>
      <c r="AB53" s="3529"/>
      <c r="AC53" s="3529"/>
    </row>
    <row r="54" spans="1:29" s="3553" customFormat="1" ht="13.5" customHeight="1">
      <c r="A54" s="3550"/>
      <c r="B54" s="3550"/>
      <c r="C54" s="3545" t="s">
        <v>3396</v>
      </c>
      <c r="D54" s="3549"/>
      <c r="E54" s="3547">
        <f>IF(E47&lt;G47,G47/E47-1,E47/G47-1)</f>
        <v>3.8461538461538547E-2</v>
      </c>
      <c r="F54" s="3548" t="str">
        <f>IF(OR(E54&gt;=0.3,E54&lt;=-0.3),"超过30%","")</f>
        <v/>
      </c>
      <c r="G54" s="3547">
        <f>IF(G47&lt;I47,I47/G47-1,G47/I47-1)</f>
        <v>0.11111111111111116</v>
      </c>
      <c r="H54" s="3548" t="str">
        <f>IF(OR(G54&gt;=0.3,G54&lt;=-0.3),"超过30%","")</f>
        <v/>
      </c>
      <c r="I54" s="3547">
        <f>IF(I47&lt;E47,E47/I47-1,I47/E47-1)</f>
        <v>0.15384615384615374</v>
      </c>
      <c r="J54" s="3548" t="str">
        <f>IF(OR(I54&gt;=0.3,I54&lt;=-0.3),"超过30%","")</f>
        <v/>
      </c>
      <c r="K54" s="3551"/>
      <c r="L54" s="3552"/>
      <c r="M54" s="3550"/>
      <c r="N54" s="3550"/>
      <c r="O54" s="3550"/>
      <c r="P54" s="3550"/>
      <c r="Q54" s="3550"/>
      <c r="R54" s="3550"/>
      <c r="S54" s="3550"/>
      <c r="T54" s="3550"/>
      <c r="U54" s="3550"/>
      <c r="V54" s="3550"/>
      <c r="W54" s="3550"/>
      <c r="X54" s="3550"/>
      <c r="Y54" s="3550"/>
      <c r="Z54" s="3550"/>
      <c r="AA54" s="3550"/>
      <c r="AB54" s="3550"/>
      <c r="AC54" s="3550"/>
    </row>
    <row r="55" spans="1:29" s="3553" customFormat="1">
      <c r="A55" s="3550"/>
      <c r="B55" s="3554"/>
      <c r="C55" s="3555"/>
      <c r="D55" s="3550"/>
      <c r="E55" s="3550"/>
      <c r="F55" s="3550"/>
      <c r="G55" s="3550"/>
      <c r="H55" s="3550"/>
      <c r="I55" s="3550"/>
      <c r="J55" s="3550"/>
      <c r="K55" s="3551"/>
      <c r="L55" s="3552"/>
      <c r="M55" s="3550"/>
      <c r="N55" s="3550"/>
      <c r="O55" s="3550"/>
      <c r="P55" s="3550"/>
      <c r="Q55" s="3550"/>
      <c r="R55" s="3550"/>
      <c r="S55" s="3550"/>
      <c r="T55" s="3550"/>
      <c r="U55" s="3550"/>
      <c r="V55" s="3550"/>
      <c r="W55" s="3550"/>
      <c r="X55" s="3550"/>
      <c r="Y55" s="3550"/>
      <c r="Z55" s="3550"/>
      <c r="AA55" s="3550"/>
      <c r="AB55" s="3550"/>
      <c r="AC55" s="3550"/>
    </row>
    <row r="56" spans="1:29">
      <c r="A56" s="3529"/>
      <c r="B56" s="3554"/>
      <c r="C56" s="3555"/>
      <c r="D56" s="3554"/>
      <c r="E56" s="3554"/>
      <c r="F56" s="3554"/>
      <c r="G56" s="3554"/>
      <c r="H56" s="3554"/>
      <c r="I56" s="3554"/>
      <c r="J56" s="3554"/>
      <c r="K56" s="3554"/>
      <c r="L56" s="3554"/>
      <c r="M56" s="3554"/>
      <c r="N56" s="3554"/>
      <c r="O56" s="3554"/>
      <c r="P56" s="3529"/>
      <c r="Q56" s="3529"/>
      <c r="R56" s="3529"/>
      <c r="S56" s="3529"/>
      <c r="T56" s="3529"/>
      <c r="U56" s="3529"/>
      <c r="V56" s="3529"/>
      <c r="W56" s="3529"/>
      <c r="X56" s="3529"/>
      <c r="Y56" s="3529"/>
      <c r="Z56" s="3529"/>
      <c r="AA56" s="3529"/>
      <c r="AB56" s="3529"/>
      <c r="AC56" s="3529"/>
    </row>
    <row r="57" spans="1:29" ht="21.75" thickBot="1">
      <c r="A57" s="3556" t="s">
        <v>3397</v>
      </c>
      <c r="B57" s="3530"/>
      <c r="C57" s="3557"/>
      <c r="D57" s="3557"/>
      <c r="E57" s="3557"/>
      <c r="F57" s="3558"/>
      <c r="G57" s="3558"/>
      <c r="H57" s="3557"/>
      <c r="I57" s="3557"/>
      <c r="J57" s="3557"/>
      <c r="K57" s="3559"/>
      <c r="L57" s="3560"/>
      <c r="M57" s="3557"/>
      <c r="N57" s="3557"/>
      <c r="O57" s="3557"/>
      <c r="P57" s="3561"/>
      <c r="Q57" s="3562"/>
      <c r="R57" s="3529"/>
      <c r="S57" s="3529"/>
      <c r="T57" s="3529"/>
      <c r="U57" s="3529"/>
      <c r="V57" s="3529"/>
      <c r="W57" s="3529"/>
      <c r="X57" s="3529"/>
      <c r="Y57" s="3529"/>
      <c r="Z57" s="3529"/>
      <c r="AA57" s="3529"/>
      <c r="AB57" s="3529"/>
      <c r="AC57" s="3529"/>
    </row>
    <row r="58" spans="1:29" s="3568" customFormat="1" ht="15">
      <c r="A58" s="3563" t="s">
        <v>3398</v>
      </c>
      <c r="B58" s="3564"/>
      <c r="C58" s="3565" t="e">
        <f>YEAR(C7)&amp;"-"&amp;MONTH(C7)</f>
        <v>#REF!</v>
      </c>
      <c r="D58" s="3565" t="e">
        <f>EDATE(C58,-1)</f>
        <v>#REF!</v>
      </c>
      <c r="E58" s="3565" t="e">
        <f t="shared" ref="E58:O58" si="16">EDATE(D58,-1)</f>
        <v>#REF!</v>
      </c>
      <c r="F58" s="3565" t="e">
        <f t="shared" si="16"/>
        <v>#REF!</v>
      </c>
      <c r="G58" s="3565" t="e">
        <f t="shared" si="16"/>
        <v>#REF!</v>
      </c>
      <c r="H58" s="3565" t="e">
        <f t="shared" si="16"/>
        <v>#REF!</v>
      </c>
      <c r="I58" s="3565" t="e">
        <f t="shared" si="16"/>
        <v>#REF!</v>
      </c>
      <c r="J58" s="3565" t="e">
        <f t="shared" si="16"/>
        <v>#REF!</v>
      </c>
      <c r="K58" s="3565" t="e">
        <f t="shared" si="16"/>
        <v>#REF!</v>
      </c>
      <c r="L58" s="3565" t="e">
        <f t="shared" si="16"/>
        <v>#REF!</v>
      </c>
      <c r="M58" s="3565" t="e">
        <f t="shared" si="16"/>
        <v>#REF!</v>
      </c>
      <c r="N58" s="3565" t="e">
        <f t="shared" si="16"/>
        <v>#REF!</v>
      </c>
      <c r="O58" s="3565" t="e">
        <f t="shared" si="16"/>
        <v>#REF!</v>
      </c>
      <c r="P58" s="3566"/>
      <c r="Q58" s="3567"/>
      <c r="R58" s="3567"/>
      <c r="S58" s="3567"/>
      <c r="T58" s="3567"/>
      <c r="U58" s="3567"/>
      <c r="V58" s="3567"/>
      <c r="W58" s="3567"/>
      <c r="X58" s="3567"/>
      <c r="Y58" s="3567"/>
      <c r="Z58" s="3567"/>
      <c r="AA58" s="3567"/>
      <c r="AB58" s="3567"/>
      <c r="AC58" s="3567"/>
    </row>
    <row r="59" spans="1:29" s="3390" customFormat="1" ht="15">
      <c r="A59" s="3569"/>
      <c r="B59" s="3570"/>
      <c r="C59" s="3571">
        <v>100</v>
      </c>
      <c r="D59" s="3572"/>
      <c r="E59" s="3572"/>
      <c r="F59" s="3572"/>
      <c r="G59" s="3572"/>
      <c r="H59" s="3572"/>
      <c r="I59" s="3572"/>
      <c r="J59" s="3572"/>
      <c r="K59" s="3572"/>
      <c r="L59" s="3572"/>
      <c r="M59" s="3572"/>
      <c r="N59" s="3572"/>
      <c r="O59" s="3572"/>
      <c r="P59" s="3562"/>
      <c r="Q59" s="3573"/>
      <c r="R59" s="3573"/>
      <c r="S59" s="3573"/>
      <c r="T59" s="3573"/>
      <c r="U59" s="3573"/>
      <c r="V59" s="3573"/>
      <c r="W59" s="3573"/>
      <c r="X59" s="3573"/>
      <c r="Y59" s="3573"/>
      <c r="Z59" s="3573"/>
      <c r="AA59" s="3573"/>
      <c r="AB59" s="3573"/>
      <c r="AC59" s="3573"/>
    </row>
    <row r="60" spans="1:29" s="3390" customFormat="1" ht="15.75" thickBot="1">
      <c r="A60" s="3574" t="s">
        <v>3399</v>
      </c>
      <c r="B60" s="3575"/>
      <c r="C60" s="3576"/>
      <c r="D60" s="3577"/>
      <c r="E60" s="3577"/>
      <c r="F60" s="3577"/>
      <c r="G60" s="3577"/>
      <c r="H60" s="3577"/>
      <c r="I60" s="3577"/>
      <c r="J60" s="3577"/>
      <c r="K60" s="3577"/>
      <c r="L60" s="3577"/>
      <c r="M60" s="3578"/>
      <c r="N60" s="3577"/>
      <c r="O60" s="3579"/>
      <c r="P60" s="3562"/>
      <c r="Q60" s="3562"/>
      <c r="R60" s="3573"/>
      <c r="S60" s="3573"/>
      <c r="T60" s="3573"/>
      <c r="U60" s="3573"/>
      <c r="V60" s="3573"/>
      <c r="W60" s="3573"/>
      <c r="X60" s="3573"/>
      <c r="Y60" s="3573"/>
      <c r="Z60" s="3573"/>
      <c r="AA60" s="3573"/>
      <c r="AB60" s="3573"/>
      <c r="AC60" s="3573"/>
    </row>
    <row r="61" spans="1:29" s="3390" customFormat="1" ht="15">
      <c r="A61" s="3580" t="s">
        <v>3400</v>
      </c>
      <c r="B61" s="3570"/>
      <c r="C61" s="3581" t="s">
        <v>3401</v>
      </c>
      <c r="D61" s="3582"/>
      <c r="E61" s="3582"/>
      <c r="F61" s="3582"/>
      <c r="G61" s="3582"/>
      <c r="H61" s="3582"/>
      <c r="I61" s="3582"/>
      <c r="J61" s="3582"/>
      <c r="K61" s="3582"/>
      <c r="L61" s="3583"/>
      <c r="M61" s="3584"/>
      <c r="N61" s="3585"/>
      <c r="O61" s="3585"/>
      <c r="P61" s="3586"/>
      <c r="Q61" s="3562"/>
      <c r="R61" s="3573"/>
      <c r="S61" s="3573"/>
      <c r="T61" s="3573"/>
      <c r="U61" s="3573"/>
      <c r="V61" s="3573"/>
      <c r="W61" s="3573"/>
      <c r="X61" s="3573"/>
      <c r="Y61" s="3573"/>
      <c r="Z61" s="3573"/>
      <c r="AA61" s="3573"/>
      <c r="AB61" s="3573"/>
      <c r="AC61" s="3573"/>
    </row>
    <row r="62" spans="1:29" s="3390" customFormat="1" ht="15.75" thickBot="1">
      <c r="A62" s="3580"/>
      <c r="B62" s="3570"/>
      <c r="C62" s="3587">
        <v>100</v>
      </c>
      <c r="D62" s="3572"/>
      <c r="E62" s="3572"/>
      <c r="F62" s="3572"/>
      <c r="G62" s="3572"/>
      <c r="H62" s="3572"/>
      <c r="I62" s="3572"/>
      <c r="J62" s="3572"/>
      <c r="K62" s="3572"/>
      <c r="L62" s="3572"/>
      <c r="M62" s="3588"/>
      <c r="N62" s="3585"/>
      <c r="O62" s="3585"/>
      <c r="P62" s="3562"/>
      <c r="Q62" s="3562"/>
      <c r="R62" s="3573"/>
      <c r="S62" s="3573"/>
      <c r="T62" s="3573"/>
      <c r="U62" s="3573"/>
      <c r="V62" s="3573"/>
      <c r="W62" s="3573"/>
      <c r="X62" s="3573"/>
      <c r="Y62" s="3573"/>
      <c r="Z62" s="3573"/>
      <c r="AA62" s="3573"/>
      <c r="AB62" s="3573"/>
      <c r="AC62" s="3573"/>
    </row>
    <row r="63" spans="1:29">
      <c r="A63" s="3589" t="s">
        <v>3402</v>
      </c>
      <c r="B63" s="3590" t="s">
        <v>3403</v>
      </c>
      <c r="C63" s="3591" t="str">
        <f>C9</f>
        <v>住宅</v>
      </c>
      <c r="D63" s="3592"/>
      <c r="E63" s="3592"/>
      <c r="F63" s="3592"/>
      <c r="G63" s="3592"/>
      <c r="H63" s="3592"/>
      <c r="I63" s="3592"/>
      <c r="J63" s="3592"/>
      <c r="K63" s="3593"/>
      <c r="L63" s="3594"/>
      <c r="M63" s="3595"/>
      <c r="N63" s="3596"/>
      <c r="O63" s="3596"/>
      <c r="P63" s="3597"/>
      <c r="Q63" s="3562"/>
      <c r="R63" s="3529"/>
      <c r="S63" s="3529"/>
      <c r="T63" s="3529"/>
      <c r="U63" s="3529"/>
      <c r="V63" s="3529"/>
      <c r="W63" s="3529"/>
      <c r="X63" s="3529"/>
      <c r="Y63" s="3529"/>
      <c r="Z63" s="3529"/>
      <c r="AA63" s="3529"/>
      <c r="AB63" s="3529"/>
      <c r="AC63" s="3529"/>
    </row>
    <row r="64" spans="1:29" ht="15.75" thickBot="1">
      <c r="A64" s="3598"/>
      <c r="B64" s="3599"/>
      <c r="C64" s="3600">
        <v>100</v>
      </c>
      <c r="D64" s="3600"/>
      <c r="E64" s="3601"/>
      <c r="F64" s="3601"/>
      <c r="G64" s="3601"/>
      <c r="H64" s="3601"/>
      <c r="I64" s="3601"/>
      <c r="J64" s="3601"/>
      <c r="K64" s="3601"/>
      <c r="L64" s="3601"/>
      <c r="M64" s="3602"/>
      <c r="N64" s="3603"/>
      <c r="O64" s="3603"/>
      <c r="P64" s="3597"/>
      <c r="Q64" s="3562"/>
      <c r="R64" s="3529"/>
      <c r="S64" s="3529"/>
      <c r="T64" s="3529"/>
      <c r="U64" s="3529"/>
      <c r="V64" s="3529"/>
      <c r="W64" s="3529"/>
      <c r="X64" s="3529"/>
      <c r="Y64" s="3529"/>
      <c r="Z64" s="3529"/>
      <c r="AA64" s="3529"/>
      <c r="AB64" s="3529"/>
      <c r="AC64" s="3529"/>
    </row>
    <row r="65" spans="1:29" ht="27.75" thickTop="1">
      <c r="A65" s="3598"/>
      <c r="B65" s="3604" t="s">
        <v>3404</v>
      </c>
      <c r="C65" s="3605" t="s">
        <v>3405</v>
      </c>
      <c r="D65" s="3605" t="s">
        <v>3406</v>
      </c>
      <c r="E65" s="3605" t="s">
        <v>3407</v>
      </c>
      <c r="F65" s="3605" t="s">
        <v>3408</v>
      </c>
      <c r="G65" s="3605" t="s">
        <v>3409</v>
      </c>
      <c r="H65" s="3605" t="s">
        <v>3410</v>
      </c>
      <c r="I65" s="3605" t="s">
        <v>3411</v>
      </c>
      <c r="J65" s="3605"/>
      <c r="K65" s="3606"/>
      <c r="L65" s="3607"/>
      <c r="M65" s="3608"/>
      <c r="N65" s="3596"/>
      <c r="O65" s="3596"/>
      <c r="P65" s="3597"/>
      <c r="Q65" s="3562"/>
      <c r="R65" s="3529"/>
      <c r="S65" s="3529"/>
      <c r="T65" s="3529"/>
      <c r="U65" s="3529"/>
      <c r="V65" s="3529"/>
      <c r="W65" s="3529"/>
      <c r="X65" s="3529"/>
      <c r="Y65" s="3529"/>
      <c r="Z65" s="3529"/>
      <c r="AA65" s="3529"/>
      <c r="AB65" s="3529"/>
      <c r="AC65" s="3529"/>
    </row>
    <row r="66" spans="1:29" ht="15.75" thickBot="1">
      <c r="A66" s="3598"/>
      <c r="B66" s="3609"/>
      <c r="C66" s="3610">
        <v>100</v>
      </c>
      <c r="D66" s="3610">
        <f t="shared" ref="D66:I66" si="17">C66-$K10</f>
        <v>98</v>
      </c>
      <c r="E66" s="3610">
        <f t="shared" si="17"/>
        <v>96</v>
      </c>
      <c r="F66" s="3610">
        <f t="shared" si="17"/>
        <v>94</v>
      </c>
      <c r="G66" s="3610">
        <f t="shared" si="17"/>
        <v>92</v>
      </c>
      <c r="H66" s="3610">
        <f t="shared" si="17"/>
        <v>90</v>
      </c>
      <c r="I66" s="3610">
        <f t="shared" si="17"/>
        <v>88</v>
      </c>
      <c r="J66" s="3610"/>
      <c r="K66" s="3610"/>
      <c r="L66" s="3610"/>
      <c r="M66" s="3611"/>
      <c r="N66" s="3603"/>
      <c r="O66" s="3603"/>
      <c r="P66" s="3597"/>
      <c r="Q66" s="3562"/>
      <c r="R66" s="3529"/>
      <c r="S66" s="3529"/>
      <c r="T66" s="3529"/>
      <c r="U66" s="3529"/>
      <c r="V66" s="3529"/>
      <c r="W66" s="3529"/>
      <c r="X66" s="3529"/>
      <c r="Y66" s="3529"/>
      <c r="Z66" s="3529"/>
      <c r="AA66" s="3529"/>
      <c r="AB66" s="3529"/>
      <c r="AC66" s="3529"/>
    </row>
    <row r="67" spans="1:29" ht="15.75" thickTop="1">
      <c r="A67" s="3598"/>
      <c r="B67" s="3612" t="s">
        <v>3412</v>
      </c>
      <c r="C67" s="3613" t="str">
        <f>C68&amp;"（含）"&amp;"-"&amp;D68</f>
        <v>0（含）-1</v>
      </c>
      <c r="D67" s="3613" t="str">
        <f t="shared" ref="D67:L67" si="18">D68&amp;"（含）"&amp;"-"&amp;E68</f>
        <v>1（含）-2</v>
      </c>
      <c r="E67" s="3613" t="str">
        <f t="shared" si="18"/>
        <v>2（含）-3</v>
      </c>
      <c r="F67" s="3613" t="str">
        <f t="shared" si="18"/>
        <v>3（含）-4</v>
      </c>
      <c r="G67" s="3613" t="str">
        <f t="shared" si="18"/>
        <v>4（含）-5</v>
      </c>
      <c r="H67" s="3613" t="str">
        <f t="shared" si="18"/>
        <v>5（含）-</v>
      </c>
      <c r="I67" s="3613" t="str">
        <f t="shared" si="18"/>
        <v>（含）-</v>
      </c>
      <c r="J67" s="3613" t="str">
        <f t="shared" si="18"/>
        <v>（含）-</v>
      </c>
      <c r="K67" s="3613" t="str">
        <f t="shared" si="18"/>
        <v>（含）-</v>
      </c>
      <c r="L67" s="3613" t="str">
        <f t="shared" si="18"/>
        <v>（含）-</v>
      </c>
      <c r="M67" s="3450" t="str">
        <f>M68&amp;"（含）"&amp;"-"&amp;P68</f>
        <v>（含）-</v>
      </c>
      <c r="N67" s="3603"/>
      <c r="O67" s="3603"/>
      <c r="P67" s="3597"/>
      <c r="Q67" s="3562"/>
      <c r="R67" s="3529"/>
      <c r="S67" s="3529"/>
      <c r="T67" s="3529"/>
      <c r="U67" s="3529"/>
      <c r="V67" s="3529"/>
      <c r="W67" s="3529"/>
      <c r="X67" s="3529"/>
      <c r="Y67" s="3529"/>
      <c r="Z67" s="3529"/>
      <c r="AA67" s="3529"/>
      <c r="AB67" s="3529"/>
      <c r="AC67" s="3529"/>
    </row>
    <row r="68" spans="1:29" ht="15">
      <c r="A68" s="3598"/>
      <c r="B68" s="3614"/>
      <c r="C68" s="3615">
        <v>0</v>
      </c>
      <c r="D68" s="3615">
        <v>1</v>
      </c>
      <c r="E68" s="3615">
        <v>2</v>
      </c>
      <c r="F68" s="3615">
        <v>3</v>
      </c>
      <c r="G68" s="3615">
        <v>4</v>
      </c>
      <c r="H68" s="3615">
        <v>5</v>
      </c>
      <c r="I68" s="3615"/>
      <c r="J68" s="3615"/>
      <c r="K68" s="3616"/>
      <c r="L68" s="3617"/>
      <c r="M68" s="3618"/>
      <c r="N68" s="3596"/>
      <c r="O68" s="3596"/>
      <c r="P68" s="3597"/>
      <c r="Q68" s="3562"/>
      <c r="R68" s="3529"/>
      <c r="S68" s="3529"/>
      <c r="T68" s="3529"/>
      <c r="U68" s="3529"/>
      <c r="V68" s="3529"/>
      <c r="W68" s="3529"/>
      <c r="X68" s="3529"/>
      <c r="Y68" s="3529"/>
      <c r="Z68" s="3529"/>
      <c r="AA68" s="3529"/>
      <c r="AB68" s="3529"/>
      <c r="AC68" s="3529"/>
    </row>
    <row r="69" spans="1:29" ht="15.75" thickBot="1">
      <c r="A69" s="3598"/>
      <c r="B69" s="3599"/>
      <c r="C69" s="3610">
        <v>100</v>
      </c>
      <c r="D69" s="3610">
        <f t="shared" ref="D69:M69" si="19">C69-$K11</f>
        <v>99</v>
      </c>
      <c r="E69" s="3610">
        <f t="shared" si="19"/>
        <v>98</v>
      </c>
      <c r="F69" s="3610">
        <f t="shared" si="19"/>
        <v>97</v>
      </c>
      <c r="G69" s="3610">
        <f t="shared" si="19"/>
        <v>96</v>
      </c>
      <c r="H69" s="3610">
        <f t="shared" si="19"/>
        <v>95</v>
      </c>
      <c r="I69" s="3610">
        <f t="shared" si="19"/>
        <v>94</v>
      </c>
      <c r="J69" s="3610">
        <f t="shared" si="19"/>
        <v>93</v>
      </c>
      <c r="K69" s="3610">
        <f t="shared" si="19"/>
        <v>92</v>
      </c>
      <c r="L69" s="3610">
        <f t="shared" si="19"/>
        <v>91</v>
      </c>
      <c r="M69" s="3611">
        <f t="shared" si="19"/>
        <v>90</v>
      </c>
      <c r="N69" s="3603"/>
      <c r="O69" s="3603"/>
      <c r="P69" s="3597"/>
      <c r="Q69" s="3562"/>
      <c r="R69" s="3529"/>
      <c r="S69" s="3529"/>
      <c r="T69" s="3529"/>
      <c r="U69" s="3529"/>
      <c r="V69" s="3529"/>
      <c r="W69" s="3529"/>
      <c r="X69" s="3529"/>
      <c r="Y69" s="3529"/>
      <c r="Z69" s="3529"/>
      <c r="AA69" s="3529"/>
      <c r="AB69" s="3529"/>
      <c r="AC69" s="3529"/>
    </row>
    <row r="70" spans="1:29" s="3507" customFormat="1" ht="15.75" thickTop="1">
      <c r="A70" s="3619"/>
      <c r="B70" s="3604">
        <f>B12</f>
        <v>111</v>
      </c>
      <c r="C70" s="3620"/>
      <c r="D70" s="3620"/>
      <c r="E70" s="3620"/>
      <c r="F70" s="3620"/>
      <c r="G70" s="3620"/>
      <c r="H70" s="3621"/>
      <c r="I70" s="3621"/>
      <c r="J70" s="3621"/>
      <c r="K70" s="3621"/>
      <c r="L70" s="3622"/>
      <c r="M70" s="3623"/>
      <c r="N70" s="3624"/>
      <c r="O70" s="3624"/>
      <c r="P70" s="3625"/>
      <c r="Q70" s="3626"/>
      <c r="R70" s="3627"/>
      <c r="S70" s="3627"/>
      <c r="T70" s="3627"/>
      <c r="U70" s="3627"/>
      <c r="V70" s="3627"/>
      <c r="W70" s="3627"/>
      <c r="X70" s="3627"/>
      <c r="Y70" s="3627"/>
      <c r="Z70" s="3627"/>
      <c r="AA70" s="3627"/>
      <c r="AB70" s="3627"/>
      <c r="AC70" s="3627"/>
    </row>
    <row r="71" spans="1:29" s="3507" customFormat="1" ht="15.75" thickBot="1">
      <c r="A71" s="3619"/>
      <c r="B71" s="3609"/>
      <c r="C71" s="3628"/>
      <c r="D71" s="3600"/>
      <c r="E71" s="3600"/>
      <c r="F71" s="3600"/>
      <c r="G71" s="3600"/>
      <c r="H71" s="3600"/>
      <c r="I71" s="3600"/>
      <c r="J71" s="3600"/>
      <c r="K71" s="3600"/>
      <c r="L71" s="3600"/>
      <c r="M71" s="3629"/>
      <c r="N71" s="3603"/>
      <c r="O71" s="3603"/>
      <c r="P71" s="3625"/>
      <c r="Q71" s="3626"/>
      <c r="R71" s="3627"/>
      <c r="S71" s="3627"/>
      <c r="T71" s="3627"/>
      <c r="U71" s="3627"/>
      <c r="V71" s="3627"/>
      <c r="W71" s="3627"/>
      <c r="X71" s="3627"/>
      <c r="Y71" s="3627"/>
      <c r="Z71" s="3627"/>
      <c r="AA71" s="3627"/>
      <c r="AB71" s="3627"/>
      <c r="AC71" s="3627"/>
    </row>
    <row r="72" spans="1:29" s="3507" customFormat="1" ht="15.75" thickTop="1">
      <c r="A72" s="3619"/>
      <c r="B72" s="3604">
        <f>B13</f>
        <v>111</v>
      </c>
      <c r="C72" s="3620"/>
      <c r="D72" s="3620"/>
      <c r="E72" s="3620"/>
      <c r="F72" s="3620"/>
      <c r="G72" s="3620"/>
      <c r="H72" s="3621"/>
      <c r="I72" s="3621"/>
      <c r="J72" s="3621"/>
      <c r="K72" s="3621"/>
      <c r="L72" s="3622"/>
      <c r="M72" s="3623"/>
      <c r="N72" s="3624"/>
      <c r="O72" s="3624"/>
      <c r="P72" s="3500"/>
      <c r="Q72" s="3630"/>
      <c r="R72" s="3627"/>
      <c r="S72" s="3627"/>
      <c r="T72" s="3627"/>
      <c r="U72" s="3627"/>
      <c r="V72" s="3627"/>
      <c r="W72" s="3627"/>
      <c r="X72" s="3627"/>
      <c r="Y72" s="3627"/>
      <c r="Z72" s="3627"/>
      <c r="AA72" s="3627"/>
      <c r="AB72" s="3627"/>
      <c r="AC72" s="3627"/>
    </row>
    <row r="73" spans="1:29" s="3507" customFormat="1" ht="15.75" thickBot="1">
      <c r="A73" s="3619"/>
      <c r="B73" s="3609"/>
      <c r="C73" s="3628"/>
      <c r="D73" s="3628"/>
      <c r="E73" s="3628"/>
      <c r="F73" s="3628"/>
      <c r="G73" s="3628"/>
      <c r="H73" s="3631"/>
      <c r="I73" s="3631"/>
      <c r="J73" s="3631"/>
      <c r="K73" s="3631"/>
      <c r="L73" s="3631"/>
      <c r="M73" s="3632"/>
      <c r="N73" s="3624"/>
      <c r="O73" s="3624"/>
      <c r="P73" s="3625"/>
      <c r="Q73" s="3626"/>
      <c r="R73" s="3627"/>
      <c r="S73" s="3627"/>
      <c r="T73" s="3627"/>
      <c r="U73" s="3627"/>
      <c r="V73" s="3627"/>
      <c r="W73" s="3627"/>
      <c r="X73" s="3627"/>
      <c r="Y73" s="3627"/>
      <c r="Z73" s="3627"/>
      <c r="AA73" s="3627"/>
      <c r="AB73" s="3627"/>
      <c r="AC73" s="3627"/>
    </row>
    <row r="74" spans="1:29" s="3507" customFormat="1" ht="15.75" thickTop="1">
      <c r="A74" s="3619"/>
      <c r="B74" s="3612">
        <f>B14</f>
        <v>111</v>
      </c>
      <c r="C74" s="3620"/>
      <c r="D74" s="3620"/>
      <c r="E74" s="3620"/>
      <c r="F74" s="3620"/>
      <c r="G74" s="3582"/>
      <c r="H74" s="3633"/>
      <c r="I74" s="3633"/>
      <c r="J74" s="3633"/>
      <c r="K74" s="3633"/>
      <c r="L74" s="3634"/>
      <c r="M74" s="3635"/>
      <c r="N74" s="3624"/>
      <c r="O74" s="3624"/>
      <c r="P74" s="3636"/>
      <c r="Q74" s="3626"/>
      <c r="R74" s="3627"/>
      <c r="S74" s="3627"/>
      <c r="T74" s="3627"/>
      <c r="U74" s="3627"/>
      <c r="V74" s="3627"/>
      <c r="W74" s="3627"/>
      <c r="X74" s="3627"/>
      <c r="Y74" s="3627"/>
      <c r="Z74" s="3627"/>
      <c r="AA74" s="3627"/>
      <c r="AB74" s="3627"/>
      <c r="AC74" s="3627"/>
    </row>
    <row r="75" spans="1:29" s="3507" customFormat="1" ht="15.75" thickBot="1">
      <c r="A75" s="3637"/>
      <c r="B75" s="3638"/>
      <c r="C75" s="3639"/>
      <c r="D75" s="3639"/>
      <c r="E75" s="3639"/>
      <c r="F75" s="3639"/>
      <c r="G75" s="3639"/>
      <c r="H75" s="3640"/>
      <c r="I75" s="3640"/>
      <c r="J75" s="3640"/>
      <c r="K75" s="3640"/>
      <c r="L75" s="3640"/>
      <c r="M75" s="3641"/>
      <c r="N75" s="3624"/>
      <c r="O75" s="3624"/>
      <c r="P75" s="3625"/>
      <c r="Q75" s="3626"/>
      <c r="R75" s="3627"/>
      <c r="S75" s="3627"/>
      <c r="T75" s="3627"/>
      <c r="U75" s="3627"/>
      <c r="V75" s="3627"/>
      <c r="W75" s="3627"/>
      <c r="X75" s="3627"/>
      <c r="Y75" s="3627"/>
      <c r="Z75" s="3627"/>
      <c r="AA75" s="3627"/>
      <c r="AB75" s="3627"/>
      <c r="AC75" s="3627"/>
    </row>
    <row r="76" spans="1:29">
      <c r="A76" s="3589" t="s">
        <v>3413</v>
      </c>
      <c r="B76" s="3590" t="s">
        <v>3414</v>
      </c>
      <c r="C76" s="3642" t="s">
        <v>3415</v>
      </c>
      <c r="D76" s="3642" t="s">
        <v>3416</v>
      </c>
      <c r="E76" s="3642" t="s">
        <v>3417</v>
      </c>
      <c r="F76" s="3642" t="s">
        <v>3418</v>
      </c>
      <c r="G76" s="3642" t="s">
        <v>3419</v>
      </c>
      <c r="H76" s="3591"/>
      <c r="I76" s="3591"/>
      <c r="J76" s="3591"/>
      <c r="K76" s="3643"/>
      <c r="L76" s="3644"/>
      <c r="M76" s="3645"/>
      <c r="N76" s="3596"/>
      <c r="O76" s="3596"/>
      <c r="P76" s="3646"/>
      <c r="Q76" s="3562"/>
      <c r="R76" s="3529"/>
      <c r="S76" s="3529"/>
      <c r="T76" s="3529"/>
      <c r="U76" s="3529"/>
      <c r="V76" s="3529"/>
      <c r="W76" s="3529"/>
      <c r="X76" s="3529"/>
      <c r="Y76" s="3529"/>
      <c r="Z76" s="3529"/>
      <c r="AA76" s="3529"/>
      <c r="AB76" s="3529"/>
      <c r="AC76" s="3529"/>
    </row>
    <row r="77" spans="1:29" ht="15.75" thickBot="1">
      <c r="A77" s="3598"/>
      <c r="B77" s="3609"/>
      <c r="C77" s="3610">
        <v>100</v>
      </c>
      <c r="D77" s="3610">
        <f>C77-$K15</f>
        <v>98</v>
      </c>
      <c r="E77" s="3610">
        <f>D77-$K15</f>
        <v>96</v>
      </c>
      <c r="F77" s="3610">
        <f>E77-$K15</f>
        <v>94</v>
      </c>
      <c r="G77" s="3610">
        <f>F77-$K15</f>
        <v>92</v>
      </c>
      <c r="H77" s="3610"/>
      <c r="I77" s="3610"/>
      <c r="J77" s="3610"/>
      <c r="K77" s="3610"/>
      <c r="L77" s="3610"/>
      <c r="M77" s="3611"/>
      <c r="N77" s="3603"/>
      <c r="O77" s="3603"/>
      <c r="P77" s="3597"/>
      <c r="Q77" s="3562"/>
      <c r="R77" s="3529"/>
      <c r="S77" s="3529"/>
      <c r="T77" s="3529"/>
      <c r="U77" s="3529"/>
      <c r="V77" s="3529"/>
      <c r="W77" s="3529"/>
      <c r="X77" s="3529"/>
      <c r="Y77" s="3529"/>
      <c r="Z77" s="3529"/>
      <c r="AA77" s="3529"/>
      <c r="AB77" s="3529"/>
      <c r="AC77" s="3529"/>
    </row>
    <row r="78" spans="1:29" ht="15.75" thickTop="1">
      <c r="A78" s="3598"/>
      <c r="B78" s="3604" t="s">
        <v>3420</v>
      </c>
      <c r="C78" s="3647" t="s">
        <v>3415</v>
      </c>
      <c r="D78" s="3647" t="s">
        <v>3416</v>
      </c>
      <c r="E78" s="3647" t="s">
        <v>3417</v>
      </c>
      <c r="F78" s="3647" t="s">
        <v>3418</v>
      </c>
      <c r="G78" s="3647" t="s">
        <v>3419</v>
      </c>
      <c r="H78" s="3605"/>
      <c r="I78" s="3605"/>
      <c r="J78" s="3605"/>
      <c r="K78" s="3606"/>
      <c r="L78" s="3607"/>
      <c r="M78" s="3608"/>
      <c r="N78" s="3596"/>
      <c r="O78" s="3596"/>
      <c r="P78" s="3597"/>
      <c r="Q78" s="3562"/>
      <c r="R78" s="3529"/>
      <c r="S78" s="3529"/>
      <c r="T78" s="3529"/>
      <c r="U78" s="3529"/>
      <c r="V78" s="3529"/>
      <c r="W78" s="3529"/>
      <c r="X78" s="3529"/>
      <c r="Y78" s="3529"/>
      <c r="Z78" s="3529"/>
      <c r="AA78" s="3529"/>
      <c r="AB78" s="3529"/>
      <c r="AC78" s="3529"/>
    </row>
    <row r="79" spans="1:29" ht="15.75" thickBot="1">
      <c r="A79" s="3598"/>
      <c r="B79" s="3609"/>
      <c r="C79" s="3610">
        <v>100</v>
      </c>
      <c r="D79" s="3610">
        <f>C79-$K17</f>
        <v>98</v>
      </c>
      <c r="E79" s="3610">
        <f>D79-$K17</f>
        <v>96</v>
      </c>
      <c r="F79" s="3610">
        <f>E79-$K17</f>
        <v>94</v>
      </c>
      <c r="G79" s="3610">
        <f>F79-$K17</f>
        <v>92</v>
      </c>
      <c r="H79" s="3610"/>
      <c r="I79" s="3610"/>
      <c r="J79" s="3610"/>
      <c r="K79" s="3610"/>
      <c r="L79" s="3610"/>
      <c r="M79" s="3611"/>
      <c r="N79" s="3603"/>
      <c r="O79" s="3603"/>
      <c r="P79" s="3597"/>
      <c r="Q79" s="3562"/>
      <c r="R79" s="3529"/>
      <c r="S79" s="3529"/>
      <c r="T79" s="3529"/>
      <c r="U79" s="3529"/>
      <c r="V79" s="3529"/>
      <c r="W79" s="3529"/>
      <c r="X79" s="3529"/>
      <c r="Y79" s="3529"/>
      <c r="Z79" s="3529"/>
      <c r="AA79" s="3529"/>
      <c r="AB79" s="3529"/>
      <c r="AC79" s="3529"/>
    </row>
    <row r="80" spans="1:29" ht="15.75" thickTop="1">
      <c r="A80" s="3598"/>
      <c r="B80" s="3648" t="s">
        <v>3421</v>
      </c>
      <c r="C80" s="3647" t="s">
        <v>3415</v>
      </c>
      <c r="D80" s="3647" t="s">
        <v>3416</v>
      </c>
      <c r="E80" s="3647" t="s">
        <v>3417</v>
      </c>
      <c r="F80" s="3647" t="s">
        <v>3418</v>
      </c>
      <c r="G80" s="3647" t="s">
        <v>3419</v>
      </c>
      <c r="H80" s="3605"/>
      <c r="I80" s="3605"/>
      <c r="J80" s="3605"/>
      <c r="K80" s="3606"/>
      <c r="L80" s="3607"/>
      <c r="M80" s="3608"/>
      <c r="N80" s="3596"/>
      <c r="O80" s="3596"/>
      <c r="P80" s="3597"/>
      <c r="Q80" s="3562"/>
      <c r="R80" s="3529"/>
      <c r="S80" s="3529"/>
      <c r="T80" s="3529"/>
      <c r="U80" s="3529"/>
      <c r="V80" s="3529"/>
      <c r="W80" s="3529"/>
      <c r="X80" s="3529"/>
      <c r="Y80" s="3529"/>
      <c r="Z80" s="3529"/>
      <c r="AA80" s="3529"/>
      <c r="AB80" s="3529"/>
      <c r="AC80" s="3529"/>
    </row>
    <row r="81" spans="1:29" ht="15.75" thickBot="1">
      <c r="A81" s="3598"/>
      <c r="B81" s="3609"/>
      <c r="C81" s="3610">
        <v>100</v>
      </c>
      <c r="D81" s="3610">
        <f>C81-$K19</f>
        <v>98</v>
      </c>
      <c r="E81" s="3610">
        <f>D81-$K19</f>
        <v>96</v>
      </c>
      <c r="F81" s="3610">
        <f>E81-$K19</f>
        <v>94</v>
      </c>
      <c r="G81" s="3610">
        <f>F81-$K19</f>
        <v>92</v>
      </c>
      <c r="H81" s="3610"/>
      <c r="I81" s="3610"/>
      <c r="J81" s="3610"/>
      <c r="K81" s="3610"/>
      <c r="L81" s="3610"/>
      <c r="M81" s="3611"/>
      <c r="N81" s="3603"/>
      <c r="O81" s="3603"/>
      <c r="P81" s="3597"/>
      <c r="Q81" s="3562"/>
      <c r="R81" s="3529"/>
      <c r="S81" s="3529"/>
      <c r="T81" s="3529"/>
      <c r="U81" s="3529"/>
      <c r="V81" s="3529"/>
      <c r="W81" s="3529"/>
      <c r="X81" s="3529"/>
      <c r="Y81" s="3529"/>
      <c r="Z81" s="3529"/>
      <c r="AA81" s="3529"/>
      <c r="AB81" s="3529"/>
      <c r="AC81" s="3529"/>
    </row>
    <row r="82" spans="1:29" ht="15.75" thickTop="1">
      <c r="A82" s="3598"/>
      <c r="B82" s="3649" t="s">
        <v>3422</v>
      </c>
      <c r="C82" s="3650" t="s">
        <v>3423</v>
      </c>
      <c r="D82" s="3650" t="s">
        <v>3424</v>
      </c>
      <c r="E82" s="3650" t="s">
        <v>3425</v>
      </c>
      <c r="F82" s="3650" t="s">
        <v>3426</v>
      </c>
      <c r="G82" s="3650" t="s">
        <v>1980</v>
      </c>
      <c r="H82" s="3605"/>
      <c r="I82" s="3605"/>
      <c r="J82" s="3605"/>
      <c r="K82" s="3605"/>
      <c r="L82" s="3605"/>
      <c r="M82" s="3651"/>
      <c r="N82" s="3603"/>
      <c r="O82" s="3603"/>
      <c r="P82" s="3597"/>
      <c r="Q82" s="3562"/>
      <c r="R82" s="3529"/>
      <c r="S82" s="3529"/>
      <c r="T82" s="3529"/>
      <c r="U82" s="3529"/>
      <c r="V82" s="3529"/>
      <c r="W82" s="3529"/>
      <c r="X82" s="3529"/>
      <c r="Y82" s="3529"/>
      <c r="Z82" s="3529"/>
      <c r="AA82" s="3529"/>
      <c r="AB82" s="3529"/>
      <c r="AC82" s="3529"/>
    </row>
    <row r="83" spans="1:29" ht="15.75" thickBot="1">
      <c r="A83" s="3598"/>
      <c r="B83" s="3612"/>
      <c r="C83" s="3610">
        <v>100</v>
      </c>
      <c r="D83" s="3610">
        <f>C83-$K21</f>
        <v>99</v>
      </c>
      <c r="E83" s="3610">
        <f>D83-$K21</f>
        <v>98</v>
      </c>
      <c r="F83" s="3610">
        <f>E83-$K21</f>
        <v>97</v>
      </c>
      <c r="G83" s="3610">
        <f>F83-$K21</f>
        <v>96</v>
      </c>
      <c r="H83" s="3652"/>
      <c r="I83" s="3652"/>
      <c r="J83" s="3652"/>
      <c r="K83" s="3652"/>
      <c r="L83" s="3652"/>
      <c r="M83" s="3454"/>
      <c r="N83" s="3603"/>
      <c r="O83" s="3603"/>
      <c r="P83" s="3597"/>
      <c r="Q83" s="3562"/>
      <c r="R83" s="3529"/>
      <c r="S83" s="3529"/>
      <c r="T83" s="3529"/>
      <c r="U83" s="3529"/>
      <c r="V83" s="3529"/>
      <c r="W83" s="3529"/>
      <c r="X83" s="3529"/>
      <c r="Y83" s="3529"/>
      <c r="Z83" s="3529"/>
      <c r="AA83" s="3529"/>
      <c r="AB83" s="3529"/>
      <c r="AC83" s="3529"/>
    </row>
    <row r="84" spans="1:29" ht="15.75" thickTop="1">
      <c r="A84" s="3598"/>
      <c r="B84" s="3604" t="s">
        <v>3427</v>
      </c>
      <c r="C84" s="3647" t="s">
        <v>3428</v>
      </c>
      <c r="D84" s="3647" t="s">
        <v>3429</v>
      </c>
      <c r="E84" s="3647" t="s">
        <v>3430</v>
      </c>
      <c r="F84" s="3647" t="s">
        <v>3431</v>
      </c>
      <c r="G84" s="3647" t="s">
        <v>3432</v>
      </c>
      <c r="H84" s="3605"/>
      <c r="I84" s="3605"/>
      <c r="J84" s="3605"/>
      <c r="K84" s="3606"/>
      <c r="L84" s="3607"/>
      <c r="M84" s="3608"/>
      <c r="N84" s="3596"/>
      <c r="O84" s="3596"/>
      <c r="P84" s="3597"/>
      <c r="Q84" s="3562"/>
      <c r="R84" s="3529"/>
      <c r="S84" s="3529"/>
      <c r="T84" s="3529"/>
      <c r="U84" s="3529"/>
      <c r="V84" s="3529"/>
      <c r="W84" s="3529"/>
      <c r="X84" s="3529"/>
      <c r="Y84" s="3529"/>
      <c r="Z84" s="3529"/>
      <c r="AA84" s="3529"/>
      <c r="AB84" s="3529"/>
      <c r="AC84" s="3529"/>
    </row>
    <row r="85" spans="1:29" ht="15.75" thickBot="1">
      <c r="A85" s="3598"/>
      <c r="B85" s="3609"/>
      <c r="C85" s="3610">
        <v>100</v>
      </c>
      <c r="D85" s="3610">
        <f>C85-$K23</f>
        <v>98</v>
      </c>
      <c r="E85" s="3610">
        <f>D85-$K23</f>
        <v>96</v>
      </c>
      <c r="F85" s="3610">
        <f>E85-$K23</f>
        <v>94</v>
      </c>
      <c r="G85" s="3610">
        <f>F85-$K23</f>
        <v>92</v>
      </c>
      <c r="H85" s="3610"/>
      <c r="I85" s="3610"/>
      <c r="J85" s="3610"/>
      <c r="K85" s="3610"/>
      <c r="L85" s="3610"/>
      <c r="M85" s="3611"/>
      <c r="N85" s="3603"/>
      <c r="O85" s="3603"/>
      <c r="P85" s="3597"/>
      <c r="Q85" s="3562"/>
      <c r="R85" s="3529"/>
      <c r="S85" s="3529"/>
      <c r="T85" s="3529"/>
      <c r="U85" s="3529"/>
      <c r="V85" s="3529"/>
      <c r="W85" s="3529"/>
      <c r="X85" s="3529"/>
      <c r="Y85" s="3529"/>
      <c r="Z85" s="3529"/>
      <c r="AA85" s="3529"/>
      <c r="AB85" s="3529"/>
      <c r="AC85" s="3529"/>
    </row>
    <row r="86" spans="1:29" s="3390" customFormat="1" ht="15.75" thickTop="1">
      <c r="A86" s="3653"/>
      <c r="B86" s="3648" t="s">
        <v>3433</v>
      </c>
      <c r="C86" s="3620"/>
      <c r="D86" s="3620"/>
      <c r="E86" s="3620"/>
      <c r="F86" s="3620"/>
      <c r="G86" s="3620"/>
      <c r="H86" s="3620"/>
      <c r="I86" s="3620"/>
      <c r="J86" s="3620"/>
      <c r="K86" s="3620"/>
      <c r="L86" s="3654"/>
      <c r="M86" s="3655"/>
      <c r="N86" s="3585"/>
      <c r="O86" s="3585"/>
      <c r="P86" s="3597"/>
      <c r="Q86" s="3562"/>
      <c r="R86" s="3573"/>
      <c r="S86" s="3573"/>
      <c r="T86" s="3573"/>
      <c r="U86" s="3573"/>
      <c r="V86" s="3573"/>
      <c r="W86" s="3573"/>
      <c r="X86" s="3573"/>
      <c r="Y86" s="3573"/>
      <c r="Z86" s="3573"/>
      <c r="AA86" s="3573"/>
      <c r="AB86" s="3573"/>
      <c r="AC86" s="3573"/>
    </row>
    <row r="87" spans="1:29" s="3390" customFormat="1" ht="15.75" thickBot="1">
      <c r="A87" s="3653"/>
      <c r="B87" s="3609"/>
      <c r="C87" s="3656">
        <v>100</v>
      </c>
      <c r="D87" s="3610">
        <f>$C$87-($C$86-D86)*$K$25</f>
        <v>100</v>
      </c>
      <c r="E87" s="3610">
        <f t="shared" ref="E87:M87" si="20">$C$87-($C$86-E86)*$K$25</f>
        <v>100</v>
      </c>
      <c r="F87" s="3610">
        <f t="shared" si="20"/>
        <v>100</v>
      </c>
      <c r="G87" s="3610">
        <f t="shared" si="20"/>
        <v>100</v>
      </c>
      <c r="H87" s="3610">
        <f t="shared" si="20"/>
        <v>100</v>
      </c>
      <c r="I87" s="3610">
        <f t="shared" si="20"/>
        <v>100</v>
      </c>
      <c r="J87" s="3610">
        <f t="shared" si="20"/>
        <v>100</v>
      </c>
      <c r="K87" s="3610">
        <f t="shared" si="20"/>
        <v>100</v>
      </c>
      <c r="L87" s="3610">
        <f t="shared" si="20"/>
        <v>100</v>
      </c>
      <c r="M87" s="3610">
        <f t="shared" si="20"/>
        <v>100</v>
      </c>
      <c r="N87" s="3603"/>
      <c r="O87" s="3603"/>
      <c r="P87" s="3597"/>
      <c r="Q87" s="3562"/>
      <c r="R87" s="3573"/>
      <c r="S87" s="3573"/>
      <c r="T87" s="3573"/>
      <c r="U87" s="3573"/>
      <c r="V87" s="3573"/>
      <c r="W87" s="3573"/>
      <c r="X87" s="3573"/>
      <c r="Y87" s="3573"/>
      <c r="Z87" s="3573"/>
      <c r="AA87" s="3573"/>
      <c r="AB87" s="3573"/>
      <c r="AC87" s="3573"/>
    </row>
    <row r="88" spans="1:29" s="3390" customFormat="1" ht="15.75" thickTop="1">
      <c r="A88" s="3653"/>
      <c r="B88" s="3604" t="s">
        <v>746</v>
      </c>
      <c r="C88" s="3620"/>
      <c r="D88" s="3620"/>
      <c r="E88" s="3620"/>
      <c r="F88" s="3657"/>
      <c r="G88" s="3620"/>
      <c r="H88" s="3620"/>
      <c r="I88" s="3620"/>
      <c r="J88" s="3620"/>
      <c r="K88" s="3620"/>
      <c r="L88" s="3620"/>
      <c r="M88" s="3655"/>
      <c r="N88" s="3585"/>
      <c r="O88" s="3585"/>
      <c r="P88" s="3597"/>
      <c r="Q88" s="3562"/>
      <c r="R88" s="3573"/>
      <c r="S88" s="3573"/>
      <c r="T88" s="3573"/>
      <c r="U88" s="3573"/>
      <c r="V88" s="3573"/>
      <c r="W88" s="3573"/>
      <c r="X88" s="3573"/>
      <c r="Y88" s="3573"/>
      <c r="Z88" s="3573"/>
      <c r="AA88" s="3573"/>
      <c r="AB88" s="3573"/>
      <c r="AC88" s="3573"/>
    </row>
    <row r="89" spans="1:29" s="3390" customFormat="1" ht="15.75" thickBot="1">
      <c r="A89" s="3653"/>
      <c r="B89" s="3609"/>
      <c r="C89" s="3656">
        <v>100</v>
      </c>
      <c r="D89" s="3610">
        <f t="shared" ref="D89:M89" si="21">C89-$K26</f>
        <v>100</v>
      </c>
      <c r="E89" s="3610">
        <f t="shared" si="21"/>
        <v>100</v>
      </c>
      <c r="F89" s="3610">
        <f t="shared" si="21"/>
        <v>100</v>
      </c>
      <c r="G89" s="3610">
        <f t="shared" si="21"/>
        <v>100</v>
      </c>
      <c r="H89" s="3610">
        <f t="shared" si="21"/>
        <v>100</v>
      </c>
      <c r="I89" s="3610">
        <f t="shared" si="21"/>
        <v>100</v>
      </c>
      <c r="J89" s="3610">
        <f t="shared" si="21"/>
        <v>100</v>
      </c>
      <c r="K89" s="3610">
        <f t="shared" si="21"/>
        <v>100</v>
      </c>
      <c r="L89" s="3610">
        <f t="shared" si="21"/>
        <v>100</v>
      </c>
      <c r="M89" s="3610">
        <f t="shared" si="21"/>
        <v>100</v>
      </c>
      <c r="N89" s="3603"/>
      <c r="O89" s="3603"/>
      <c r="P89" s="3597"/>
      <c r="Q89" s="3562"/>
      <c r="R89" s="3573"/>
      <c r="S89" s="3573"/>
      <c r="T89" s="3573"/>
      <c r="U89" s="3573"/>
      <c r="V89" s="3573"/>
      <c r="W89" s="3573"/>
      <c r="X89" s="3573"/>
      <c r="Y89" s="3573"/>
      <c r="Z89" s="3573"/>
      <c r="AA89" s="3573"/>
      <c r="AB89" s="3573"/>
      <c r="AC89" s="3573"/>
    </row>
    <row r="90" spans="1:29" s="3507" customFormat="1" ht="15.75" thickTop="1">
      <c r="A90" s="3619"/>
      <c r="B90" s="3604" t="str">
        <f>B27</f>
        <v>道路级别</v>
      </c>
      <c r="C90" s="3658" t="s">
        <v>3434</v>
      </c>
      <c r="D90" s="3658" t="s">
        <v>3435</v>
      </c>
      <c r="E90" s="3658" t="s">
        <v>3436</v>
      </c>
      <c r="F90" s="3658" t="s">
        <v>3437</v>
      </c>
      <c r="G90" s="3658" t="s">
        <v>3438</v>
      </c>
      <c r="H90" s="3621"/>
      <c r="I90" s="3621"/>
      <c r="J90" s="3621"/>
      <c r="K90" s="3621"/>
      <c r="L90" s="3622"/>
      <c r="M90" s="3623"/>
      <c r="N90" s="3624"/>
      <c r="O90" s="3624"/>
      <c r="P90" s="3625"/>
      <c r="Q90" s="3626"/>
      <c r="R90" s="3627"/>
      <c r="S90" s="3627"/>
      <c r="T90" s="3627"/>
      <c r="U90" s="3627"/>
      <c r="V90" s="3627"/>
      <c r="W90" s="3627"/>
      <c r="X90" s="3627"/>
      <c r="Y90" s="3627"/>
      <c r="Z90" s="3627"/>
      <c r="AA90" s="3627"/>
      <c r="AB90" s="3627"/>
      <c r="AC90" s="3627"/>
    </row>
    <row r="91" spans="1:29" s="3507" customFormat="1" ht="15.75" thickBot="1">
      <c r="A91" s="3619"/>
      <c r="B91" s="3609"/>
      <c r="C91" s="3628">
        <v>100</v>
      </c>
      <c r="D91" s="3628">
        <v>99</v>
      </c>
      <c r="E91" s="3628">
        <v>98</v>
      </c>
      <c r="F91" s="3628">
        <v>97</v>
      </c>
      <c r="G91" s="3628">
        <v>96</v>
      </c>
      <c r="H91" s="3631"/>
      <c r="I91" s="3631"/>
      <c r="J91" s="3631"/>
      <c r="K91" s="3631"/>
      <c r="L91" s="3631"/>
      <c r="M91" s="3632"/>
      <c r="N91" s="3624"/>
      <c r="O91" s="3624"/>
      <c r="P91" s="3625"/>
      <c r="Q91" s="3626"/>
      <c r="R91" s="3627"/>
      <c r="S91" s="3627"/>
      <c r="T91" s="3627"/>
      <c r="U91" s="3627"/>
      <c r="V91" s="3627"/>
      <c r="W91" s="3627"/>
      <c r="X91" s="3627"/>
      <c r="Y91" s="3627"/>
      <c r="Z91" s="3627"/>
      <c r="AA91" s="3627"/>
      <c r="AB91" s="3627"/>
      <c r="AC91" s="3627"/>
    </row>
    <row r="92" spans="1:29" ht="15.75" thickTop="1">
      <c r="A92" s="3598"/>
      <c r="B92" s="3604">
        <f>B28</f>
        <v>111</v>
      </c>
      <c r="C92" s="3620"/>
      <c r="D92" s="3620"/>
      <c r="E92" s="3620"/>
      <c r="F92" s="3620"/>
      <c r="G92" s="3659"/>
      <c r="H92" s="3659"/>
      <c r="I92" s="3659"/>
      <c r="J92" s="3659"/>
      <c r="K92" s="3660"/>
      <c r="L92" s="3661"/>
      <c r="M92" s="3662"/>
      <c r="N92" s="3596"/>
      <c r="O92" s="3596"/>
      <c r="P92" s="3597"/>
      <c r="Q92" s="3562"/>
      <c r="R92" s="3529"/>
      <c r="S92" s="3529"/>
      <c r="T92" s="3529"/>
      <c r="U92" s="3529"/>
      <c r="V92" s="3529"/>
      <c r="W92" s="3529"/>
      <c r="X92" s="3529"/>
      <c r="Y92" s="3529"/>
      <c r="Z92" s="3529"/>
      <c r="AA92" s="3529"/>
      <c r="AB92" s="3529"/>
      <c r="AC92" s="3529"/>
    </row>
    <row r="93" spans="1:29" ht="15.75" thickBot="1">
      <c r="A93" s="3598"/>
      <c r="B93" s="3609"/>
      <c r="C93" s="3628"/>
      <c r="D93" s="3600"/>
      <c r="E93" s="3600"/>
      <c r="F93" s="3600"/>
      <c r="G93" s="3600"/>
      <c r="H93" s="3600"/>
      <c r="I93" s="3600"/>
      <c r="J93" s="3600"/>
      <c r="K93" s="3600"/>
      <c r="L93" s="3600"/>
      <c r="M93" s="3629"/>
      <c r="N93" s="3603"/>
      <c r="O93" s="3603"/>
      <c r="P93" s="3597"/>
      <c r="Q93" s="3562"/>
      <c r="R93" s="3529"/>
      <c r="S93" s="3529"/>
      <c r="T93" s="3529"/>
      <c r="U93" s="3529"/>
      <c r="V93" s="3529"/>
      <c r="W93" s="3529"/>
      <c r="X93" s="3529"/>
      <c r="Y93" s="3529"/>
      <c r="Z93" s="3529"/>
      <c r="AA93" s="3529"/>
      <c r="AB93" s="3529"/>
      <c r="AC93" s="3529"/>
    </row>
    <row r="94" spans="1:29" ht="15.75" thickTop="1">
      <c r="A94" s="3598"/>
      <c r="B94" s="3604">
        <f>B29</f>
        <v>111</v>
      </c>
      <c r="C94" s="3620"/>
      <c r="D94" s="3620"/>
      <c r="E94" s="3620"/>
      <c r="F94" s="3620"/>
      <c r="G94" s="3659"/>
      <c r="H94" s="3659"/>
      <c r="I94" s="3659"/>
      <c r="J94" s="3659"/>
      <c r="K94" s="3660"/>
      <c r="L94" s="3661"/>
      <c r="M94" s="3662"/>
      <c r="N94" s="3596"/>
      <c r="O94" s="3596"/>
      <c r="P94" s="3597"/>
      <c r="Q94" s="3562"/>
      <c r="R94" s="3529"/>
      <c r="S94" s="3529"/>
      <c r="T94" s="3529"/>
      <c r="U94" s="3529"/>
      <c r="V94" s="3529"/>
      <c r="W94" s="3529"/>
      <c r="X94" s="3529"/>
      <c r="Y94" s="3529"/>
      <c r="Z94" s="3529"/>
      <c r="AA94" s="3529"/>
      <c r="AB94" s="3529"/>
      <c r="AC94" s="3529"/>
    </row>
    <row r="95" spans="1:29" ht="15.75" thickBot="1">
      <c r="A95" s="3598"/>
      <c r="B95" s="3609"/>
      <c r="C95" s="3628"/>
      <c r="D95" s="3628"/>
      <c r="E95" s="3628"/>
      <c r="F95" s="3628"/>
      <c r="G95" s="3600"/>
      <c r="H95" s="3600"/>
      <c r="I95" s="3600"/>
      <c r="J95" s="3600"/>
      <c r="K95" s="3600"/>
      <c r="L95" s="3600"/>
      <c r="M95" s="3629"/>
      <c r="N95" s="3603"/>
      <c r="O95" s="3603"/>
      <c r="P95" s="3597"/>
      <c r="Q95" s="3562"/>
      <c r="R95" s="3529"/>
      <c r="S95" s="3529"/>
      <c r="T95" s="3529"/>
      <c r="U95" s="3529"/>
      <c r="V95" s="3529"/>
      <c r="W95" s="3529"/>
      <c r="X95" s="3529"/>
      <c r="Y95" s="3529"/>
      <c r="Z95" s="3529"/>
      <c r="AA95" s="3529"/>
      <c r="AB95" s="3529"/>
      <c r="AC95" s="3529"/>
    </row>
    <row r="96" spans="1:29" ht="15.75" thickTop="1">
      <c r="A96" s="3598"/>
      <c r="B96" s="3604">
        <f>B30</f>
        <v>111</v>
      </c>
      <c r="C96" s="3620"/>
      <c r="D96" s="3620"/>
      <c r="E96" s="3620"/>
      <c r="F96" s="3620"/>
      <c r="G96" s="3659"/>
      <c r="H96" s="3659"/>
      <c r="I96" s="3659"/>
      <c r="J96" s="3659"/>
      <c r="K96" s="3660"/>
      <c r="L96" s="3661"/>
      <c r="M96" s="3662"/>
      <c r="N96" s="3596"/>
      <c r="O96" s="3596"/>
      <c r="P96" s="3597"/>
      <c r="Q96" s="3562"/>
      <c r="R96" s="3529"/>
      <c r="S96" s="3529"/>
      <c r="T96" s="3529"/>
      <c r="U96" s="3529"/>
      <c r="V96" s="3529"/>
      <c r="W96" s="3529"/>
      <c r="X96" s="3529"/>
      <c r="Y96" s="3529"/>
      <c r="Z96" s="3529"/>
      <c r="AA96" s="3529"/>
      <c r="AB96" s="3529"/>
      <c r="AC96" s="3529"/>
    </row>
    <row r="97" spans="1:29" ht="15.75" thickBot="1">
      <c r="A97" s="3598"/>
      <c r="B97" s="3609"/>
      <c r="C97" s="3639"/>
      <c r="D97" s="3639"/>
      <c r="E97" s="3639"/>
      <c r="F97" s="3639"/>
      <c r="G97" s="3600"/>
      <c r="H97" s="3600"/>
      <c r="I97" s="3600"/>
      <c r="J97" s="3600"/>
      <c r="K97" s="3600"/>
      <c r="L97" s="3600"/>
      <c r="M97" s="3629"/>
      <c r="N97" s="3603"/>
      <c r="O97" s="3603"/>
      <c r="P97" s="3597"/>
      <c r="Q97" s="3562"/>
      <c r="R97" s="3529"/>
      <c r="S97" s="3529"/>
      <c r="T97" s="3529"/>
      <c r="U97" s="3529"/>
      <c r="V97" s="3529"/>
      <c r="W97" s="3529"/>
      <c r="X97" s="3529"/>
      <c r="Y97" s="3529"/>
      <c r="Z97" s="3529"/>
      <c r="AA97" s="3529"/>
      <c r="AB97" s="3529"/>
      <c r="AC97" s="3529"/>
    </row>
    <row r="98" spans="1:29" ht="15.75" thickTop="1">
      <c r="A98" s="3598"/>
      <c r="B98" s="3612">
        <f>B31</f>
        <v>111</v>
      </c>
      <c r="C98" s="3663"/>
      <c r="D98" s="3663"/>
      <c r="E98" s="3663"/>
      <c r="F98" s="3663"/>
      <c r="G98" s="3663"/>
      <c r="H98" s="3663"/>
      <c r="I98" s="3663"/>
      <c r="J98" s="3663"/>
      <c r="K98" s="3664"/>
      <c r="L98" s="3665"/>
      <c r="M98" s="3666"/>
      <c r="N98" s="3596"/>
      <c r="O98" s="3596"/>
      <c r="P98" s="3597"/>
      <c r="Q98" s="3562"/>
      <c r="R98" s="3529"/>
      <c r="S98" s="3529"/>
      <c r="T98" s="3529"/>
      <c r="U98" s="3529"/>
      <c r="V98" s="3529"/>
      <c r="W98" s="3529"/>
      <c r="X98" s="3529"/>
      <c r="Y98" s="3529"/>
      <c r="Z98" s="3529"/>
      <c r="AA98" s="3529"/>
      <c r="AB98" s="3529"/>
      <c r="AC98" s="3529"/>
    </row>
    <row r="99" spans="1:29" ht="15.75" thickBot="1">
      <c r="A99" s="3667"/>
      <c r="B99" s="3638"/>
      <c r="C99" s="3668"/>
      <c r="D99" s="3668"/>
      <c r="E99" s="3668"/>
      <c r="F99" s="3668"/>
      <c r="G99" s="3668"/>
      <c r="H99" s="3668"/>
      <c r="I99" s="3668"/>
      <c r="J99" s="3668"/>
      <c r="K99" s="3668"/>
      <c r="L99" s="3668"/>
      <c r="M99" s="3669"/>
      <c r="N99" s="3603"/>
      <c r="O99" s="3603"/>
      <c r="P99" s="3597"/>
      <c r="Q99" s="3562"/>
      <c r="R99" s="3529"/>
      <c r="S99" s="3529"/>
      <c r="T99" s="3529"/>
      <c r="U99" s="3529"/>
      <c r="V99" s="3529"/>
      <c r="W99" s="3529"/>
      <c r="X99" s="3529"/>
      <c r="Y99" s="3529"/>
      <c r="Z99" s="3529"/>
      <c r="AA99" s="3529"/>
      <c r="AB99" s="3529"/>
      <c r="AC99" s="3529"/>
    </row>
    <row r="100" spans="1:29">
      <c r="A100" s="3589" t="s">
        <v>551</v>
      </c>
      <c r="B100" s="3590" t="s">
        <v>3439</v>
      </c>
      <c r="C100" s="3670" t="s">
        <v>3440</v>
      </c>
      <c r="D100" s="3670" t="s">
        <v>3441</v>
      </c>
      <c r="E100" s="3670" t="s">
        <v>3442</v>
      </c>
      <c r="F100" s="3670"/>
      <c r="G100" s="3592"/>
      <c r="H100" s="3592"/>
      <c r="I100" s="3592"/>
      <c r="J100" s="3592"/>
      <c r="K100" s="3593"/>
      <c r="L100" s="3594"/>
      <c r="M100" s="3595"/>
      <c r="N100" s="3596"/>
      <c r="O100" s="3596"/>
      <c r="P100" s="3597"/>
      <c r="Q100" s="3562"/>
      <c r="R100" s="3529"/>
      <c r="S100" s="3529"/>
      <c r="T100" s="3529"/>
      <c r="U100" s="3529"/>
      <c r="V100" s="3529"/>
      <c r="W100" s="3529"/>
      <c r="X100" s="3529"/>
      <c r="Y100" s="3529"/>
      <c r="Z100" s="3529"/>
      <c r="AA100" s="3529"/>
      <c r="AB100" s="3529"/>
      <c r="AC100" s="3529"/>
    </row>
    <row r="101" spans="1:29" ht="15.75" thickBot="1">
      <c r="A101" s="3598"/>
      <c r="B101" s="3609"/>
      <c r="C101" s="3610">
        <v>100</v>
      </c>
      <c r="D101" s="3610">
        <f t="shared" ref="D101:M101" si="22">C101-$K32</f>
        <v>95</v>
      </c>
      <c r="E101" s="3610">
        <f t="shared" si="22"/>
        <v>90</v>
      </c>
      <c r="F101" s="3610">
        <f t="shared" si="22"/>
        <v>85</v>
      </c>
      <c r="G101" s="3610">
        <f t="shared" si="22"/>
        <v>80</v>
      </c>
      <c r="H101" s="3610">
        <f t="shared" si="22"/>
        <v>75</v>
      </c>
      <c r="I101" s="3610">
        <f t="shared" si="22"/>
        <v>70</v>
      </c>
      <c r="J101" s="3610">
        <f t="shared" si="22"/>
        <v>65</v>
      </c>
      <c r="K101" s="3610">
        <f t="shared" si="22"/>
        <v>60</v>
      </c>
      <c r="L101" s="3610">
        <f t="shared" si="22"/>
        <v>55</v>
      </c>
      <c r="M101" s="3610">
        <f t="shared" si="22"/>
        <v>50</v>
      </c>
      <c r="N101" s="3603"/>
      <c r="O101" s="3603"/>
      <c r="P101" s="3597"/>
      <c r="Q101" s="3562"/>
      <c r="R101" s="3529"/>
      <c r="S101" s="3529"/>
      <c r="T101" s="3529"/>
      <c r="U101" s="3529"/>
      <c r="V101" s="3529"/>
      <c r="W101" s="3529"/>
      <c r="X101" s="3529"/>
      <c r="Y101" s="3529"/>
      <c r="Z101" s="3529"/>
      <c r="AA101" s="3529"/>
      <c r="AB101" s="3529"/>
      <c r="AC101" s="3529"/>
    </row>
    <row r="102" spans="1:29" ht="15.75" thickTop="1">
      <c r="A102" s="3598"/>
      <c r="B102" s="3604" t="s">
        <v>3443</v>
      </c>
      <c r="C102" s="3647" t="str">
        <f>C103&amp;"(含)"&amp;"-"&amp;D103</f>
        <v>1(含)-1</v>
      </c>
      <c r="D102" s="3647" t="str">
        <f t="shared" ref="D102:L102" si="23">D103&amp;"(含)"&amp;"-"&amp;E103</f>
        <v>1(含)-1</v>
      </c>
      <c r="E102" s="3647" t="str">
        <f t="shared" si="23"/>
        <v>1(含)-</v>
      </c>
      <c r="F102" s="3647" t="str">
        <f t="shared" si="23"/>
        <v>(含)-</v>
      </c>
      <c r="G102" s="3647" t="str">
        <f t="shared" si="23"/>
        <v>(含)-</v>
      </c>
      <c r="H102" s="3647" t="str">
        <f t="shared" si="23"/>
        <v>(含)-</v>
      </c>
      <c r="I102" s="3647" t="str">
        <f t="shared" si="23"/>
        <v>(含)-</v>
      </c>
      <c r="J102" s="3647" t="str">
        <f t="shared" si="23"/>
        <v>(含)-</v>
      </c>
      <c r="K102" s="3647" t="str">
        <f t="shared" si="23"/>
        <v>(含)-</v>
      </c>
      <c r="L102" s="3647" t="str">
        <f t="shared" si="23"/>
        <v>(含)-</v>
      </c>
      <c r="M102" s="3647" t="str">
        <f>M103&amp;"(含)"&amp;"-"&amp;P103</f>
        <v>(含)-</v>
      </c>
      <c r="N102" s="3585"/>
      <c r="O102" s="3585"/>
      <c r="P102" s="3597"/>
      <c r="Q102" s="3562"/>
      <c r="R102" s="3529"/>
      <c r="S102" s="3529"/>
      <c r="T102" s="3529"/>
      <c r="U102" s="3529"/>
      <c r="V102" s="3529"/>
      <c r="W102" s="3529"/>
      <c r="X102" s="3529"/>
      <c r="Y102" s="3529"/>
      <c r="Z102" s="3529"/>
      <c r="AA102" s="3529"/>
      <c r="AB102" s="3529"/>
      <c r="AC102" s="3529"/>
    </row>
    <row r="103" spans="1:29" s="3507" customFormat="1">
      <c r="A103" s="3671"/>
      <c r="B103" s="3672"/>
      <c r="C103" s="3673">
        <v>1</v>
      </c>
      <c r="D103" s="3673">
        <v>1</v>
      </c>
      <c r="E103" s="3673">
        <v>1</v>
      </c>
      <c r="F103" s="3674"/>
      <c r="G103" s="3674"/>
      <c r="H103" s="3674"/>
      <c r="I103" s="3674"/>
      <c r="J103" s="3675"/>
      <c r="K103" s="3675"/>
      <c r="L103" s="3676"/>
      <c r="M103" s="3677"/>
      <c r="N103" s="3624"/>
      <c r="O103" s="3624"/>
      <c r="P103" s="3625"/>
      <c r="Q103" s="3626"/>
      <c r="R103" s="3627"/>
      <c r="S103" s="3627"/>
      <c r="T103" s="3627"/>
      <c r="U103" s="3627"/>
      <c r="V103" s="3627"/>
      <c r="W103" s="3627"/>
      <c r="X103" s="3627"/>
      <c r="Y103" s="3627"/>
      <c r="Z103" s="3627"/>
      <c r="AA103" s="3627"/>
      <c r="AB103" s="3627"/>
      <c r="AC103" s="3627"/>
    </row>
    <row r="104" spans="1:29" s="3507" customFormat="1" ht="15.75" thickBot="1">
      <c r="A104" s="3619"/>
      <c r="B104" s="3609"/>
      <c r="C104" s="3628">
        <v>100</v>
      </c>
      <c r="D104" s="3600">
        <v>97</v>
      </c>
      <c r="E104" s="3600">
        <v>94</v>
      </c>
      <c r="F104" s="3600"/>
      <c r="G104" s="3600"/>
      <c r="H104" s="3600"/>
      <c r="I104" s="3600"/>
      <c r="J104" s="3600"/>
      <c r="K104" s="3600"/>
      <c r="L104" s="3600"/>
      <c r="M104" s="3600"/>
      <c r="N104" s="3603"/>
      <c r="O104" s="3603"/>
      <c r="P104" s="3625"/>
      <c r="Q104" s="3626"/>
      <c r="R104" s="3627"/>
      <c r="S104" s="3627"/>
      <c r="T104" s="3627"/>
      <c r="U104" s="3627"/>
      <c r="V104" s="3627"/>
      <c r="W104" s="3627"/>
      <c r="X104" s="3627"/>
      <c r="Y104" s="3627"/>
      <c r="Z104" s="3627"/>
      <c r="AA104" s="3627"/>
      <c r="AB104" s="3627"/>
      <c r="AC104" s="3627"/>
    </row>
    <row r="105" spans="1:29" ht="15" thickTop="1">
      <c r="A105" s="3678"/>
      <c r="B105" s="3604" t="s">
        <v>3444</v>
      </c>
      <c r="C105" s="3658" t="s">
        <v>3445</v>
      </c>
      <c r="D105" s="3620"/>
      <c r="E105" s="3659"/>
      <c r="F105" s="3659"/>
      <c r="G105" s="3659"/>
      <c r="H105" s="3659"/>
      <c r="I105" s="3659"/>
      <c r="J105" s="3659"/>
      <c r="K105" s="3660"/>
      <c r="L105" s="3661"/>
      <c r="M105" s="3662"/>
      <c r="N105" s="3596"/>
      <c r="O105" s="3596"/>
      <c r="P105" s="3597"/>
      <c r="Q105" s="3562"/>
      <c r="R105" s="3529"/>
      <c r="S105" s="3529"/>
      <c r="T105" s="3529"/>
      <c r="U105" s="3529"/>
      <c r="V105" s="3529"/>
      <c r="W105" s="3529"/>
      <c r="X105" s="3529"/>
      <c r="Y105" s="3529"/>
      <c r="Z105" s="3529"/>
      <c r="AA105" s="3529"/>
      <c r="AB105" s="3529"/>
      <c r="AC105" s="3529"/>
    </row>
    <row r="106" spans="1:29" ht="15.75" thickBot="1">
      <c r="A106" s="3598"/>
      <c r="B106" s="3609"/>
      <c r="C106" s="3610">
        <v>100</v>
      </c>
      <c r="D106" s="3610">
        <f t="shared" ref="D106:M106" si="24">C106-$K34</f>
        <v>98</v>
      </c>
      <c r="E106" s="3610">
        <f t="shared" si="24"/>
        <v>96</v>
      </c>
      <c r="F106" s="3610">
        <f t="shared" si="24"/>
        <v>94</v>
      </c>
      <c r="G106" s="3610">
        <f t="shared" si="24"/>
        <v>92</v>
      </c>
      <c r="H106" s="3610">
        <f t="shared" si="24"/>
        <v>90</v>
      </c>
      <c r="I106" s="3610">
        <f t="shared" si="24"/>
        <v>88</v>
      </c>
      <c r="J106" s="3610">
        <f t="shared" si="24"/>
        <v>86</v>
      </c>
      <c r="K106" s="3610">
        <f t="shared" si="24"/>
        <v>84</v>
      </c>
      <c r="L106" s="3610">
        <f t="shared" si="24"/>
        <v>82</v>
      </c>
      <c r="M106" s="3610">
        <f t="shared" si="24"/>
        <v>80</v>
      </c>
      <c r="N106" s="3603"/>
      <c r="O106" s="3603"/>
      <c r="P106" s="3597"/>
      <c r="Q106" s="3562"/>
      <c r="R106" s="3529"/>
      <c r="S106" s="3529"/>
      <c r="T106" s="3529"/>
      <c r="U106" s="3529"/>
      <c r="V106" s="3529"/>
      <c r="W106" s="3529"/>
      <c r="X106" s="3529"/>
      <c r="Y106" s="3529"/>
      <c r="Z106" s="3529"/>
      <c r="AA106" s="3529"/>
      <c r="AB106" s="3529"/>
      <c r="AC106" s="3529"/>
    </row>
    <row r="107" spans="1:29" ht="15" thickTop="1">
      <c r="A107" s="3678"/>
      <c r="B107" s="3604" t="s">
        <v>750</v>
      </c>
      <c r="C107" s="3679" t="s">
        <v>3446</v>
      </c>
      <c r="D107" s="3679" t="s">
        <v>3447</v>
      </c>
      <c r="E107" s="3679" t="s">
        <v>3448</v>
      </c>
      <c r="F107" s="3659"/>
      <c r="G107" s="3659"/>
      <c r="H107" s="3659"/>
      <c r="I107" s="3659"/>
      <c r="J107" s="3659"/>
      <c r="K107" s="3660"/>
      <c r="L107" s="3661"/>
      <c r="M107" s="3662"/>
      <c r="N107" s="3596"/>
      <c r="O107" s="3596"/>
      <c r="P107" s="3597"/>
      <c r="Q107" s="3562"/>
      <c r="R107" s="3529"/>
      <c r="S107" s="3529"/>
      <c r="T107" s="3529"/>
      <c r="U107" s="3529"/>
      <c r="V107" s="3529"/>
      <c r="W107" s="3529"/>
      <c r="X107" s="3529"/>
      <c r="Y107" s="3529"/>
      <c r="Z107" s="3529"/>
      <c r="AA107" s="3529"/>
      <c r="AB107" s="3529"/>
      <c r="AC107" s="3529"/>
    </row>
    <row r="108" spans="1:29" ht="15.75" thickBot="1">
      <c r="A108" s="3598"/>
      <c r="B108" s="3609"/>
      <c r="C108" s="3610">
        <v>100</v>
      </c>
      <c r="D108" s="3610">
        <f t="shared" ref="D108:M108" si="25">C108-$K35</f>
        <v>92</v>
      </c>
      <c r="E108" s="3610">
        <f t="shared" si="25"/>
        <v>84</v>
      </c>
      <c r="F108" s="3610">
        <f t="shared" si="25"/>
        <v>76</v>
      </c>
      <c r="G108" s="3610">
        <f t="shared" si="25"/>
        <v>68</v>
      </c>
      <c r="H108" s="3610">
        <f t="shared" si="25"/>
        <v>60</v>
      </c>
      <c r="I108" s="3610">
        <f t="shared" si="25"/>
        <v>52</v>
      </c>
      <c r="J108" s="3610">
        <f t="shared" si="25"/>
        <v>44</v>
      </c>
      <c r="K108" s="3610">
        <f t="shared" si="25"/>
        <v>36</v>
      </c>
      <c r="L108" s="3610">
        <f t="shared" si="25"/>
        <v>28</v>
      </c>
      <c r="M108" s="3610">
        <f t="shared" si="25"/>
        <v>20</v>
      </c>
      <c r="N108" s="3603"/>
      <c r="O108" s="3603"/>
      <c r="P108" s="3597"/>
      <c r="Q108" s="3562"/>
      <c r="R108" s="3529"/>
      <c r="S108" s="3529"/>
      <c r="T108" s="3529"/>
      <c r="U108" s="3529"/>
      <c r="V108" s="3529"/>
      <c r="W108" s="3529"/>
      <c r="X108" s="3529"/>
      <c r="Y108" s="3529"/>
      <c r="Z108" s="3529"/>
      <c r="AA108" s="3529"/>
      <c r="AB108" s="3529"/>
      <c r="AC108" s="3529"/>
    </row>
    <row r="109" spans="1:29" ht="15" thickTop="1">
      <c r="A109" s="3678"/>
      <c r="B109" s="3604" t="s">
        <v>751</v>
      </c>
      <c r="C109" s="3658" t="s">
        <v>3449</v>
      </c>
      <c r="D109" s="3620"/>
      <c r="E109" s="3620"/>
      <c r="F109" s="3659"/>
      <c r="G109" s="3659"/>
      <c r="H109" s="3659"/>
      <c r="I109" s="3659"/>
      <c r="J109" s="3659"/>
      <c r="K109" s="3660"/>
      <c r="L109" s="3661"/>
      <c r="M109" s="3662"/>
      <c r="N109" s="3596"/>
      <c r="O109" s="3596"/>
      <c r="P109" s="3597"/>
      <c r="Q109" s="3562"/>
      <c r="R109" s="3529"/>
      <c r="S109" s="3529"/>
      <c r="T109" s="3529"/>
      <c r="U109" s="3529"/>
      <c r="V109" s="3529"/>
      <c r="W109" s="3529"/>
      <c r="X109" s="3529"/>
      <c r="Y109" s="3529"/>
      <c r="Z109" s="3529"/>
      <c r="AA109" s="3529"/>
      <c r="AB109" s="3529"/>
      <c r="AC109" s="3529"/>
    </row>
    <row r="110" spans="1:29" ht="15.75" thickBot="1">
      <c r="A110" s="3598"/>
      <c r="B110" s="3609"/>
      <c r="C110" s="3610">
        <v>100</v>
      </c>
      <c r="D110" s="3610">
        <f t="shared" ref="D110:M110" si="26">C110-$K36</f>
        <v>99</v>
      </c>
      <c r="E110" s="3610">
        <f t="shared" si="26"/>
        <v>98</v>
      </c>
      <c r="F110" s="3610">
        <f t="shared" si="26"/>
        <v>97</v>
      </c>
      <c r="G110" s="3610">
        <f t="shared" si="26"/>
        <v>96</v>
      </c>
      <c r="H110" s="3610">
        <f t="shared" si="26"/>
        <v>95</v>
      </c>
      <c r="I110" s="3610">
        <f t="shared" si="26"/>
        <v>94</v>
      </c>
      <c r="J110" s="3610">
        <f t="shared" si="26"/>
        <v>93</v>
      </c>
      <c r="K110" s="3610">
        <f t="shared" si="26"/>
        <v>92</v>
      </c>
      <c r="L110" s="3610">
        <f t="shared" si="26"/>
        <v>91</v>
      </c>
      <c r="M110" s="3610">
        <f t="shared" si="26"/>
        <v>90</v>
      </c>
      <c r="N110" s="3603"/>
      <c r="O110" s="3603"/>
      <c r="P110" s="3597"/>
      <c r="Q110" s="3562"/>
      <c r="R110" s="3529"/>
      <c r="S110" s="3529"/>
      <c r="T110" s="3529"/>
      <c r="U110" s="3529"/>
      <c r="V110" s="3529"/>
      <c r="W110" s="3529"/>
      <c r="X110" s="3529"/>
      <c r="Y110" s="3529"/>
      <c r="Z110" s="3529"/>
      <c r="AA110" s="3529"/>
      <c r="AB110" s="3529"/>
      <c r="AC110" s="3529"/>
    </row>
    <row r="111" spans="1:29" s="3507" customFormat="1" ht="15" thickTop="1">
      <c r="A111" s="3671"/>
      <c r="B111" s="3604" t="s">
        <v>752</v>
      </c>
      <c r="C111" s="3647" t="str">
        <f>C112&amp;"(含)"&amp;"-"&amp;D112</f>
        <v>0.5(含)-0.6</v>
      </c>
      <c r="D111" s="3647" t="str">
        <f>D112&amp;"(含)"&amp;"-"&amp;E112</f>
        <v>0.6(含)-0.7</v>
      </c>
      <c r="E111" s="3647" t="str">
        <f>E112&amp;"(含)"&amp;"-"&amp;F112</f>
        <v>0.7(含)-0.8</v>
      </c>
      <c r="F111" s="3647" t="str">
        <f>F112&amp;"(含)"&amp;"-"&amp;G112</f>
        <v>0.8(含)-0.9</v>
      </c>
      <c r="G111" s="3647" t="str">
        <f>G112&amp;"(含)"&amp;"-"&amp;ROUND(H112,0)</f>
        <v>0.9(含)-1</v>
      </c>
      <c r="H111" s="3647" t="str">
        <f>ROUND(H112,0)&amp;"(含)"&amp;"-"&amp;I112</f>
        <v>1(含)-</v>
      </c>
      <c r="I111" s="3647"/>
      <c r="J111" s="3680"/>
      <c r="K111" s="3680"/>
      <c r="L111" s="3681"/>
      <c r="M111" s="3682"/>
      <c r="N111" s="3624"/>
      <c r="O111" s="3624"/>
      <c r="P111" s="3625"/>
      <c r="Q111" s="3626"/>
      <c r="R111" s="3627"/>
      <c r="S111" s="3627"/>
      <c r="T111" s="3627"/>
      <c r="U111" s="3627"/>
      <c r="V111" s="3627"/>
      <c r="W111" s="3627"/>
      <c r="X111" s="3627"/>
      <c r="Y111" s="3627"/>
      <c r="Z111" s="3627"/>
      <c r="AA111" s="3627"/>
      <c r="AB111" s="3627"/>
      <c r="AC111" s="3627"/>
    </row>
    <row r="112" spans="1:29" s="3507" customFormat="1">
      <c r="A112" s="3671"/>
      <c r="B112" s="3612"/>
      <c r="C112" s="3683">
        <v>0.5</v>
      </c>
      <c r="D112" s="3683">
        <v>0.6</v>
      </c>
      <c r="E112" s="3683">
        <v>0.7</v>
      </c>
      <c r="F112" s="3683">
        <v>0.8</v>
      </c>
      <c r="G112" s="3683">
        <v>0.9</v>
      </c>
      <c r="H112" s="3683">
        <v>1.0001</v>
      </c>
      <c r="I112" s="3683"/>
      <c r="J112" s="3684"/>
      <c r="K112" s="3684"/>
      <c r="L112" s="3685"/>
      <c r="M112" s="3686"/>
      <c r="N112" s="3624"/>
      <c r="O112" s="3624"/>
      <c r="P112" s="3625"/>
      <c r="Q112" s="3626"/>
      <c r="R112" s="3627"/>
      <c r="S112" s="3627"/>
      <c r="T112" s="3627"/>
      <c r="U112" s="3627"/>
      <c r="V112" s="3627"/>
      <c r="W112" s="3627"/>
      <c r="X112" s="3627"/>
      <c r="Y112" s="3627"/>
      <c r="Z112" s="3627"/>
      <c r="AA112" s="3627"/>
      <c r="AB112" s="3627"/>
      <c r="AC112" s="3627"/>
    </row>
    <row r="113" spans="1:29" s="3507" customFormat="1" ht="15.75" thickBot="1">
      <c r="A113" s="3619"/>
      <c r="B113" s="3609"/>
      <c r="C113" s="3656">
        <v>100</v>
      </c>
      <c r="D113" s="3610">
        <f>C113+$K37</f>
        <v>101</v>
      </c>
      <c r="E113" s="3610">
        <f>D113+$K37</f>
        <v>102</v>
      </c>
      <c r="F113" s="3610">
        <f>E113+$K37</f>
        <v>103</v>
      </c>
      <c r="G113" s="3610">
        <f>F113+$K37</f>
        <v>104</v>
      </c>
      <c r="H113" s="3610">
        <f>G113+$K37</f>
        <v>105</v>
      </c>
      <c r="I113" s="3656"/>
      <c r="J113" s="3687"/>
      <c r="K113" s="3687"/>
      <c r="L113" s="3687"/>
      <c r="M113" s="3688"/>
      <c r="N113" s="3624"/>
      <c r="O113" s="3624"/>
      <c r="P113" s="3625"/>
      <c r="Q113" s="3626"/>
      <c r="R113" s="3627"/>
      <c r="S113" s="3627"/>
      <c r="T113" s="3627"/>
      <c r="U113" s="3627"/>
      <c r="V113" s="3627"/>
      <c r="W113" s="3627"/>
      <c r="X113" s="3627"/>
      <c r="Y113" s="3627"/>
      <c r="Z113" s="3627"/>
      <c r="AA113" s="3627"/>
      <c r="AB113" s="3627"/>
      <c r="AC113" s="3627"/>
    </row>
    <row r="114" spans="1:29" ht="15" thickTop="1">
      <c r="A114" s="3678"/>
      <c r="B114" s="3604" t="s">
        <v>753</v>
      </c>
      <c r="C114" s="3658" t="s">
        <v>3450</v>
      </c>
      <c r="D114" s="3620"/>
      <c r="E114" s="3659"/>
      <c r="F114" s="3659"/>
      <c r="G114" s="3659"/>
      <c r="H114" s="3659"/>
      <c r="I114" s="3659"/>
      <c r="J114" s="3659"/>
      <c r="K114" s="3660"/>
      <c r="L114" s="3661"/>
      <c r="M114" s="3662"/>
      <c r="N114" s="3596"/>
      <c r="O114" s="3596"/>
      <c r="P114" s="3597"/>
      <c r="Q114" s="3562"/>
      <c r="R114" s="3529"/>
      <c r="S114" s="3529"/>
      <c r="T114" s="3529"/>
      <c r="U114" s="3529"/>
      <c r="V114" s="3529"/>
      <c r="W114" s="3529"/>
      <c r="X114" s="3529"/>
      <c r="Y114" s="3529"/>
      <c r="Z114" s="3529"/>
      <c r="AA114" s="3529"/>
      <c r="AB114" s="3529"/>
      <c r="AC114" s="3529"/>
    </row>
    <row r="115" spans="1:29" ht="15.75" thickBot="1">
      <c r="A115" s="3598"/>
      <c r="B115" s="3609"/>
      <c r="C115" s="3610">
        <v>100</v>
      </c>
      <c r="D115" s="3610">
        <f t="shared" ref="D115:M115" si="27">C115-$K38</f>
        <v>97</v>
      </c>
      <c r="E115" s="3610">
        <f t="shared" si="27"/>
        <v>94</v>
      </c>
      <c r="F115" s="3610">
        <f t="shared" si="27"/>
        <v>91</v>
      </c>
      <c r="G115" s="3610">
        <f t="shared" si="27"/>
        <v>88</v>
      </c>
      <c r="H115" s="3610">
        <f t="shared" si="27"/>
        <v>85</v>
      </c>
      <c r="I115" s="3610">
        <f t="shared" si="27"/>
        <v>82</v>
      </c>
      <c r="J115" s="3610">
        <f t="shared" si="27"/>
        <v>79</v>
      </c>
      <c r="K115" s="3610">
        <f t="shared" si="27"/>
        <v>76</v>
      </c>
      <c r="L115" s="3610">
        <f t="shared" si="27"/>
        <v>73</v>
      </c>
      <c r="M115" s="3610">
        <f t="shared" si="27"/>
        <v>70</v>
      </c>
      <c r="N115" s="3603"/>
      <c r="O115" s="3603"/>
      <c r="P115" s="3597"/>
      <c r="Q115" s="3562"/>
      <c r="R115" s="3529"/>
      <c r="S115" s="3529"/>
      <c r="T115" s="3529"/>
      <c r="U115" s="3529"/>
      <c r="V115" s="3529"/>
      <c r="W115" s="3529"/>
      <c r="X115" s="3529"/>
      <c r="Y115" s="3529"/>
      <c r="Z115" s="3529"/>
      <c r="AA115" s="3529"/>
      <c r="AB115" s="3529"/>
      <c r="AC115" s="3529"/>
    </row>
    <row r="116" spans="1:29" ht="15" thickTop="1">
      <c r="A116" s="3678"/>
      <c r="B116" s="3648" t="s">
        <v>2555</v>
      </c>
      <c r="C116" s="3658" t="s">
        <v>1984</v>
      </c>
      <c r="D116" s="3658" t="s">
        <v>1983</v>
      </c>
      <c r="E116" s="3658" t="s">
        <v>1982</v>
      </c>
      <c r="F116" s="3620"/>
      <c r="G116" s="3620"/>
      <c r="H116" s="3659"/>
      <c r="I116" s="3659"/>
      <c r="J116" s="3659"/>
      <c r="K116" s="3660"/>
      <c r="L116" s="3661"/>
      <c r="M116" s="3662"/>
      <c r="N116" s="3596"/>
      <c r="O116" s="3596"/>
      <c r="P116" s="3597"/>
      <c r="Q116" s="3562"/>
      <c r="R116" s="3529"/>
      <c r="S116" s="3529"/>
      <c r="T116" s="3529"/>
      <c r="U116" s="3529"/>
      <c r="V116" s="3529"/>
      <c r="W116" s="3529"/>
      <c r="X116" s="3529"/>
      <c r="Y116" s="3529"/>
      <c r="Z116" s="3529"/>
      <c r="AA116" s="3529"/>
      <c r="AB116" s="3529"/>
      <c r="AC116" s="3529"/>
    </row>
    <row r="117" spans="1:29" ht="15.75" thickBot="1">
      <c r="A117" s="3598"/>
      <c r="B117" s="3609"/>
      <c r="C117" s="3610">
        <v>100</v>
      </c>
      <c r="D117" s="3610">
        <f>C117-$K39</f>
        <v>99</v>
      </c>
      <c r="E117" s="3610">
        <f>D117-$K39</f>
        <v>98</v>
      </c>
      <c r="F117" s="3610">
        <f>E117-$K39</f>
        <v>97</v>
      </c>
      <c r="G117" s="3610">
        <f>F117-$K39</f>
        <v>96</v>
      </c>
      <c r="H117" s="3610"/>
      <c r="I117" s="3610"/>
      <c r="J117" s="3610"/>
      <c r="K117" s="3610"/>
      <c r="L117" s="3610"/>
      <c r="M117" s="3611"/>
      <c r="N117" s="3603"/>
      <c r="O117" s="3603"/>
      <c r="P117" s="3597"/>
      <c r="Q117" s="3562"/>
      <c r="R117" s="3529"/>
      <c r="S117" s="3529"/>
      <c r="T117" s="3529"/>
      <c r="U117" s="3529"/>
      <c r="V117" s="3529"/>
      <c r="W117" s="3529"/>
      <c r="X117" s="3529"/>
      <c r="Y117" s="3529"/>
      <c r="Z117" s="3529"/>
      <c r="AA117" s="3529"/>
      <c r="AB117" s="3529"/>
      <c r="AC117" s="3529"/>
    </row>
    <row r="118" spans="1:29" ht="15" thickTop="1">
      <c r="A118" s="3678"/>
      <c r="B118" s="3604" t="s">
        <v>3451</v>
      </c>
      <c r="C118" s="3659"/>
      <c r="D118" s="3659"/>
      <c r="E118" s="3659"/>
      <c r="F118" s="3659"/>
      <c r="G118" s="3659"/>
      <c r="H118" s="3659"/>
      <c r="I118" s="3659"/>
      <c r="J118" s="3659"/>
      <c r="K118" s="3660"/>
      <c r="L118" s="3661"/>
      <c r="M118" s="3662"/>
      <c r="N118" s="3596"/>
      <c r="O118" s="3596"/>
      <c r="P118" s="3597"/>
      <c r="Q118" s="3562"/>
      <c r="R118" s="3529"/>
      <c r="S118" s="3529"/>
      <c r="T118" s="3529"/>
      <c r="U118" s="3529"/>
      <c r="V118" s="3529"/>
      <c r="W118" s="3529"/>
      <c r="X118" s="3529"/>
      <c r="Y118" s="3529"/>
      <c r="Z118" s="3529"/>
      <c r="AA118" s="3529"/>
      <c r="AB118" s="3529"/>
      <c r="AC118" s="3529"/>
    </row>
    <row r="119" spans="1:29" ht="15.75" thickBot="1">
      <c r="A119" s="3598"/>
      <c r="B119" s="3609"/>
      <c r="C119" s="3610">
        <v>100</v>
      </c>
      <c r="D119" s="3610">
        <f t="shared" ref="D119:M119" si="28">C119-$K40</f>
        <v>100</v>
      </c>
      <c r="E119" s="3610">
        <f t="shared" si="28"/>
        <v>100</v>
      </c>
      <c r="F119" s="3610">
        <f t="shared" si="28"/>
        <v>100</v>
      </c>
      <c r="G119" s="3610">
        <f t="shared" si="28"/>
        <v>100</v>
      </c>
      <c r="H119" s="3610">
        <f t="shared" si="28"/>
        <v>100</v>
      </c>
      <c r="I119" s="3610">
        <f t="shared" si="28"/>
        <v>100</v>
      </c>
      <c r="J119" s="3610">
        <f t="shared" si="28"/>
        <v>100</v>
      </c>
      <c r="K119" s="3610">
        <f t="shared" si="28"/>
        <v>100</v>
      </c>
      <c r="L119" s="3610">
        <f t="shared" si="28"/>
        <v>100</v>
      </c>
      <c r="M119" s="3610">
        <f t="shared" si="28"/>
        <v>100</v>
      </c>
      <c r="N119" s="3603"/>
      <c r="O119" s="3603"/>
      <c r="P119" s="3597"/>
      <c r="Q119" s="3562"/>
      <c r="R119" s="3529"/>
      <c r="S119" s="3529"/>
      <c r="T119" s="3529"/>
      <c r="U119" s="3529"/>
      <c r="V119" s="3529"/>
      <c r="W119" s="3529"/>
      <c r="X119" s="3529"/>
      <c r="Y119" s="3529"/>
      <c r="Z119" s="3529"/>
      <c r="AA119" s="3529"/>
      <c r="AB119" s="3529"/>
      <c r="AC119" s="3529"/>
    </row>
    <row r="120" spans="1:29" s="3507" customFormat="1" ht="28.5" thickTop="1">
      <c r="A120" s="3671"/>
      <c r="B120" s="3604" t="s">
        <v>733</v>
      </c>
      <c r="C120" s="3620" t="s">
        <v>3041</v>
      </c>
      <c r="D120" s="3620" t="s">
        <v>3042</v>
      </c>
      <c r="E120" s="3620" t="s">
        <v>3044</v>
      </c>
      <c r="F120" s="3620"/>
      <c r="G120" s="3620"/>
      <c r="H120" s="3620"/>
      <c r="I120" s="3620"/>
      <c r="J120" s="3620"/>
      <c r="K120" s="3620"/>
      <c r="L120" s="3654"/>
      <c r="M120" s="3655"/>
      <c r="N120" s="3624"/>
      <c r="O120" s="3624"/>
      <c r="P120" s="3625"/>
      <c r="Q120" s="3626"/>
      <c r="R120" s="3627"/>
      <c r="S120" s="3627"/>
      <c r="T120" s="3627"/>
      <c r="U120" s="3627"/>
      <c r="V120" s="3627"/>
      <c r="W120" s="3627"/>
      <c r="X120" s="3627"/>
      <c r="Y120" s="3627"/>
      <c r="Z120" s="3627"/>
      <c r="AA120" s="3627"/>
      <c r="AB120" s="3627"/>
      <c r="AC120" s="3627"/>
    </row>
    <row r="121" spans="1:29" s="3507" customFormat="1" ht="15.75" thickBot="1">
      <c r="A121" s="3619"/>
      <c r="B121" s="3599"/>
      <c r="C121" s="3628">
        <v>100</v>
      </c>
      <c r="D121" s="3600">
        <v>98</v>
      </c>
      <c r="E121" s="3600">
        <v>96</v>
      </c>
      <c r="F121" s="3600"/>
      <c r="G121" s="3600"/>
      <c r="H121" s="3600"/>
      <c r="I121" s="3600"/>
      <c r="J121" s="3600"/>
      <c r="K121" s="3600"/>
      <c r="L121" s="3600"/>
      <c r="M121" s="3600"/>
      <c r="N121" s="3624"/>
      <c r="O121" s="3624"/>
      <c r="P121" s="3625"/>
      <c r="Q121" s="3626"/>
      <c r="R121" s="3627"/>
      <c r="S121" s="3627"/>
      <c r="T121" s="3627"/>
      <c r="U121" s="3627"/>
      <c r="V121" s="3627"/>
      <c r="W121" s="3627"/>
      <c r="X121" s="3627"/>
      <c r="Y121" s="3627"/>
      <c r="Z121" s="3627"/>
      <c r="AA121" s="3627"/>
      <c r="AB121" s="3627"/>
      <c r="AC121" s="3627"/>
    </row>
    <row r="122" spans="1:29" ht="15" thickTop="1">
      <c r="A122" s="3678"/>
      <c r="B122" s="3604" t="s">
        <v>755</v>
      </c>
      <c r="C122" s="3658" t="s">
        <v>3452</v>
      </c>
      <c r="D122" s="3620"/>
      <c r="E122" s="3620"/>
      <c r="F122" s="3659"/>
      <c r="G122" s="3659"/>
      <c r="H122" s="3659"/>
      <c r="I122" s="3659"/>
      <c r="J122" s="3659"/>
      <c r="K122" s="3660"/>
      <c r="L122" s="3661"/>
      <c r="M122" s="3662"/>
      <c r="N122" s="3596"/>
      <c r="O122" s="3596"/>
      <c r="P122" s="3597"/>
      <c r="Q122" s="3562"/>
      <c r="R122" s="3529"/>
      <c r="S122" s="3529"/>
      <c r="T122" s="3529"/>
      <c r="U122" s="3529"/>
      <c r="V122" s="3529"/>
      <c r="W122" s="3529"/>
      <c r="X122" s="3529"/>
      <c r="Y122" s="3529"/>
      <c r="Z122" s="3529"/>
      <c r="AA122" s="3529"/>
      <c r="AB122" s="3529"/>
      <c r="AC122" s="3529"/>
    </row>
    <row r="123" spans="1:29" ht="15.75" thickBot="1">
      <c r="A123" s="3598"/>
      <c r="B123" s="3609"/>
      <c r="C123" s="3610">
        <v>100</v>
      </c>
      <c r="D123" s="3610">
        <f t="shared" ref="D123:M123" si="29">C123-$K42</f>
        <v>99</v>
      </c>
      <c r="E123" s="3610">
        <f t="shared" si="29"/>
        <v>98</v>
      </c>
      <c r="F123" s="3610">
        <f t="shared" si="29"/>
        <v>97</v>
      </c>
      <c r="G123" s="3610">
        <f t="shared" si="29"/>
        <v>96</v>
      </c>
      <c r="H123" s="3610">
        <f t="shared" si="29"/>
        <v>95</v>
      </c>
      <c r="I123" s="3610">
        <f t="shared" si="29"/>
        <v>94</v>
      </c>
      <c r="J123" s="3610">
        <f t="shared" si="29"/>
        <v>93</v>
      </c>
      <c r="K123" s="3610">
        <f t="shared" si="29"/>
        <v>92</v>
      </c>
      <c r="L123" s="3610">
        <f t="shared" si="29"/>
        <v>91</v>
      </c>
      <c r="M123" s="3610">
        <f t="shared" si="29"/>
        <v>90</v>
      </c>
      <c r="N123" s="3603"/>
      <c r="O123" s="3603"/>
      <c r="P123" s="3597"/>
      <c r="Q123" s="3562"/>
      <c r="R123" s="3529"/>
      <c r="S123" s="3529"/>
      <c r="T123" s="3529"/>
      <c r="U123" s="3529"/>
      <c r="V123" s="3529"/>
      <c r="W123" s="3529"/>
      <c r="X123" s="3529"/>
      <c r="Y123" s="3529"/>
      <c r="Z123" s="3529"/>
      <c r="AA123" s="3529"/>
      <c r="AB123" s="3529"/>
      <c r="AC123" s="3529"/>
    </row>
    <row r="124" spans="1:29" ht="27.75" thickTop="1">
      <c r="A124" s="3678"/>
      <c r="B124" s="3604" t="s">
        <v>3453</v>
      </c>
      <c r="C124" s="3647" t="s">
        <v>579</v>
      </c>
      <c r="D124" s="3647" t="s">
        <v>580</v>
      </c>
      <c r="E124" s="3647" t="s">
        <v>3454</v>
      </c>
      <c r="F124" s="3647" t="s">
        <v>582</v>
      </c>
      <c r="G124" s="3647" t="s">
        <v>3455</v>
      </c>
      <c r="H124" s="3605"/>
      <c r="I124" s="3605"/>
      <c r="J124" s="3605"/>
      <c r="K124" s="3606"/>
      <c r="L124" s="3607"/>
      <c r="M124" s="3608"/>
      <c r="N124" s="3596"/>
      <c r="O124" s="3596"/>
      <c r="P124" s="3625"/>
      <c r="Q124" s="3562"/>
      <c r="R124" s="3529"/>
      <c r="S124" s="3529"/>
      <c r="T124" s="3529"/>
      <c r="U124" s="3529"/>
      <c r="V124" s="3529"/>
      <c r="W124" s="3529"/>
      <c r="X124" s="3529"/>
      <c r="Y124" s="3529"/>
      <c r="Z124" s="3529"/>
      <c r="AA124" s="3529"/>
      <c r="AB124" s="3529"/>
      <c r="AC124" s="3529"/>
    </row>
    <row r="125" spans="1:29" ht="15.75" thickBot="1">
      <c r="A125" s="3598"/>
      <c r="B125" s="3609"/>
      <c r="C125" s="3610">
        <v>100</v>
      </c>
      <c r="D125" s="3610">
        <f>C125-$K43</f>
        <v>98</v>
      </c>
      <c r="E125" s="3610">
        <f>D125-$K43</f>
        <v>96</v>
      </c>
      <c r="F125" s="3610">
        <f>E125-$K43</f>
        <v>94</v>
      </c>
      <c r="G125" s="3610">
        <f>F125-$K43</f>
        <v>92</v>
      </c>
      <c r="H125" s="3610"/>
      <c r="I125" s="3610"/>
      <c r="J125" s="3610"/>
      <c r="K125" s="3610"/>
      <c r="L125" s="3610"/>
      <c r="M125" s="3611"/>
      <c r="N125" s="3603"/>
      <c r="O125" s="3603"/>
      <c r="P125" s="3597"/>
      <c r="Q125" s="3562"/>
      <c r="R125" s="3529"/>
      <c r="S125" s="3529"/>
      <c r="T125" s="3529"/>
      <c r="U125" s="3529"/>
      <c r="V125" s="3529"/>
      <c r="W125" s="3529"/>
      <c r="X125" s="3529"/>
      <c r="Y125" s="3529"/>
      <c r="Z125" s="3529"/>
      <c r="AA125" s="3529"/>
      <c r="AB125" s="3529"/>
      <c r="AC125" s="3529"/>
    </row>
    <row r="126" spans="1:29" s="3507" customFormat="1" ht="15" thickTop="1">
      <c r="A126" s="3671"/>
      <c r="B126" s="3604">
        <f>B44</f>
        <v>111</v>
      </c>
      <c r="C126" s="3620"/>
      <c r="D126" s="3620"/>
      <c r="E126" s="3620"/>
      <c r="F126" s="3620"/>
      <c r="G126" s="3620"/>
      <c r="H126" s="3621"/>
      <c r="I126" s="3621"/>
      <c r="J126" s="3621"/>
      <c r="K126" s="3621"/>
      <c r="L126" s="3622"/>
      <c r="M126" s="3623"/>
      <c r="N126" s="3624"/>
      <c r="O126" s="3624"/>
      <c r="P126" s="3625"/>
      <c r="Q126" s="3626"/>
      <c r="R126" s="3627"/>
      <c r="S126" s="3627"/>
      <c r="T126" s="3627"/>
      <c r="U126" s="3627"/>
      <c r="V126" s="3627"/>
      <c r="W126" s="3627"/>
      <c r="X126" s="3627"/>
      <c r="Y126" s="3627"/>
      <c r="Z126" s="3627"/>
      <c r="AA126" s="3627"/>
      <c r="AB126" s="3627"/>
      <c r="AC126" s="3627"/>
    </row>
    <row r="127" spans="1:29" s="3507" customFormat="1" ht="15.75" thickBot="1">
      <c r="A127" s="3619"/>
      <c r="B127" s="3609"/>
      <c r="C127" s="3628"/>
      <c r="D127" s="3600"/>
      <c r="E127" s="3600"/>
      <c r="F127" s="3600"/>
      <c r="G127" s="3628"/>
      <c r="H127" s="3631"/>
      <c r="I127" s="3631"/>
      <c r="J127" s="3631"/>
      <c r="K127" s="3631"/>
      <c r="L127" s="3631"/>
      <c r="M127" s="3632"/>
      <c r="N127" s="3624"/>
      <c r="O127" s="3624"/>
      <c r="P127" s="3625"/>
      <c r="Q127" s="3626"/>
      <c r="R127" s="3627"/>
      <c r="S127" s="3627"/>
      <c r="T127" s="3627"/>
      <c r="U127" s="3627"/>
      <c r="V127" s="3627"/>
      <c r="W127" s="3627"/>
      <c r="X127" s="3627"/>
      <c r="Y127" s="3627"/>
      <c r="Z127" s="3627"/>
      <c r="AA127" s="3627"/>
      <c r="AB127" s="3627"/>
      <c r="AC127" s="3627"/>
    </row>
    <row r="128" spans="1:29" ht="15" thickTop="1">
      <c r="A128" s="3678"/>
      <c r="B128" s="3604">
        <f>B45</f>
        <v>111</v>
      </c>
      <c r="C128" s="3620"/>
      <c r="D128" s="3620"/>
      <c r="E128" s="3620"/>
      <c r="F128" s="3620"/>
      <c r="G128" s="3659"/>
      <c r="H128" s="3659"/>
      <c r="I128" s="3659"/>
      <c r="J128" s="3659"/>
      <c r="K128" s="3660"/>
      <c r="L128" s="3661"/>
      <c r="M128" s="3662"/>
      <c r="N128" s="3596"/>
      <c r="O128" s="3596"/>
      <c r="P128" s="3597"/>
      <c r="Q128" s="3562"/>
      <c r="R128" s="3529"/>
      <c r="S128" s="3529"/>
      <c r="T128" s="3529"/>
      <c r="U128" s="3529"/>
      <c r="V128" s="3529"/>
      <c r="W128" s="3529"/>
      <c r="X128" s="3529"/>
      <c r="Y128" s="3529"/>
      <c r="Z128" s="3529"/>
      <c r="AA128" s="3529"/>
      <c r="AB128" s="3529"/>
      <c r="AC128" s="3529"/>
    </row>
    <row r="129" spans="1:29" ht="15.75" thickBot="1">
      <c r="A129" s="3598"/>
      <c r="B129" s="3609"/>
      <c r="C129" s="3628"/>
      <c r="D129" s="3628"/>
      <c r="E129" s="3628"/>
      <c r="F129" s="3628"/>
      <c r="G129" s="3600"/>
      <c r="H129" s="3600"/>
      <c r="I129" s="3600"/>
      <c r="J129" s="3600"/>
      <c r="K129" s="3600"/>
      <c r="L129" s="3600"/>
      <c r="M129" s="3629"/>
      <c r="N129" s="3603"/>
      <c r="O129" s="3603"/>
      <c r="P129" s="3597"/>
      <c r="Q129" s="3562"/>
      <c r="R129" s="3529"/>
      <c r="S129" s="3529"/>
      <c r="T129" s="3529"/>
      <c r="U129" s="3529"/>
      <c r="V129" s="3529"/>
      <c r="W129" s="3529"/>
      <c r="X129" s="3529"/>
      <c r="Y129" s="3529"/>
      <c r="Z129" s="3529"/>
      <c r="AA129" s="3529"/>
      <c r="AB129" s="3529"/>
      <c r="AC129" s="3529"/>
    </row>
    <row r="130" spans="1:29" ht="15" thickTop="1">
      <c r="A130" s="3678"/>
      <c r="B130" s="3612">
        <f>B46</f>
        <v>111</v>
      </c>
      <c r="C130" s="3620"/>
      <c r="D130" s="3620"/>
      <c r="E130" s="3620"/>
      <c r="F130" s="3620"/>
      <c r="G130" s="3663"/>
      <c r="H130" s="3663"/>
      <c r="I130" s="3663"/>
      <c r="J130" s="3663"/>
      <c r="K130" s="3582"/>
      <c r="L130" s="3583"/>
      <c r="M130" s="3666"/>
      <c r="N130" s="3596"/>
      <c r="O130" s="3596"/>
      <c r="P130" s="3597"/>
      <c r="Q130" s="3562"/>
      <c r="R130" s="3529"/>
      <c r="S130" s="3529"/>
      <c r="T130" s="3529"/>
      <c r="U130" s="3529"/>
      <c r="V130" s="3529"/>
      <c r="W130" s="3529"/>
      <c r="X130" s="3529"/>
      <c r="Y130" s="3529"/>
      <c r="Z130" s="3529"/>
      <c r="AA130" s="3529"/>
      <c r="AB130" s="3529"/>
      <c r="AC130" s="3529"/>
    </row>
    <row r="131" spans="1:29" ht="15.75" thickBot="1">
      <c r="A131" s="3667"/>
      <c r="B131" s="3638"/>
      <c r="C131" s="3639"/>
      <c r="D131" s="3639"/>
      <c r="E131" s="3639"/>
      <c r="F131" s="3639"/>
      <c r="G131" s="3668"/>
      <c r="H131" s="3668"/>
      <c r="I131" s="3668"/>
      <c r="J131" s="3668"/>
      <c r="K131" s="3668"/>
      <c r="L131" s="3668"/>
      <c r="M131" s="3669"/>
      <c r="N131" s="3603"/>
      <c r="O131" s="3603"/>
      <c r="P131" s="3597"/>
      <c r="Q131" s="3562"/>
      <c r="R131" s="3529"/>
      <c r="S131" s="3529"/>
      <c r="T131" s="3529"/>
      <c r="U131" s="3529"/>
      <c r="V131" s="3529"/>
      <c r="W131" s="3529"/>
      <c r="X131" s="3529"/>
      <c r="Y131" s="3529"/>
      <c r="Z131" s="3529"/>
      <c r="AA131" s="3529"/>
      <c r="AB131" s="3529"/>
      <c r="AC131" s="3529"/>
    </row>
    <row r="132" spans="1:29">
      <c r="A132" s="3689"/>
      <c r="B132" s="3689"/>
      <c r="C132" s="3689"/>
      <c r="D132" s="3689"/>
      <c r="E132" s="3689"/>
      <c r="F132" s="3689"/>
      <c r="G132" s="3689"/>
      <c r="H132" s="3689"/>
      <c r="I132" s="3689"/>
      <c r="J132" s="3689"/>
      <c r="K132" s="3690"/>
      <c r="L132" s="3691"/>
      <c r="M132" s="3689"/>
      <c r="N132" s="3689"/>
      <c r="O132" s="3689"/>
      <c r="P132" s="3689"/>
      <c r="Q132" s="3689"/>
      <c r="R132" s="3689"/>
      <c r="S132" s="3689"/>
      <c r="T132" s="3689"/>
      <c r="U132" s="3689"/>
      <c r="V132" s="3689"/>
      <c r="W132" s="3689"/>
      <c r="X132" s="3689"/>
      <c r="Y132" s="3689"/>
      <c r="Z132" s="3689"/>
      <c r="AA132" s="3689"/>
      <c r="AB132" s="3689"/>
      <c r="AC132" s="3689"/>
    </row>
    <row r="133" spans="1:29">
      <c r="A133" s="3689"/>
      <c r="B133" s="3689"/>
      <c r="C133" s="3689"/>
      <c r="D133" s="3689"/>
      <c r="E133" s="3689"/>
      <c r="F133" s="3689"/>
      <c r="G133" s="3689"/>
      <c r="H133" s="3689"/>
      <c r="I133" s="3689"/>
      <c r="J133" s="3689"/>
      <c r="K133" s="3690"/>
      <c r="L133" s="3691"/>
      <c r="M133" s="3689"/>
      <c r="N133" s="3689"/>
      <c r="O133" s="3689"/>
      <c r="P133" s="3689"/>
      <c r="Q133" s="3689"/>
      <c r="R133" s="3689"/>
      <c r="S133" s="3689"/>
      <c r="T133" s="3689"/>
      <c r="U133" s="3689"/>
      <c r="V133" s="3689"/>
      <c r="W133" s="3689"/>
      <c r="X133" s="3689"/>
      <c r="Y133" s="3689"/>
      <c r="Z133" s="3689"/>
      <c r="AA133" s="3689"/>
      <c r="AB133" s="3689"/>
      <c r="AC133" s="3689"/>
    </row>
    <row r="134" spans="1:29">
      <c r="A134" s="3689"/>
      <c r="B134" s="3689"/>
      <c r="C134" s="3689"/>
      <c r="D134" s="3689"/>
      <c r="E134" s="3689"/>
      <c r="F134" s="3689"/>
      <c r="G134" s="3689"/>
      <c r="H134" s="3689"/>
      <c r="I134" s="3689"/>
      <c r="J134" s="3689"/>
      <c r="K134" s="3690"/>
      <c r="L134" s="3691"/>
      <c r="M134" s="3689"/>
      <c r="N134" s="3689"/>
      <c r="O134" s="3689"/>
      <c r="P134" s="3689"/>
      <c r="Q134" s="3689"/>
      <c r="R134" s="3689"/>
      <c r="S134" s="3689"/>
      <c r="T134" s="3689"/>
      <c r="U134" s="3689"/>
      <c r="V134" s="3689"/>
      <c r="W134" s="3689"/>
      <c r="X134" s="3689"/>
      <c r="Y134" s="3689"/>
      <c r="Z134" s="3689"/>
      <c r="AA134" s="3689"/>
      <c r="AB134" s="3689"/>
      <c r="AC134" s="3689"/>
    </row>
    <row r="135" spans="1:29">
      <c r="A135" s="3689"/>
      <c r="B135" s="3689"/>
      <c r="C135" s="3689"/>
      <c r="D135" s="3689"/>
      <c r="E135" s="3689"/>
      <c r="F135" s="3689"/>
      <c r="G135" s="3689"/>
      <c r="H135" s="3689"/>
      <c r="I135" s="3689"/>
      <c r="J135" s="3689"/>
      <c r="K135" s="3690"/>
      <c r="L135" s="3691"/>
      <c r="M135" s="3689"/>
      <c r="N135" s="3689"/>
      <c r="O135" s="3689"/>
      <c r="P135" s="3689"/>
      <c r="Q135" s="3689"/>
      <c r="R135" s="3689"/>
      <c r="S135" s="3689"/>
      <c r="T135" s="3689"/>
      <c r="U135" s="3689"/>
      <c r="V135" s="3689"/>
      <c r="W135" s="3689"/>
      <c r="X135" s="3689"/>
      <c r="Y135" s="3689"/>
      <c r="Z135" s="3689"/>
      <c r="AA135" s="3689"/>
      <c r="AB135" s="3689"/>
      <c r="AC135" s="3689"/>
    </row>
    <row r="136" spans="1:29" ht="15" thickBot="1">
      <c r="A136" s="3689"/>
      <c r="B136" s="3692" t="s">
        <v>2258</v>
      </c>
      <c r="C136" s="3693"/>
      <c r="D136" s="3693"/>
      <c r="E136" s="3693"/>
      <c r="F136" s="3693"/>
      <c r="G136" s="3693"/>
      <c r="H136" s="3693"/>
      <c r="I136" s="3693"/>
      <c r="J136" s="3693"/>
      <c r="K136" s="3694"/>
      <c r="L136" s="3691"/>
      <c r="M136" s="3689"/>
      <c r="N136" s="3689"/>
      <c r="O136" s="3689"/>
      <c r="P136" s="3689"/>
      <c r="Q136" s="3689"/>
      <c r="R136" s="3689"/>
      <c r="S136" s="3689"/>
      <c r="T136" s="3689"/>
      <c r="U136" s="3689"/>
      <c r="V136" s="3689"/>
      <c r="W136" s="3689"/>
      <c r="X136" s="3689"/>
      <c r="Y136" s="3689"/>
      <c r="Z136" s="3689"/>
      <c r="AA136" s="3689"/>
      <c r="AB136" s="3689"/>
      <c r="AC136" s="3689"/>
    </row>
    <row r="137" spans="1:29">
      <c r="A137" s="3689"/>
      <c r="B137" s="3695" t="s">
        <v>2259</v>
      </c>
      <c r="C137" s="3696"/>
      <c r="D137" s="3696"/>
      <c r="E137" s="3696"/>
      <c r="F137" s="3696"/>
      <c r="G137" s="3697"/>
      <c r="H137" s="3698"/>
      <c r="I137" s="3699" t="s">
        <v>2260</v>
      </c>
      <c r="J137" s="3696"/>
      <c r="K137" s="3700"/>
      <c r="L137" s="3691"/>
      <c r="M137" s="3689"/>
      <c r="N137" s="3689"/>
      <c r="O137" s="3689"/>
      <c r="P137" s="3689"/>
      <c r="Q137" s="3689"/>
      <c r="R137" s="3689"/>
      <c r="S137" s="3689"/>
      <c r="T137" s="3689"/>
      <c r="U137" s="3689"/>
      <c r="V137" s="3689"/>
      <c r="W137" s="3689"/>
      <c r="X137" s="3689"/>
      <c r="Y137" s="3689"/>
      <c r="Z137" s="3689"/>
      <c r="AA137" s="3689"/>
      <c r="AB137" s="3689"/>
      <c r="AC137" s="3689"/>
    </row>
    <row r="138" spans="1:29">
      <c r="A138" s="3689"/>
      <c r="B138" s="3701"/>
      <c r="C138" s="3702" t="s">
        <v>2261</v>
      </c>
      <c r="D138" s="3702" t="s">
        <v>2262</v>
      </c>
      <c r="E138" s="3703" t="s">
        <v>2263</v>
      </c>
      <c r="F138" s="3704" t="s">
        <v>2264</v>
      </c>
      <c r="G138" s="3702" t="s">
        <v>2262</v>
      </c>
      <c r="H138" s="3705" t="s">
        <v>2263</v>
      </c>
      <c r="I138" s="3706"/>
      <c r="J138" s="3702" t="s">
        <v>2267</v>
      </c>
      <c r="K138" s="3705" t="s">
        <v>2268</v>
      </c>
      <c r="L138" s="3691"/>
      <c r="M138" s="3689"/>
      <c r="N138" s="3689"/>
      <c r="O138" s="3689"/>
      <c r="P138" s="3689"/>
      <c r="Q138" s="3689"/>
      <c r="R138" s="3689"/>
      <c r="S138" s="3689"/>
      <c r="T138" s="3689"/>
      <c r="U138" s="3689"/>
      <c r="V138" s="3689"/>
      <c r="W138" s="3689"/>
      <c r="X138" s="3689"/>
      <c r="Y138" s="3689"/>
      <c r="Z138" s="3689"/>
      <c r="AA138" s="3689"/>
      <c r="AB138" s="3689"/>
      <c r="AC138" s="3689"/>
    </row>
    <row r="139" spans="1:29" ht="15">
      <c r="A139" s="3689"/>
      <c r="B139" s="3707">
        <v>6</v>
      </c>
      <c r="C139" s="3708">
        <v>96</v>
      </c>
      <c r="D139" s="3709" t="s">
        <v>2269</v>
      </c>
      <c r="E139" s="3710">
        <v>100</v>
      </c>
      <c r="F139" s="3711">
        <v>102.5</v>
      </c>
      <c r="G139" s="3709" t="s">
        <v>2269</v>
      </c>
      <c r="H139" s="3712">
        <v>105</v>
      </c>
      <c r="I139" s="3713" t="s">
        <v>2271</v>
      </c>
      <c r="J139" s="3708">
        <v>20</v>
      </c>
      <c r="K139" s="3714">
        <f>C145/(J139-2)</f>
        <v>4.0555555555555553E-3</v>
      </c>
      <c r="L139" s="3691"/>
      <c r="M139" s="3689"/>
      <c r="N139" s="3689"/>
      <c r="O139" s="3689"/>
      <c r="P139" s="3689"/>
      <c r="Q139" s="3689"/>
      <c r="R139" s="3689"/>
      <c r="S139" s="3689"/>
      <c r="T139" s="3689"/>
      <c r="U139" s="3689"/>
      <c r="V139" s="3689"/>
      <c r="W139" s="3689"/>
      <c r="X139" s="3689"/>
      <c r="Y139" s="3689"/>
      <c r="Z139" s="3689"/>
      <c r="AA139" s="3689"/>
      <c r="AB139" s="3689"/>
      <c r="AC139" s="3689"/>
    </row>
    <row r="140" spans="1:29" ht="15">
      <c r="A140" s="3689"/>
      <c r="B140" s="3715">
        <v>5</v>
      </c>
      <c r="C140" s="3716">
        <v>100</v>
      </c>
      <c r="D140" s="3717"/>
      <c r="E140" s="3718"/>
      <c r="F140" s="3719">
        <v>102</v>
      </c>
      <c r="G140" s="3717"/>
      <c r="H140" s="3720"/>
      <c r="I140" s="3721" t="s">
        <v>2272</v>
      </c>
      <c r="J140" s="3722">
        <f>ROUNDUP((J139-1)/2,0)</f>
        <v>10</v>
      </c>
      <c r="K140" s="3723">
        <v>100</v>
      </c>
      <c r="L140" s="3691"/>
      <c r="M140" s="3689"/>
      <c r="N140" s="3689"/>
      <c r="O140" s="3689"/>
      <c r="P140" s="3689"/>
      <c r="Q140" s="3689"/>
      <c r="R140" s="3689"/>
      <c r="S140" s="3689"/>
      <c r="T140" s="3689"/>
      <c r="U140" s="3689"/>
      <c r="V140" s="3689"/>
      <c r="W140" s="3689"/>
      <c r="X140" s="3689"/>
      <c r="Y140" s="3689"/>
      <c r="Z140" s="3689"/>
      <c r="AA140" s="3689"/>
      <c r="AB140" s="3689"/>
      <c r="AC140" s="3689"/>
    </row>
    <row r="141" spans="1:29" ht="15">
      <c r="A141" s="3689"/>
      <c r="B141" s="3715">
        <v>4</v>
      </c>
      <c r="C141" s="3716">
        <v>102</v>
      </c>
      <c r="D141" s="3717"/>
      <c r="E141" s="3718"/>
      <c r="F141" s="3719">
        <v>101.5</v>
      </c>
      <c r="G141" s="3717"/>
      <c r="H141" s="3720"/>
      <c r="I141" s="3721" t="s">
        <v>2273</v>
      </c>
      <c r="J141" s="3722">
        <v>1</v>
      </c>
      <c r="K141" s="3724">
        <f>ROUND(100+(J141-J140)*K139*100,1)</f>
        <v>96.4</v>
      </c>
      <c r="L141" s="3691"/>
      <c r="M141" s="3689"/>
      <c r="N141" s="3689"/>
      <c r="O141" s="3689"/>
      <c r="P141" s="3689"/>
      <c r="Q141" s="3689"/>
      <c r="R141" s="3689"/>
      <c r="S141" s="3689"/>
      <c r="T141" s="3689"/>
      <c r="U141" s="3689"/>
      <c r="V141" s="3689"/>
      <c r="W141" s="3689"/>
      <c r="X141" s="3689"/>
      <c r="Y141" s="3689"/>
      <c r="Z141" s="3689"/>
      <c r="AA141" s="3689"/>
      <c r="AB141" s="3689"/>
      <c r="AC141" s="3689"/>
    </row>
    <row r="142" spans="1:29" ht="15">
      <c r="A142" s="3689"/>
      <c r="B142" s="3715">
        <v>3</v>
      </c>
      <c r="C142" s="3716">
        <v>103</v>
      </c>
      <c r="D142" s="3717"/>
      <c r="E142" s="3718"/>
      <c r="F142" s="3719">
        <v>101</v>
      </c>
      <c r="G142" s="3717"/>
      <c r="H142" s="3720"/>
      <c r="I142" s="3721" t="s">
        <v>2274</v>
      </c>
      <c r="J142" s="3722">
        <f>J139</f>
        <v>20</v>
      </c>
      <c r="K142" s="3725">
        <v>95</v>
      </c>
      <c r="L142" s="3691"/>
      <c r="M142" s="3689"/>
      <c r="N142" s="3689"/>
      <c r="O142" s="3689"/>
      <c r="P142" s="3689"/>
      <c r="Q142" s="3689"/>
      <c r="R142" s="3689"/>
      <c r="S142" s="3689"/>
      <c r="T142" s="3689"/>
      <c r="U142" s="3689"/>
      <c r="V142" s="3689"/>
      <c r="W142" s="3689"/>
      <c r="X142" s="3689"/>
      <c r="Y142" s="3689"/>
      <c r="Z142" s="3689"/>
      <c r="AA142" s="3689"/>
      <c r="AB142" s="3689"/>
      <c r="AC142" s="3689"/>
    </row>
    <row r="143" spans="1:29" ht="15">
      <c r="A143" s="3689"/>
      <c r="B143" s="3715">
        <v>2</v>
      </c>
      <c r="C143" s="3716">
        <v>100</v>
      </c>
      <c r="D143" s="3717"/>
      <c r="E143" s="3718"/>
      <c r="F143" s="3719">
        <v>100.5</v>
      </c>
      <c r="G143" s="3717"/>
      <c r="H143" s="3720"/>
      <c r="I143" s="3721" t="s">
        <v>3456</v>
      </c>
      <c r="J143" s="3716">
        <v>15</v>
      </c>
      <c r="K143" s="3724">
        <f>ROUND(100+(J143-J140)*K139*100,1)</f>
        <v>102</v>
      </c>
      <c r="L143" s="3691"/>
      <c r="M143" s="3689"/>
      <c r="N143" s="3689"/>
      <c r="O143" s="3689"/>
      <c r="P143" s="3689"/>
      <c r="Q143" s="3689"/>
      <c r="R143" s="3689"/>
      <c r="S143" s="3689"/>
      <c r="T143" s="3689"/>
      <c r="U143" s="3689"/>
      <c r="V143" s="3689"/>
      <c r="W143" s="3689"/>
      <c r="X143" s="3689"/>
      <c r="Y143" s="3689"/>
      <c r="Z143" s="3689"/>
      <c r="AA143" s="3689"/>
      <c r="AB143" s="3689"/>
      <c r="AC143" s="3689"/>
    </row>
    <row r="144" spans="1:29" ht="15">
      <c r="A144" s="3689"/>
      <c r="B144" s="3715">
        <v>1</v>
      </c>
      <c r="C144" s="3716">
        <v>98</v>
      </c>
      <c r="D144" s="3726" t="s">
        <v>2276</v>
      </c>
      <c r="E144" s="3718">
        <v>102</v>
      </c>
      <c r="F144" s="3727">
        <v>100</v>
      </c>
      <c r="G144" s="3726" t="s">
        <v>2276</v>
      </c>
      <c r="H144" s="3720">
        <v>105</v>
      </c>
      <c r="I144" s="3721" t="s">
        <v>2275</v>
      </c>
      <c r="J144" s="3716">
        <v>18</v>
      </c>
      <c r="K144" s="3724">
        <f>ROUND(100+(J144-J140)*K139*100,1)</f>
        <v>103.2</v>
      </c>
      <c r="L144" s="3691"/>
      <c r="M144" s="3689"/>
      <c r="N144" s="3689"/>
      <c r="O144" s="3689"/>
      <c r="P144" s="3689"/>
      <c r="Q144" s="3689"/>
      <c r="R144" s="3689"/>
      <c r="S144" s="3689"/>
      <c r="T144" s="3689"/>
      <c r="U144" s="3689"/>
      <c r="V144" s="3689"/>
      <c r="W144" s="3689"/>
      <c r="X144" s="3689"/>
      <c r="Y144" s="3689"/>
      <c r="Z144" s="3689"/>
      <c r="AA144" s="3689"/>
      <c r="AB144" s="3689"/>
      <c r="AC144" s="3689"/>
    </row>
    <row r="145" spans="1:29" ht="15.75" thickBot="1">
      <c r="A145" s="3689"/>
      <c r="B145" s="3728" t="s">
        <v>2277</v>
      </c>
      <c r="C145" s="3729">
        <f>ROUND(MAX(C139:C144)/MIN(C139:C144)-1,3)</f>
        <v>7.2999999999999995E-2</v>
      </c>
      <c r="D145" s="3730"/>
      <c r="E145" s="3730"/>
      <c r="F145" s="3731" t="s">
        <v>2278</v>
      </c>
      <c r="G145" s="3732"/>
      <c r="H145" s="3733"/>
      <c r="I145" s="3734" t="s">
        <v>2275</v>
      </c>
      <c r="J145" s="3735">
        <v>8</v>
      </c>
      <c r="K145" s="3736">
        <f>ROUND(100+(J145-J140)*K139*100,1)</f>
        <v>99.2</v>
      </c>
      <c r="L145" s="3691"/>
      <c r="M145" s="3689"/>
      <c r="N145" s="3689"/>
      <c r="O145" s="3689"/>
      <c r="P145" s="3689"/>
      <c r="Q145" s="3689"/>
      <c r="R145" s="3689"/>
      <c r="S145" s="3689"/>
      <c r="T145" s="3689"/>
      <c r="U145" s="3689"/>
      <c r="V145" s="3689"/>
      <c r="W145" s="3689"/>
      <c r="X145" s="3689"/>
      <c r="Y145" s="3689"/>
      <c r="Z145" s="3689"/>
      <c r="AA145" s="3689"/>
      <c r="AB145" s="3689"/>
      <c r="AC145" s="3689"/>
    </row>
    <row r="146" spans="1:29">
      <c r="A146" s="3689"/>
      <c r="B146" s="3689"/>
      <c r="C146" s="3689"/>
      <c r="D146" s="3689"/>
      <c r="E146" s="3689"/>
      <c r="F146" s="3689"/>
      <c r="G146" s="3689"/>
      <c r="H146" s="3689"/>
      <c r="I146" s="3689"/>
      <c r="J146" s="3689"/>
      <c r="K146" s="3690"/>
      <c r="L146" s="3691"/>
      <c r="M146" s="3689"/>
      <c r="N146" s="3689"/>
      <c r="O146" s="3689"/>
      <c r="P146" s="3689"/>
      <c r="Q146" s="3689"/>
      <c r="R146" s="3689"/>
      <c r="S146" s="3689"/>
      <c r="T146" s="3689"/>
      <c r="U146" s="3689"/>
      <c r="V146" s="3689"/>
      <c r="W146" s="3689"/>
      <c r="X146" s="3689"/>
      <c r="Y146" s="3689"/>
      <c r="Z146" s="3689"/>
      <c r="AA146" s="3689"/>
      <c r="AB146" s="3689"/>
      <c r="AC146" s="3689"/>
    </row>
    <row r="147" spans="1:29">
      <c r="A147" s="3689"/>
      <c r="B147" s="3737" t="s">
        <v>2287</v>
      </c>
      <c r="L147" s="3691"/>
      <c r="M147" s="3689"/>
      <c r="N147" s="3689"/>
      <c r="O147" s="3689"/>
      <c r="P147" s="3689"/>
      <c r="Q147" s="3689"/>
      <c r="R147" s="3689"/>
      <c r="S147" s="3689"/>
      <c r="T147" s="3689"/>
      <c r="U147" s="3689"/>
      <c r="V147" s="3689"/>
      <c r="W147" s="3689"/>
      <c r="X147" s="3689"/>
      <c r="Y147" s="3689"/>
      <c r="Z147" s="3689"/>
      <c r="AA147" s="3689"/>
      <c r="AB147" s="3689"/>
      <c r="AC147" s="3689"/>
    </row>
    <row r="148" spans="1:29">
      <c r="A148" s="3689"/>
      <c r="B148" s="3737" t="s">
        <v>2288</v>
      </c>
      <c r="L148" s="3691"/>
      <c r="M148" s="3689"/>
      <c r="N148" s="3689"/>
      <c r="O148" s="3689"/>
      <c r="P148" s="3689"/>
      <c r="Q148" s="3689"/>
      <c r="R148" s="3689"/>
      <c r="S148" s="3689"/>
      <c r="T148" s="3689"/>
      <c r="U148" s="3689"/>
      <c r="V148" s="3689"/>
      <c r="W148" s="3689"/>
      <c r="X148" s="3689"/>
      <c r="Y148" s="3689"/>
      <c r="Z148" s="3689"/>
      <c r="AA148" s="3689"/>
      <c r="AB148" s="3689"/>
      <c r="AC148" s="3689"/>
    </row>
    <row r="149" spans="1:29">
      <c r="A149" s="3689"/>
      <c r="B149" s="3689"/>
      <c r="C149" s="3689"/>
      <c r="D149" s="3689"/>
      <c r="E149" s="3689"/>
      <c r="F149" s="3689"/>
      <c r="G149" s="3689"/>
      <c r="H149" s="3689"/>
      <c r="I149" s="3689"/>
      <c r="J149" s="3689"/>
      <c r="K149" s="3690"/>
      <c r="L149" s="3691"/>
      <c r="M149" s="3689"/>
      <c r="N149" s="3689"/>
      <c r="O149" s="3689"/>
      <c r="P149" s="3689"/>
      <c r="Q149" s="3689"/>
      <c r="R149" s="3689"/>
      <c r="S149" s="3689"/>
      <c r="T149" s="3689"/>
      <c r="U149" s="3689"/>
      <c r="V149" s="3689"/>
      <c r="W149" s="3689"/>
      <c r="X149" s="3689"/>
      <c r="Y149" s="3689"/>
      <c r="Z149" s="3689"/>
      <c r="AA149" s="3689"/>
      <c r="AB149" s="3689"/>
      <c r="AC149" s="3689"/>
    </row>
    <row r="150" spans="1:29">
      <c r="A150" s="3689"/>
      <c r="B150" s="3689"/>
      <c r="C150" s="3689"/>
      <c r="D150" s="3689"/>
      <c r="E150" s="3689"/>
      <c r="F150" s="3689"/>
      <c r="G150" s="3689"/>
      <c r="H150" s="3689"/>
      <c r="I150" s="3689"/>
      <c r="J150" s="3689"/>
      <c r="K150" s="3690"/>
      <c r="L150" s="3691"/>
      <c r="M150" s="3689"/>
      <c r="N150" s="3689"/>
      <c r="O150" s="3689"/>
      <c r="P150" s="3689"/>
      <c r="Q150" s="3689"/>
      <c r="R150" s="3689"/>
      <c r="S150" s="3689"/>
      <c r="T150" s="3689"/>
      <c r="U150" s="3689"/>
      <c r="V150" s="3689"/>
      <c r="W150" s="3689"/>
      <c r="X150" s="3689"/>
      <c r="Y150" s="3689"/>
      <c r="Z150" s="3689"/>
      <c r="AA150" s="3689"/>
      <c r="AB150" s="3689"/>
      <c r="AC150" s="3689"/>
    </row>
    <row r="151" spans="1:29">
      <c r="A151" s="3689"/>
      <c r="B151" s="3689"/>
      <c r="C151" s="3689"/>
      <c r="D151" s="3689"/>
      <c r="E151" s="3689"/>
      <c r="F151" s="3689"/>
      <c r="G151" s="3689"/>
      <c r="H151" s="3689"/>
      <c r="I151" s="3689"/>
      <c r="J151" s="3689"/>
      <c r="K151" s="3690"/>
      <c r="L151" s="3691"/>
      <c r="M151" s="3689"/>
      <c r="N151" s="3689"/>
      <c r="O151" s="3689"/>
      <c r="P151" s="3689"/>
      <c r="Q151" s="3689"/>
      <c r="R151" s="3689"/>
      <c r="S151" s="3689"/>
      <c r="T151" s="3689"/>
      <c r="U151" s="3689"/>
      <c r="V151" s="3689"/>
      <c r="W151" s="3689"/>
      <c r="X151" s="3689"/>
      <c r="Y151" s="3689"/>
      <c r="Z151" s="3689"/>
      <c r="AA151" s="3689"/>
      <c r="AB151" s="3689"/>
      <c r="AC151" s="3689"/>
    </row>
    <row r="152" spans="1:29">
      <c r="A152" s="3689"/>
      <c r="B152" s="3689"/>
      <c r="C152" s="3689"/>
      <c r="D152" s="3689"/>
      <c r="E152" s="3689"/>
      <c r="F152" s="3689"/>
      <c r="G152" s="3689"/>
      <c r="H152" s="3689"/>
      <c r="I152" s="3689"/>
      <c r="J152" s="3689"/>
      <c r="K152" s="3690"/>
      <c r="L152" s="3691"/>
      <c r="M152" s="3689"/>
      <c r="N152" s="3689"/>
      <c r="O152" s="3689"/>
      <c r="P152" s="3689"/>
      <c r="Q152" s="3689"/>
      <c r="R152" s="3689"/>
      <c r="S152" s="3689"/>
      <c r="T152" s="3689"/>
      <c r="U152" s="3689"/>
      <c r="V152" s="3689"/>
      <c r="W152" s="3689"/>
      <c r="X152" s="3689"/>
      <c r="Y152" s="3689"/>
      <c r="Z152" s="3689"/>
      <c r="AA152" s="3689"/>
      <c r="AB152" s="3689"/>
      <c r="AC152" s="3689"/>
    </row>
    <row r="153" spans="1:29">
      <c r="A153" s="3689"/>
      <c r="B153" s="3689"/>
      <c r="C153" s="3689"/>
      <c r="D153" s="3689"/>
      <c r="E153" s="3689"/>
      <c r="F153" s="3689"/>
      <c r="G153" s="3689"/>
      <c r="H153" s="3689"/>
      <c r="I153" s="3689"/>
      <c r="J153" s="3689"/>
      <c r="K153" s="3690"/>
      <c r="L153" s="3691"/>
      <c r="M153" s="3689"/>
      <c r="N153" s="3689"/>
      <c r="O153" s="3689"/>
      <c r="P153" s="3689"/>
      <c r="Q153" s="3689"/>
      <c r="R153" s="3689"/>
      <c r="S153" s="3689"/>
      <c r="T153" s="3689"/>
      <c r="U153" s="3689"/>
      <c r="V153" s="3689"/>
      <c r="W153" s="3689"/>
      <c r="X153" s="3689"/>
      <c r="Y153" s="3689"/>
      <c r="Z153" s="3689"/>
      <c r="AA153" s="3689"/>
      <c r="AB153" s="3689"/>
      <c r="AC153" s="3689"/>
    </row>
    <row r="154" spans="1:29">
      <c r="A154" s="3689"/>
      <c r="B154" s="3689"/>
      <c r="C154" s="3689"/>
      <c r="D154" s="3689"/>
      <c r="E154" s="3689"/>
      <c r="F154" s="3689"/>
      <c r="G154" s="3689"/>
      <c r="H154" s="3689"/>
      <c r="I154" s="3689"/>
      <c r="J154" s="3689"/>
      <c r="K154" s="3690"/>
      <c r="L154" s="3691"/>
      <c r="M154" s="3689"/>
      <c r="N154" s="3689"/>
      <c r="O154" s="3689"/>
      <c r="P154" s="3689"/>
      <c r="Q154" s="3689"/>
      <c r="R154" s="3689"/>
      <c r="S154" s="3689"/>
      <c r="T154" s="3689"/>
      <c r="U154" s="3689"/>
      <c r="V154" s="3689"/>
      <c r="W154" s="3689"/>
      <c r="X154" s="3689"/>
      <c r="Y154" s="3689"/>
      <c r="Z154" s="3689"/>
      <c r="AA154" s="3689"/>
      <c r="AB154" s="3689"/>
      <c r="AC154" s="3689"/>
    </row>
    <row r="155" spans="1:29">
      <c r="A155" s="3689"/>
      <c r="B155" s="3689"/>
      <c r="C155" s="3689"/>
      <c r="D155" s="3689"/>
      <c r="E155" s="3689"/>
      <c r="F155" s="3689"/>
      <c r="G155" s="3689"/>
      <c r="H155" s="3689"/>
      <c r="I155" s="3689"/>
      <c r="J155" s="3689"/>
      <c r="K155" s="3690"/>
      <c r="L155" s="3691"/>
      <c r="M155" s="3689"/>
      <c r="N155" s="3689"/>
      <c r="O155" s="3689"/>
      <c r="P155" s="3689"/>
      <c r="Q155" s="3689"/>
      <c r="R155" s="3689"/>
      <c r="S155" s="3689"/>
      <c r="T155" s="3689"/>
      <c r="U155" s="3689"/>
      <c r="V155" s="3689"/>
      <c r="W155" s="3689"/>
      <c r="X155" s="3689"/>
      <c r="Y155" s="3689"/>
      <c r="Z155" s="3689"/>
      <c r="AA155" s="3689"/>
      <c r="AB155" s="3689"/>
      <c r="AC155" s="3689"/>
    </row>
    <row r="156" spans="1:29">
      <c r="A156" s="3689"/>
      <c r="B156" s="3689"/>
      <c r="C156" s="3689"/>
      <c r="D156" s="3689"/>
      <c r="E156" s="3689"/>
      <c r="F156" s="3689"/>
      <c r="G156" s="3689"/>
      <c r="H156" s="3689"/>
      <c r="I156" s="3689"/>
      <c r="J156" s="3689"/>
      <c r="K156" s="3690"/>
      <c r="L156" s="3691"/>
      <c r="M156" s="3689"/>
      <c r="N156" s="3689"/>
      <c r="O156" s="3689"/>
      <c r="P156" s="3689"/>
      <c r="Q156" s="3689"/>
      <c r="R156" s="3689"/>
      <c r="S156" s="3689"/>
      <c r="T156" s="3689"/>
      <c r="U156" s="3689"/>
      <c r="V156" s="3689"/>
      <c r="W156" s="3689"/>
      <c r="X156" s="3689"/>
      <c r="Y156" s="3689"/>
      <c r="Z156" s="3689"/>
      <c r="AA156" s="3689"/>
      <c r="AB156" s="3689"/>
      <c r="AC156" s="3689"/>
    </row>
    <row r="157" spans="1:29">
      <c r="A157" s="3689"/>
      <c r="B157" s="3689"/>
      <c r="C157" s="3689"/>
      <c r="D157" s="3689"/>
      <c r="E157" s="3689"/>
      <c r="F157" s="3689"/>
      <c r="G157" s="3689"/>
      <c r="H157" s="3689"/>
      <c r="I157" s="3689"/>
      <c r="J157" s="3689"/>
      <c r="K157" s="3690"/>
      <c r="L157" s="3691"/>
      <c r="M157" s="3689"/>
      <c r="N157" s="3689"/>
      <c r="O157" s="3689"/>
      <c r="P157" s="3689"/>
      <c r="Q157" s="3689"/>
      <c r="R157" s="3689"/>
      <c r="S157" s="3689"/>
      <c r="T157" s="3689"/>
      <c r="U157" s="3689"/>
      <c r="V157" s="3689"/>
      <c r="W157" s="3689"/>
      <c r="X157" s="3689"/>
      <c r="Y157" s="3689"/>
      <c r="Z157" s="3689"/>
      <c r="AA157" s="3689"/>
      <c r="AB157" s="3689"/>
      <c r="AC157" s="3689"/>
    </row>
    <row r="158" spans="1:29">
      <c r="A158" s="3689"/>
      <c r="B158" s="3689"/>
      <c r="C158" s="3689"/>
      <c r="D158" s="3689"/>
      <c r="E158" s="3689"/>
      <c r="F158" s="3689"/>
      <c r="G158" s="3689"/>
      <c r="H158" s="3689"/>
      <c r="I158" s="3689"/>
      <c r="J158" s="3689"/>
      <c r="K158" s="3690"/>
      <c r="L158" s="3691"/>
      <c r="M158" s="3689"/>
      <c r="N158" s="3689"/>
      <c r="O158" s="3689"/>
      <c r="P158" s="3689"/>
      <c r="Q158" s="3689"/>
      <c r="R158" s="3689"/>
      <c r="S158" s="3689"/>
      <c r="T158" s="3689"/>
      <c r="U158" s="3689"/>
      <c r="V158" s="3689"/>
      <c r="W158" s="3689"/>
      <c r="X158" s="3689"/>
      <c r="Y158" s="3689"/>
      <c r="Z158" s="3689"/>
      <c r="AA158" s="3689"/>
      <c r="AB158" s="3689"/>
      <c r="AC158" s="3689"/>
    </row>
    <row r="159" spans="1:29">
      <c r="A159" s="3689"/>
      <c r="B159" s="3689"/>
      <c r="C159" s="3689"/>
      <c r="D159" s="3689"/>
      <c r="E159" s="3689"/>
      <c r="F159" s="3689"/>
      <c r="G159" s="3689"/>
      <c r="H159" s="3689"/>
      <c r="I159" s="3689"/>
      <c r="J159" s="3689"/>
      <c r="K159" s="3690"/>
      <c r="L159" s="3691"/>
      <c r="M159" s="3689"/>
      <c r="N159" s="3689"/>
      <c r="O159" s="3689"/>
      <c r="P159" s="3689"/>
      <c r="Q159" s="3689"/>
      <c r="R159" s="3689"/>
      <c r="S159" s="3689"/>
      <c r="T159" s="3689"/>
      <c r="U159" s="3689"/>
      <c r="V159" s="3689"/>
      <c r="W159" s="3689"/>
      <c r="X159" s="3689"/>
      <c r="Y159" s="3689"/>
      <c r="Z159" s="3689"/>
      <c r="AA159" s="3689"/>
      <c r="AB159" s="3689"/>
      <c r="AC159" s="3689"/>
    </row>
    <row r="160" spans="1:29">
      <c r="A160" s="3689"/>
      <c r="B160" s="3689"/>
      <c r="C160" s="3689"/>
      <c r="D160" s="3689"/>
      <c r="E160" s="3689"/>
      <c r="F160" s="3689"/>
      <c r="G160" s="3689"/>
      <c r="H160" s="3689"/>
      <c r="I160" s="3689"/>
      <c r="J160" s="3689"/>
      <c r="K160" s="3690"/>
      <c r="L160" s="3691"/>
      <c r="M160" s="3689"/>
      <c r="N160" s="3689"/>
      <c r="O160" s="3689"/>
      <c r="P160" s="3689"/>
      <c r="Q160" s="3689"/>
      <c r="R160" s="3689"/>
      <c r="S160" s="3689"/>
      <c r="T160" s="3689"/>
      <c r="U160" s="3689"/>
      <c r="V160" s="3689"/>
      <c r="W160" s="3689"/>
      <c r="X160" s="3689"/>
      <c r="Y160" s="3689"/>
      <c r="Z160" s="3689"/>
      <c r="AA160" s="3689"/>
      <c r="AB160" s="3689"/>
      <c r="AC160" s="3689"/>
    </row>
    <row r="161" spans="1:29">
      <c r="A161" s="3689"/>
      <c r="B161" s="3689"/>
      <c r="C161" s="3689"/>
      <c r="D161" s="3689"/>
      <c r="E161" s="3689"/>
      <c r="F161" s="3689"/>
      <c r="G161" s="3689"/>
      <c r="H161" s="3689"/>
      <c r="I161" s="3689"/>
      <c r="J161" s="3689"/>
      <c r="K161" s="3690"/>
      <c r="L161" s="3691"/>
      <c r="M161" s="3689"/>
      <c r="N161" s="3689"/>
      <c r="O161" s="3689"/>
      <c r="P161" s="3689"/>
      <c r="Q161" s="3689"/>
      <c r="R161" s="3689"/>
      <c r="S161" s="3689"/>
      <c r="T161" s="3689"/>
      <c r="U161" s="3689"/>
      <c r="V161" s="3689"/>
      <c r="W161" s="3689"/>
      <c r="X161" s="3689"/>
      <c r="Y161" s="3689"/>
      <c r="Z161" s="3689"/>
      <c r="AA161" s="3689"/>
      <c r="AB161" s="3689"/>
      <c r="AC161" s="3689"/>
    </row>
    <row r="162" spans="1:29">
      <c r="A162" s="3689"/>
      <c r="B162" s="3689"/>
      <c r="C162" s="3689"/>
      <c r="D162" s="3689"/>
      <c r="E162" s="3689"/>
      <c r="F162" s="3689"/>
      <c r="G162" s="3689"/>
      <c r="H162" s="3689"/>
      <c r="I162" s="3689"/>
      <c r="J162" s="3689"/>
      <c r="K162" s="3690"/>
      <c r="L162" s="3691"/>
      <c r="M162" s="3689"/>
      <c r="N162" s="3689"/>
      <c r="O162" s="3689"/>
      <c r="P162" s="3689"/>
      <c r="Q162" s="3689"/>
      <c r="R162" s="3689"/>
      <c r="S162" s="3689"/>
      <c r="T162" s="3689"/>
      <c r="U162" s="3689"/>
      <c r="V162" s="3689"/>
      <c r="W162" s="3689"/>
      <c r="X162" s="3689"/>
      <c r="Y162" s="3689"/>
      <c r="Z162" s="3689"/>
      <c r="AA162" s="3689"/>
      <c r="AB162" s="3689"/>
      <c r="AC162" s="3689"/>
    </row>
    <row r="163" spans="1:29">
      <c r="A163" s="3689"/>
      <c r="B163" s="3689"/>
      <c r="C163" s="3689"/>
      <c r="D163" s="3689"/>
      <c r="E163" s="3689"/>
      <c r="F163" s="3689"/>
      <c r="G163" s="3689"/>
      <c r="H163" s="3689"/>
      <c r="I163" s="3689"/>
      <c r="J163" s="3689"/>
      <c r="K163" s="3690"/>
      <c r="L163" s="3691"/>
      <c r="M163" s="3689"/>
      <c r="N163" s="3689"/>
      <c r="O163" s="3689"/>
      <c r="P163" s="3689"/>
      <c r="Q163" s="3689"/>
      <c r="R163" s="3689"/>
      <c r="S163" s="3689"/>
      <c r="T163" s="3689"/>
      <c r="U163" s="3689"/>
      <c r="V163" s="3689"/>
      <c r="W163" s="3689"/>
      <c r="X163" s="3689"/>
      <c r="Y163" s="3689"/>
      <c r="Z163" s="3689"/>
      <c r="AA163" s="3689"/>
      <c r="AB163" s="3689"/>
      <c r="AC163" s="3689"/>
    </row>
    <row r="164" spans="1:29">
      <c r="A164" s="3689"/>
      <c r="B164" s="3689"/>
      <c r="C164" s="3689"/>
      <c r="D164" s="3689"/>
      <c r="E164" s="3689"/>
      <c r="F164" s="3689"/>
      <c r="G164" s="3689"/>
      <c r="H164" s="3689"/>
      <c r="I164" s="3689"/>
      <c r="J164" s="3689"/>
      <c r="K164" s="3690"/>
      <c r="L164" s="3691"/>
      <c r="M164" s="3689"/>
      <c r="N164" s="3689"/>
      <c r="O164" s="3689"/>
      <c r="P164" s="3689"/>
      <c r="Q164" s="3689"/>
      <c r="R164" s="3689"/>
      <c r="S164" s="3689"/>
      <c r="T164" s="3689"/>
      <c r="U164" s="3689"/>
      <c r="V164" s="3689"/>
      <c r="W164" s="3689"/>
      <c r="X164" s="3689"/>
      <c r="Y164" s="3689"/>
      <c r="Z164" s="3689"/>
      <c r="AA164" s="3689"/>
      <c r="AB164" s="3689"/>
      <c r="AC164" s="3689"/>
    </row>
    <row r="165" spans="1:29">
      <c r="A165" s="3689"/>
      <c r="B165" s="3689"/>
      <c r="C165" s="3689"/>
      <c r="D165" s="3689"/>
      <c r="E165" s="3689"/>
      <c r="F165" s="3689"/>
      <c r="G165" s="3689"/>
      <c r="H165" s="3689"/>
      <c r="I165" s="3689"/>
      <c r="J165" s="3689"/>
      <c r="K165" s="3690"/>
      <c r="L165" s="3691"/>
      <c r="M165" s="3689"/>
      <c r="N165" s="3689"/>
      <c r="O165" s="3689"/>
      <c r="P165" s="3689"/>
      <c r="Q165" s="3689"/>
      <c r="R165" s="3689"/>
      <c r="S165" s="3689"/>
      <c r="T165" s="3689"/>
      <c r="U165" s="3689"/>
      <c r="V165" s="3689"/>
      <c r="W165" s="3689"/>
      <c r="X165" s="3689"/>
      <c r="Y165" s="3689"/>
      <c r="Z165" s="3689"/>
      <c r="AA165" s="3689"/>
      <c r="AB165" s="3689"/>
      <c r="AC165" s="3689"/>
    </row>
    <row r="166" spans="1:29">
      <c r="A166" s="3689"/>
      <c r="B166" s="3689"/>
      <c r="C166" s="3689"/>
      <c r="D166" s="3689"/>
      <c r="E166" s="3689"/>
      <c r="F166" s="3689"/>
      <c r="G166" s="3689"/>
      <c r="H166" s="3689"/>
      <c r="I166" s="3689"/>
      <c r="J166" s="3689"/>
      <c r="K166" s="3690"/>
      <c r="L166" s="3691"/>
      <c r="M166" s="3689"/>
      <c r="N166" s="3689"/>
      <c r="O166" s="3689"/>
      <c r="P166" s="3689"/>
      <c r="Q166" s="3689"/>
      <c r="R166" s="3689"/>
      <c r="S166" s="3689"/>
      <c r="T166" s="3689"/>
      <c r="U166" s="3689"/>
      <c r="V166" s="3689"/>
      <c r="W166" s="3689"/>
      <c r="X166" s="3689"/>
      <c r="Y166" s="3689"/>
      <c r="Z166" s="3689"/>
      <c r="AA166" s="3689"/>
      <c r="AB166" s="3689"/>
      <c r="AC166" s="3689"/>
    </row>
    <row r="167" spans="1:29">
      <c r="A167" s="3689"/>
      <c r="B167" s="3689"/>
      <c r="C167" s="3689"/>
      <c r="D167" s="3689"/>
      <c r="E167" s="3689"/>
      <c r="F167" s="3689"/>
      <c r="G167" s="3689"/>
      <c r="H167" s="3689"/>
      <c r="I167" s="3689"/>
      <c r="J167" s="3689"/>
      <c r="K167" s="3690"/>
      <c r="L167" s="3691"/>
      <c r="M167" s="3689"/>
      <c r="N167" s="3689"/>
      <c r="O167" s="3689"/>
      <c r="P167" s="3689"/>
      <c r="Q167" s="3689"/>
      <c r="R167" s="3689"/>
      <c r="S167" s="3689"/>
      <c r="T167" s="3689"/>
      <c r="U167" s="3689"/>
      <c r="V167" s="3689"/>
      <c r="W167" s="3689"/>
      <c r="X167" s="3689"/>
      <c r="Y167" s="3689"/>
      <c r="Z167" s="3689"/>
      <c r="AA167" s="3689"/>
      <c r="AB167" s="3689"/>
      <c r="AC167" s="3689"/>
    </row>
    <row r="168" spans="1:29">
      <c r="A168" s="3689"/>
      <c r="B168" s="3689"/>
      <c r="C168" s="3689"/>
      <c r="D168" s="3689"/>
      <c r="E168" s="3689"/>
      <c r="F168" s="3689"/>
      <c r="G168" s="3689"/>
      <c r="H168" s="3689"/>
      <c r="I168" s="3689"/>
      <c r="J168" s="3689"/>
      <c r="K168" s="3690"/>
      <c r="L168" s="3691"/>
      <c r="M168" s="3689"/>
      <c r="N168" s="3689"/>
      <c r="O168" s="3689"/>
      <c r="P168" s="3689"/>
      <c r="Q168" s="3689"/>
      <c r="R168" s="3689"/>
      <c r="S168" s="3689"/>
      <c r="T168" s="3689"/>
      <c r="U168" s="3689"/>
      <c r="V168" s="3689"/>
      <c r="W168" s="3689"/>
      <c r="X168" s="3689"/>
      <c r="Y168" s="3689"/>
      <c r="Z168" s="3689"/>
      <c r="AA168" s="3689"/>
      <c r="AB168" s="3689"/>
      <c r="AC168" s="3689"/>
    </row>
    <row r="169" spans="1:29">
      <c r="A169" s="3689"/>
      <c r="B169" s="3689"/>
      <c r="C169" s="3689"/>
      <c r="D169" s="3689"/>
      <c r="E169" s="3689"/>
      <c r="F169" s="3689"/>
      <c r="G169" s="3689"/>
      <c r="H169" s="3689"/>
      <c r="I169" s="3689"/>
      <c r="J169" s="3689"/>
      <c r="K169" s="3690"/>
      <c r="L169" s="3691"/>
      <c r="M169" s="3689"/>
      <c r="N169" s="3689"/>
      <c r="O169" s="3689"/>
      <c r="P169" s="3689"/>
      <c r="Q169" s="3689"/>
      <c r="R169" s="3689"/>
      <c r="S169" s="3689"/>
      <c r="T169" s="3689"/>
      <c r="U169" s="3689"/>
      <c r="V169" s="3689"/>
      <c r="W169" s="3689"/>
      <c r="X169" s="3689"/>
      <c r="Y169" s="3689"/>
      <c r="Z169" s="3689"/>
      <c r="AA169" s="3689"/>
      <c r="AB169" s="3689"/>
      <c r="AC169" s="3689"/>
    </row>
    <row r="170" spans="1:29">
      <c r="A170" s="3689"/>
      <c r="B170" s="3689"/>
      <c r="C170" s="3689"/>
      <c r="D170" s="3689"/>
      <c r="E170" s="3689"/>
      <c r="F170" s="3689"/>
      <c r="G170" s="3689"/>
      <c r="H170" s="3689"/>
      <c r="I170" s="3689"/>
      <c r="J170" s="3689"/>
      <c r="K170" s="3690"/>
      <c r="L170" s="3691"/>
      <c r="M170" s="3689"/>
      <c r="N170" s="3689"/>
      <c r="O170" s="3689"/>
      <c r="P170" s="3689"/>
      <c r="Q170" s="3689"/>
      <c r="R170" s="3689"/>
      <c r="S170" s="3689"/>
      <c r="T170" s="3689"/>
      <c r="U170" s="3689"/>
      <c r="V170" s="3689"/>
      <c r="W170" s="3689"/>
      <c r="X170" s="3689"/>
      <c r="Y170" s="3689"/>
      <c r="Z170" s="3689"/>
      <c r="AA170" s="3689"/>
      <c r="AB170" s="3689"/>
      <c r="AC170" s="3689"/>
    </row>
    <row r="171" spans="1:29">
      <c r="A171" s="3689"/>
      <c r="B171" s="3689"/>
      <c r="C171" s="3689"/>
      <c r="D171" s="3689"/>
      <c r="E171" s="3689"/>
      <c r="F171" s="3689"/>
      <c r="G171" s="3689"/>
      <c r="H171" s="3689"/>
      <c r="I171" s="3689"/>
      <c r="J171" s="3689"/>
      <c r="K171" s="3690"/>
      <c r="L171" s="3691"/>
      <c r="M171" s="3689"/>
      <c r="N171" s="3689"/>
      <c r="O171" s="3689"/>
      <c r="P171" s="3689"/>
      <c r="Q171" s="3689"/>
      <c r="R171" s="3689"/>
      <c r="S171" s="3689"/>
      <c r="T171" s="3689"/>
      <c r="U171" s="3689"/>
      <c r="V171" s="3689"/>
      <c r="W171" s="3689"/>
      <c r="X171" s="3689"/>
      <c r="Y171" s="3689"/>
      <c r="Z171" s="3689"/>
      <c r="AA171" s="3689"/>
      <c r="AB171" s="3689"/>
      <c r="AC171" s="3689"/>
    </row>
    <row r="172" spans="1:29">
      <c r="A172" s="3689"/>
      <c r="B172" s="3689"/>
      <c r="C172" s="3689"/>
      <c r="D172" s="3689"/>
      <c r="E172" s="3689"/>
      <c r="F172" s="3689"/>
      <c r="G172" s="3689"/>
      <c r="H172" s="3689"/>
      <c r="I172" s="3689"/>
      <c r="J172" s="3689"/>
      <c r="K172" s="3690"/>
      <c r="L172" s="3691"/>
      <c r="M172" s="3689"/>
      <c r="N172" s="3689"/>
      <c r="O172" s="3689"/>
      <c r="P172" s="3689"/>
      <c r="Q172" s="3689"/>
      <c r="R172" s="3689"/>
      <c r="S172" s="3689"/>
      <c r="T172" s="3689"/>
      <c r="U172" s="3689"/>
      <c r="V172" s="3689"/>
      <c r="W172" s="3689"/>
      <c r="X172" s="3689"/>
      <c r="Y172" s="3689"/>
      <c r="Z172" s="3689"/>
      <c r="AA172" s="3689"/>
      <c r="AB172" s="3689"/>
      <c r="AC172" s="3689"/>
    </row>
    <row r="173" spans="1:29">
      <c r="A173" s="3689"/>
      <c r="B173" s="3689"/>
      <c r="C173" s="3689"/>
      <c r="D173" s="3689"/>
      <c r="E173" s="3689"/>
      <c r="F173" s="3689"/>
      <c r="G173" s="3689"/>
      <c r="H173" s="3689"/>
      <c r="I173" s="3689"/>
      <c r="J173" s="3689"/>
      <c r="K173" s="3690"/>
      <c r="L173" s="3691"/>
      <c r="M173" s="3689"/>
      <c r="N173" s="3689"/>
      <c r="O173" s="3689"/>
      <c r="P173" s="3689"/>
      <c r="Q173" s="3689"/>
      <c r="R173" s="3689"/>
      <c r="S173" s="3689"/>
      <c r="T173" s="3689"/>
      <c r="U173" s="3689"/>
      <c r="V173" s="3689"/>
      <c r="W173" s="3689"/>
      <c r="X173" s="3689"/>
      <c r="Y173" s="3689"/>
      <c r="Z173" s="3689"/>
      <c r="AA173" s="3689"/>
      <c r="AB173" s="3689"/>
      <c r="AC173" s="3689"/>
    </row>
    <row r="174" spans="1:29">
      <c r="A174" s="3689"/>
      <c r="B174" s="3689"/>
      <c r="C174" s="3689"/>
      <c r="D174" s="3689"/>
      <c r="E174" s="3689"/>
      <c r="F174" s="3689"/>
      <c r="G174" s="3689"/>
      <c r="H174" s="3689"/>
      <c r="I174" s="3689"/>
      <c r="J174" s="3689"/>
      <c r="K174" s="3690"/>
      <c r="L174" s="3691"/>
      <c r="M174" s="3689"/>
      <c r="N174" s="3689"/>
      <c r="O174" s="3689"/>
      <c r="P174" s="3689"/>
      <c r="Q174" s="3689"/>
      <c r="R174" s="3689"/>
      <c r="S174" s="3689"/>
      <c r="T174" s="3689"/>
      <c r="U174" s="3689"/>
      <c r="V174" s="3689"/>
      <c r="W174" s="3689"/>
      <c r="X174" s="3689"/>
      <c r="Y174" s="3689"/>
      <c r="Z174" s="3689"/>
      <c r="AA174" s="3689"/>
      <c r="AB174" s="3689"/>
      <c r="AC174" s="3689"/>
    </row>
    <row r="175" spans="1:29">
      <c r="A175" s="3689"/>
      <c r="B175" s="3689"/>
      <c r="C175" s="3689"/>
      <c r="D175" s="3689"/>
      <c r="E175" s="3689"/>
      <c r="F175" s="3689"/>
      <c r="G175" s="3689"/>
      <c r="H175" s="3689"/>
      <c r="I175" s="3689"/>
      <c r="J175" s="3689"/>
      <c r="K175" s="3690"/>
      <c r="L175" s="3691"/>
      <c r="M175" s="3689"/>
      <c r="N175" s="3689"/>
      <c r="O175" s="3689"/>
      <c r="P175" s="3689"/>
      <c r="Q175" s="3689"/>
      <c r="R175" s="3689"/>
      <c r="S175" s="3689"/>
      <c r="T175" s="3689"/>
      <c r="U175" s="3689"/>
      <c r="V175" s="3689"/>
      <c r="W175" s="3689"/>
      <c r="X175" s="3689"/>
      <c r="Y175" s="3689"/>
      <c r="Z175" s="3689"/>
      <c r="AA175" s="3689"/>
      <c r="AB175" s="3689"/>
      <c r="AC175" s="3689"/>
    </row>
    <row r="176" spans="1:29">
      <c r="A176" s="3689"/>
      <c r="B176" s="3689"/>
      <c r="C176" s="3689"/>
      <c r="D176" s="3689"/>
      <c r="E176" s="3689"/>
      <c r="F176" s="3689"/>
      <c r="G176" s="3689"/>
      <c r="H176" s="3689"/>
      <c r="I176" s="3689"/>
      <c r="J176" s="3689"/>
      <c r="K176" s="3690"/>
      <c r="L176" s="3691"/>
      <c r="M176" s="3689"/>
      <c r="N176" s="3689"/>
      <c r="O176" s="3689"/>
      <c r="P176" s="3689"/>
      <c r="Q176" s="3689"/>
      <c r="R176" s="3689"/>
      <c r="S176" s="3689"/>
      <c r="T176" s="3689"/>
      <c r="U176" s="3689"/>
      <c r="V176" s="3689"/>
      <c r="W176" s="3689"/>
      <c r="X176" s="3689"/>
      <c r="Y176" s="3689"/>
      <c r="Z176" s="3689"/>
      <c r="AA176" s="3689"/>
      <c r="AB176" s="3689"/>
      <c r="AC176" s="3689"/>
    </row>
    <row r="177" spans="1:29">
      <c r="A177" s="3689"/>
      <c r="B177" s="3689"/>
      <c r="C177" s="3689"/>
      <c r="D177" s="3689"/>
      <c r="E177" s="3689"/>
      <c r="F177" s="3689"/>
      <c r="G177" s="3689"/>
      <c r="H177" s="3689"/>
      <c r="I177" s="3689"/>
      <c r="J177" s="3689"/>
      <c r="K177" s="3690"/>
      <c r="L177" s="3691"/>
      <c r="M177" s="3689"/>
      <c r="N177" s="3689"/>
      <c r="O177" s="3689"/>
      <c r="P177" s="3689"/>
      <c r="Q177" s="3689"/>
      <c r="R177" s="3689"/>
      <c r="S177" s="3689"/>
      <c r="T177" s="3689"/>
      <c r="U177" s="3689"/>
      <c r="V177" s="3689"/>
      <c r="W177" s="3689"/>
      <c r="X177" s="3689"/>
      <c r="Y177" s="3689"/>
      <c r="Z177" s="3689"/>
      <c r="AA177" s="3689"/>
      <c r="AB177" s="3689"/>
      <c r="AC177" s="3689"/>
    </row>
    <row r="178" spans="1:29">
      <c r="A178" s="3689"/>
      <c r="B178" s="3689"/>
      <c r="C178" s="3689"/>
      <c r="D178" s="3689"/>
      <c r="E178" s="3689"/>
      <c r="F178" s="3689"/>
      <c r="G178" s="3689"/>
      <c r="H178" s="3689"/>
      <c r="I178" s="3689"/>
      <c r="J178" s="3689"/>
      <c r="K178" s="3690"/>
      <c r="L178" s="3691"/>
      <c r="M178" s="3689"/>
      <c r="N178" s="3689"/>
      <c r="O178" s="3689"/>
      <c r="P178" s="3689"/>
      <c r="Q178" s="3689"/>
      <c r="R178" s="3689"/>
      <c r="S178" s="3689"/>
      <c r="T178" s="3689"/>
      <c r="U178" s="3689"/>
      <c r="V178" s="3689"/>
      <c r="W178" s="3689"/>
      <c r="X178" s="3689"/>
      <c r="Y178" s="3689"/>
      <c r="Z178" s="3689"/>
      <c r="AA178" s="3689"/>
      <c r="AB178" s="3689"/>
      <c r="AC178" s="3689"/>
    </row>
    <row r="179" spans="1:29">
      <c r="A179" s="3689"/>
      <c r="B179" s="3689"/>
      <c r="C179" s="3689"/>
      <c r="D179" s="3689"/>
      <c r="E179" s="3689"/>
      <c r="F179" s="3689"/>
      <c r="G179" s="3689"/>
      <c r="H179" s="3689"/>
      <c r="I179" s="3689"/>
      <c r="J179" s="3689"/>
      <c r="K179" s="3690"/>
      <c r="L179" s="3691"/>
      <c r="M179" s="3689"/>
      <c r="N179" s="3689"/>
      <c r="O179" s="3689"/>
      <c r="P179" s="3689"/>
      <c r="Q179" s="3689"/>
      <c r="R179" s="3689"/>
      <c r="S179" s="3689"/>
      <c r="T179" s="3689"/>
      <c r="U179" s="3689"/>
      <c r="V179" s="3689"/>
      <c r="W179" s="3689"/>
      <c r="X179" s="3689"/>
      <c r="Y179" s="3689"/>
      <c r="Z179" s="3689"/>
      <c r="AA179" s="3689"/>
      <c r="AB179" s="3689"/>
      <c r="AC179" s="3689"/>
    </row>
    <row r="180" spans="1:29">
      <c r="A180" s="3689"/>
      <c r="B180" s="3689"/>
      <c r="C180" s="3689"/>
      <c r="D180" s="3689"/>
      <c r="E180" s="3689"/>
      <c r="F180" s="3689"/>
      <c r="G180" s="3689"/>
      <c r="H180" s="3689"/>
      <c r="I180" s="3689"/>
      <c r="J180" s="3689"/>
      <c r="K180" s="3690"/>
      <c r="L180" s="3691"/>
      <c r="M180" s="3689"/>
      <c r="N180" s="3689"/>
      <c r="O180" s="3689"/>
      <c r="P180" s="3689"/>
      <c r="Q180" s="3689"/>
      <c r="R180" s="3689"/>
      <c r="S180" s="3689"/>
      <c r="T180" s="3689"/>
      <c r="U180" s="3689"/>
      <c r="V180" s="3689"/>
      <c r="W180" s="3689"/>
      <c r="X180" s="3689"/>
      <c r="Y180" s="3689"/>
      <c r="Z180" s="3689"/>
      <c r="AA180" s="3689"/>
      <c r="AB180" s="3689"/>
      <c r="AC180" s="3689"/>
    </row>
    <row r="181" spans="1:29">
      <c r="A181" s="3689"/>
      <c r="B181" s="3689"/>
      <c r="C181" s="3689"/>
      <c r="D181" s="3689"/>
      <c r="E181" s="3689"/>
      <c r="F181" s="3689"/>
      <c r="G181" s="3689"/>
      <c r="H181" s="3689"/>
      <c r="I181" s="3689"/>
      <c r="J181" s="3689"/>
      <c r="K181" s="3690"/>
      <c r="L181" s="3691"/>
      <c r="M181" s="3689"/>
      <c r="N181" s="3689"/>
      <c r="O181" s="3689"/>
      <c r="P181" s="3689"/>
      <c r="Q181" s="3689"/>
      <c r="R181" s="3689"/>
      <c r="S181" s="3689"/>
      <c r="T181" s="3689"/>
      <c r="U181" s="3689"/>
      <c r="V181" s="3689"/>
      <c r="W181" s="3689"/>
      <c r="X181" s="3689"/>
      <c r="Y181" s="3689"/>
      <c r="Z181" s="3689"/>
      <c r="AA181" s="3689"/>
      <c r="AB181" s="3689"/>
      <c r="AC181" s="3689"/>
    </row>
    <row r="182" spans="1:29">
      <c r="A182" s="3689"/>
      <c r="B182" s="3689"/>
      <c r="C182" s="3689"/>
      <c r="D182" s="3689"/>
      <c r="E182" s="3689"/>
      <c r="F182" s="3689"/>
      <c r="G182" s="3689"/>
      <c r="H182" s="3689"/>
      <c r="I182" s="3689"/>
      <c r="J182" s="3689"/>
      <c r="K182" s="3690"/>
      <c r="L182" s="3691"/>
      <c r="M182" s="3689"/>
      <c r="N182" s="3689"/>
      <c r="O182" s="3689"/>
      <c r="P182" s="3689"/>
      <c r="Q182" s="3689"/>
      <c r="R182" s="3689"/>
      <c r="S182" s="3689"/>
      <c r="T182" s="3689"/>
      <c r="U182" s="3689"/>
      <c r="V182" s="3689"/>
      <c r="W182" s="3689"/>
      <c r="X182" s="3689"/>
      <c r="Y182" s="3689"/>
      <c r="Z182" s="3689"/>
      <c r="AA182" s="3689"/>
      <c r="AB182" s="3689"/>
      <c r="AC182" s="3689"/>
    </row>
    <row r="183" spans="1:29">
      <c r="A183" s="3689"/>
      <c r="B183" s="3689"/>
      <c r="C183" s="3689"/>
      <c r="D183" s="3689"/>
      <c r="E183" s="3689"/>
      <c r="F183" s="3689"/>
      <c r="G183" s="3689"/>
      <c r="H183" s="3689"/>
      <c r="I183" s="3689"/>
      <c r="J183" s="3689"/>
      <c r="K183" s="3690"/>
      <c r="L183" s="3691"/>
      <c r="M183" s="3689"/>
      <c r="N183" s="3689"/>
      <c r="O183" s="3689"/>
      <c r="P183" s="3689"/>
      <c r="Q183" s="3689"/>
      <c r="R183" s="3689"/>
      <c r="S183" s="3689"/>
      <c r="T183" s="3689"/>
      <c r="U183" s="3689"/>
      <c r="V183" s="3689"/>
      <c r="W183" s="3689"/>
      <c r="X183" s="3689"/>
      <c r="Y183" s="3689"/>
      <c r="Z183" s="3689"/>
      <c r="AA183" s="3689"/>
      <c r="AB183" s="3689"/>
      <c r="AC183" s="3689"/>
    </row>
    <row r="184" spans="1:29">
      <c r="A184" s="3689"/>
      <c r="B184" s="3689"/>
      <c r="C184" s="3689"/>
      <c r="D184" s="3689"/>
      <c r="E184" s="3689"/>
      <c r="F184" s="3689"/>
      <c r="G184" s="3689"/>
      <c r="H184" s="3689"/>
      <c r="I184" s="3689"/>
      <c r="J184" s="3689"/>
      <c r="K184" s="3690"/>
      <c r="L184" s="3691"/>
      <c r="M184" s="3689"/>
      <c r="N184" s="3689"/>
      <c r="O184" s="3689"/>
      <c r="P184" s="3689"/>
      <c r="Q184" s="3689"/>
      <c r="R184" s="3689"/>
      <c r="S184" s="3689"/>
      <c r="T184" s="3689"/>
      <c r="U184" s="3689"/>
      <c r="V184" s="3689"/>
      <c r="W184" s="3689"/>
      <c r="X184" s="3689"/>
      <c r="Y184" s="3689"/>
      <c r="Z184" s="3689"/>
      <c r="AA184" s="3689"/>
      <c r="AB184" s="3689"/>
      <c r="AC184" s="3689"/>
    </row>
    <row r="185" spans="1:29">
      <c r="A185" s="3689"/>
      <c r="B185" s="3689"/>
      <c r="C185" s="3689"/>
      <c r="D185" s="3689"/>
      <c r="E185" s="3689"/>
      <c r="F185" s="3689"/>
      <c r="G185" s="3689"/>
      <c r="H185" s="3689"/>
      <c r="I185" s="3689"/>
      <c r="J185" s="3689"/>
      <c r="K185" s="3690"/>
      <c r="L185" s="3691"/>
      <c r="M185" s="3689"/>
      <c r="N185" s="3689"/>
      <c r="O185" s="3689"/>
      <c r="P185" s="3689"/>
      <c r="Q185" s="3689"/>
      <c r="R185" s="3689"/>
      <c r="S185" s="3689"/>
      <c r="T185" s="3689"/>
      <c r="U185" s="3689"/>
      <c r="V185" s="3689"/>
      <c r="W185" s="3689"/>
      <c r="X185" s="3689"/>
      <c r="Y185" s="3689"/>
      <c r="Z185" s="3689"/>
      <c r="AA185" s="3689"/>
      <c r="AB185" s="3689"/>
      <c r="AC185" s="3689"/>
    </row>
    <row r="186" spans="1:29">
      <c r="A186" s="3689"/>
      <c r="B186" s="3689"/>
      <c r="C186" s="3689"/>
      <c r="D186" s="3689"/>
      <c r="E186" s="3689"/>
      <c r="F186" s="3689"/>
      <c r="G186" s="3689"/>
      <c r="H186" s="3689"/>
      <c r="I186" s="3689"/>
      <c r="J186" s="3689"/>
      <c r="K186" s="3690"/>
      <c r="L186" s="3691"/>
      <c r="M186" s="3689"/>
      <c r="N186" s="3689"/>
      <c r="O186" s="3689"/>
      <c r="P186" s="3689"/>
      <c r="Q186" s="3689"/>
      <c r="R186" s="3689"/>
      <c r="S186" s="3689"/>
      <c r="T186" s="3689"/>
      <c r="U186" s="3689"/>
      <c r="V186" s="3689"/>
      <c r="W186" s="3689"/>
      <c r="X186" s="3689"/>
      <c r="Y186" s="3689"/>
      <c r="Z186" s="3689"/>
      <c r="AA186" s="3689"/>
      <c r="AB186" s="3689"/>
      <c r="AC186" s="3689"/>
    </row>
    <row r="187" spans="1:29">
      <c r="A187" s="3689"/>
      <c r="B187" s="3689"/>
      <c r="C187" s="3689"/>
      <c r="D187" s="3689"/>
      <c r="E187" s="3689"/>
      <c r="F187" s="3689"/>
      <c r="G187" s="3689"/>
      <c r="H187" s="3689"/>
      <c r="I187" s="3689"/>
      <c r="J187" s="3689"/>
      <c r="K187" s="3690"/>
      <c r="L187" s="3691"/>
      <c r="M187" s="3689"/>
      <c r="N187" s="3689"/>
      <c r="O187" s="3689"/>
      <c r="P187" s="3689"/>
      <c r="Q187" s="3689"/>
      <c r="R187" s="3689"/>
      <c r="S187" s="3689"/>
      <c r="T187" s="3689"/>
      <c r="U187" s="3689"/>
      <c r="V187" s="3689"/>
      <c r="W187" s="3689"/>
      <c r="X187" s="3689"/>
      <c r="Y187" s="3689"/>
      <c r="Z187" s="3689"/>
      <c r="AA187" s="3689"/>
      <c r="AB187" s="3689"/>
      <c r="AC187" s="3689"/>
    </row>
    <row r="188" spans="1:29">
      <c r="A188" s="3689"/>
      <c r="B188" s="3689"/>
      <c r="C188" s="3689"/>
      <c r="D188" s="3689"/>
      <c r="E188" s="3689"/>
      <c r="F188" s="3689"/>
      <c r="G188" s="3689"/>
      <c r="H188" s="3689"/>
      <c r="I188" s="3689"/>
      <c r="J188" s="3689"/>
      <c r="K188" s="3690"/>
      <c r="L188" s="3691"/>
      <c r="M188" s="3689"/>
      <c r="N188" s="3689"/>
      <c r="O188" s="3689"/>
      <c r="P188" s="3689"/>
      <c r="Q188" s="3689"/>
      <c r="R188" s="3689"/>
      <c r="S188" s="3689"/>
      <c r="T188" s="3689"/>
      <c r="U188" s="3689"/>
      <c r="V188" s="3689"/>
      <c r="W188" s="3689"/>
      <c r="X188" s="3689"/>
      <c r="Y188" s="3689"/>
      <c r="Z188" s="3689"/>
      <c r="AA188" s="3689"/>
      <c r="AB188" s="3689"/>
      <c r="AC188" s="3689"/>
    </row>
    <row r="189" spans="1:29">
      <c r="A189" s="3689"/>
      <c r="B189" s="3689"/>
      <c r="C189" s="3689"/>
      <c r="D189" s="3689"/>
      <c r="E189" s="3689"/>
      <c r="F189" s="3689"/>
      <c r="G189" s="3689"/>
      <c r="H189" s="3689"/>
      <c r="I189" s="3689"/>
      <c r="J189" s="3689"/>
      <c r="K189" s="3690"/>
      <c r="L189" s="3691"/>
      <c r="M189" s="3689"/>
      <c r="N189" s="3689"/>
      <c r="O189" s="3689"/>
      <c r="P189" s="3689"/>
      <c r="Q189" s="3689"/>
      <c r="R189" s="3689"/>
      <c r="S189" s="3689"/>
      <c r="T189" s="3689"/>
      <c r="U189" s="3689"/>
      <c r="V189" s="3689"/>
      <c r="W189" s="3689"/>
      <c r="X189" s="3689"/>
      <c r="Y189" s="3689"/>
      <c r="Z189" s="3689"/>
      <c r="AA189" s="3689"/>
      <c r="AB189" s="3689"/>
      <c r="AC189" s="3689"/>
    </row>
    <row r="190" spans="1:29">
      <c r="A190" s="3689"/>
      <c r="B190" s="3689"/>
      <c r="C190" s="3689"/>
      <c r="D190" s="3689"/>
      <c r="E190" s="3689"/>
      <c r="F190" s="3689"/>
      <c r="G190" s="3689"/>
      <c r="H190" s="3689"/>
      <c r="I190" s="3689"/>
      <c r="J190" s="3689"/>
      <c r="K190" s="3690"/>
      <c r="L190" s="3691"/>
      <c r="M190" s="3689"/>
      <c r="N190" s="3689"/>
      <c r="O190" s="3689"/>
      <c r="P190" s="3689"/>
      <c r="Q190" s="3689"/>
      <c r="R190" s="3689"/>
      <c r="S190" s="3689"/>
      <c r="T190" s="3689"/>
      <c r="U190" s="3689"/>
      <c r="V190" s="3689"/>
      <c r="W190" s="3689"/>
      <c r="X190" s="3689"/>
      <c r="Y190" s="3689"/>
      <c r="Z190" s="3689"/>
      <c r="AA190" s="3689"/>
      <c r="AB190" s="3689"/>
      <c r="AC190" s="3689"/>
    </row>
    <row r="191" spans="1:29">
      <c r="A191" s="3689"/>
      <c r="B191" s="3689"/>
      <c r="C191" s="3689"/>
      <c r="D191" s="3689"/>
      <c r="E191" s="3689"/>
      <c r="F191" s="3689"/>
      <c r="G191" s="3689"/>
      <c r="H191" s="3689"/>
      <c r="I191" s="3689"/>
      <c r="J191" s="3689"/>
      <c r="K191" s="3690"/>
      <c r="L191" s="3691"/>
      <c r="M191" s="3689"/>
      <c r="N191" s="3689"/>
      <c r="O191" s="3689"/>
      <c r="P191" s="3689"/>
      <c r="Q191" s="3689"/>
      <c r="R191" s="3689"/>
      <c r="S191" s="3689"/>
      <c r="T191" s="3689"/>
      <c r="U191" s="3689"/>
      <c r="V191" s="3689"/>
      <c r="W191" s="3689"/>
      <c r="X191" s="3689"/>
      <c r="Y191" s="3689"/>
      <c r="Z191" s="3689"/>
      <c r="AA191" s="3689"/>
      <c r="AB191" s="3689"/>
      <c r="AC191" s="3689"/>
    </row>
    <row r="192" spans="1:29">
      <c r="A192" s="3689"/>
      <c r="B192" s="3689"/>
      <c r="C192" s="3689"/>
      <c r="D192" s="3689"/>
      <c r="E192" s="3689"/>
      <c r="F192" s="3689"/>
      <c r="G192" s="3689"/>
      <c r="H192" s="3689"/>
      <c r="I192" s="3689"/>
      <c r="J192" s="3689"/>
      <c r="K192" s="3690"/>
      <c r="L192" s="3691"/>
      <c r="M192" s="3689"/>
      <c r="N192" s="3689"/>
      <c r="O192" s="3689"/>
      <c r="P192" s="3689"/>
      <c r="Q192" s="3689"/>
      <c r="R192" s="3689"/>
      <c r="S192" s="3689"/>
      <c r="T192" s="3689"/>
      <c r="U192" s="3689"/>
      <c r="V192" s="3689"/>
      <c r="W192" s="3689"/>
      <c r="X192" s="3689"/>
      <c r="Y192" s="3689"/>
      <c r="Z192" s="3689"/>
      <c r="AA192" s="3689"/>
      <c r="AB192" s="3689"/>
      <c r="AC192" s="3689"/>
    </row>
    <row r="193" spans="1:29">
      <c r="A193" s="3689"/>
      <c r="B193" s="3689"/>
      <c r="C193" s="3689"/>
      <c r="D193" s="3689"/>
      <c r="E193" s="3689"/>
      <c r="F193" s="3689"/>
      <c r="G193" s="3689"/>
      <c r="H193" s="3689"/>
      <c r="I193" s="3689"/>
      <c r="J193" s="3689"/>
      <c r="K193" s="3690"/>
      <c r="L193" s="3691"/>
      <c r="M193" s="3689"/>
      <c r="N193" s="3689"/>
      <c r="O193" s="3689"/>
      <c r="P193" s="3689"/>
      <c r="Q193" s="3689"/>
      <c r="R193" s="3689"/>
      <c r="S193" s="3689"/>
      <c r="T193" s="3689"/>
      <c r="U193" s="3689"/>
      <c r="V193" s="3689"/>
      <c r="W193" s="3689"/>
      <c r="X193" s="3689"/>
      <c r="Y193" s="3689"/>
      <c r="Z193" s="3689"/>
      <c r="AA193" s="3689"/>
      <c r="AB193" s="3689"/>
      <c r="AC193" s="3689"/>
    </row>
    <row r="194" spans="1:29">
      <c r="A194" s="3689"/>
      <c r="B194" s="3689"/>
      <c r="C194" s="3689"/>
      <c r="D194" s="3689"/>
      <c r="E194" s="3689"/>
      <c r="F194" s="3689"/>
      <c r="G194" s="3689"/>
      <c r="H194" s="3689"/>
      <c r="I194" s="3689"/>
      <c r="J194" s="3689"/>
      <c r="K194" s="3690"/>
      <c r="L194" s="3691"/>
      <c r="M194" s="3689"/>
      <c r="N194" s="3689"/>
      <c r="O194" s="3689"/>
      <c r="P194" s="3689"/>
      <c r="Q194" s="3689"/>
      <c r="R194" s="3689"/>
      <c r="S194" s="3689"/>
      <c r="T194" s="3689"/>
      <c r="U194" s="3689"/>
      <c r="V194" s="3689"/>
      <c r="W194" s="3689"/>
      <c r="X194" s="3689"/>
      <c r="Y194" s="3689"/>
      <c r="Z194" s="3689"/>
      <c r="AA194" s="3689"/>
      <c r="AB194" s="3689"/>
      <c r="AC194" s="3689"/>
    </row>
    <row r="195" spans="1:29">
      <c r="A195" s="3689"/>
      <c r="B195" s="3689"/>
      <c r="C195" s="3689"/>
      <c r="D195" s="3689"/>
      <c r="E195" s="3689"/>
      <c r="F195" s="3689"/>
      <c r="G195" s="3689"/>
      <c r="H195" s="3689"/>
      <c r="I195" s="3689"/>
      <c r="J195" s="3689"/>
      <c r="K195" s="3690"/>
      <c r="L195" s="3691"/>
      <c r="M195" s="3689"/>
      <c r="N195" s="3689"/>
      <c r="O195" s="3689"/>
      <c r="P195" s="3689"/>
      <c r="Q195" s="3689"/>
      <c r="R195" s="3689"/>
      <c r="S195" s="3689"/>
      <c r="T195" s="3689"/>
      <c r="U195" s="3689"/>
      <c r="V195" s="3689"/>
      <c r="W195" s="3689"/>
      <c r="X195" s="3689"/>
      <c r="Y195" s="3689"/>
      <c r="Z195" s="3689"/>
      <c r="AA195" s="3689"/>
      <c r="AB195" s="3689"/>
      <c r="AC195" s="3689"/>
    </row>
    <row r="196" spans="1:29">
      <c r="A196" s="3689"/>
      <c r="B196" s="3689"/>
      <c r="C196" s="3689"/>
      <c r="D196" s="3689"/>
      <c r="E196" s="3689"/>
      <c r="F196" s="3689"/>
      <c r="G196" s="3689"/>
      <c r="H196" s="3689"/>
      <c r="I196" s="3689"/>
      <c r="J196" s="3689"/>
      <c r="K196" s="3690"/>
      <c r="L196" s="3691"/>
      <c r="M196" s="3689"/>
      <c r="N196" s="3689"/>
      <c r="O196" s="3689"/>
      <c r="P196" s="3689"/>
      <c r="Q196" s="3689"/>
      <c r="R196" s="3689"/>
      <c r="S196" s="3689"/>
      <c r="T196" s="3689"/>
      <c r="U196" s="3689"/>
      <c r="V196" s="3689"/>
      <c r="W196" s="3689"/>
      <c r="X196" s="3689"/>
      <c r="Y196" s="3689"/>
      <c r="Z196" s="3689"/>
      <c r="AA196" s="3689"/>
      <c r="AB196" s="3689"/>
      <c r="AC196" s="3689"/>
    </row>
    <row r="197" spans="1:29">
      <c r="A197" s="3689"/>
      <c r="B197" s="3689"/>
      <c r="C197" s="3689"/>
      <c r="D197" s="3689"/>
      <c r="E197" s="3689"/>
      <c r="F197" s="3689"/>
      <c r="G197" s="3689"/>
      <c r="H197" s="3689"/>
      <c r="I197" s="3689"/>
      <c r="J197" s="3689"/>
      <c r="K197" s="3690"/>
      <c r="L197" s="3691"/>
      <c r="M197" s="3689"/>
      <c r="N197" s="3689"/>
      <c r="O197" s="3689"/>
      <c r="P197" s="3689"/>
      <c r="Q197" s="3689"/>
      <c r="R197" s="3689"/>
      <c r="S197" s="3689"/>
      <c r="T197" s="3689"/>
      <c r="U197" s="3689"/>
      <c r="V197" s="3689"/>
      <c r="W197" s="3689"/>
      <c r="X197" s="3689"/>
      <c r="Y197" s="3689"/>
      <c r="Z197" s="3689"/>
      <c r="AA197" s="3689"/>
      <c r="AB197" s="3689"/>
      <c r="AC197" s="3689"/>
    </row>
    <row r="198" spans="1:29">
      <c r="A198" s="3689"/>
      <c r="B198" s="3689"/>
      <c r="C198" s="3689"/>
      <c r="D198" s="3689"/>
      <c r="E198" s="3689"/>
      <c r="F198" s="3689"/>
      <c r="G198" s="3689"/>
      <c r="H198" s="3689"/>
      <c r="I198" s="3689"/>
      <c r="J198" s="3689"/>
      <c r="K198" s="3690"/>
      <c r="L198" s="3691"/>
      <c r="M198" s="3689"/>
      <c r="N198" s="3689"/>
      <c r="O198" s="3689"/>
      <c r="P198" s="3689"/>
      <c r="Q198" s="3689"/>
      <c r="R198" s="3689"/>
      <c r="S198" s="3689"/>
      <c r="T198" s="3689"/>
      <c r="U198" s="3689"/>
      <c r="V198" s="3689"/>
      <c r="W198" s="3689"/>
      <c r="X198" s="3689"/>
      <c r="Y198" s="3689"/>
      <c r="Z198" s="3689"/>
      <c r="AA198" s="3689"/>
      <c r="AB198" s="3689"/>
      <c r="AC198" s="3689"/>
    </row>
    <row r="199" spans="1:29">
      <c r="A199" s="3689"/>
      <c r="B199" s="3689"/>
      <c r="C199" s="3689"/>
      <c r="D199" s="3689"/>
      <c r="E199" s="3689"/>
      <c r="F199" s="3689"/>
      <c r="G199" s="3689"/>
      <c r="H199" s="3689"/>
      <c r="I199" s="3689"/>
      <c r="J199" s="3689"/>
      <c r="K199" s="3690"/>
      <c r="L199" s="3691"/>
      <c r="M199" s="3689"/>
      <c r="N199" s="3689"/>
      <c r="O199" s="3689"/>
      <c r="P199" s="3689"/>
      <c r="Q199" s="3689"/>
      <c r="R199" s="3689"/>
      <c r="S199" s="3689"/>
      <c r="T199" s="3689"/>
      <c r="U199" s="3689"/>
      <c r="V199" s="3689"/>
      <c r="W199" s="3689"/>
      <c r="X199" s="3689"/>
      <c r="Y199" s="3689"/>
      <c r="Z199" s="3689"/>
      <c r="AA199" s="3689"/>
      <c r="AB199" s="3689"/>
      <c r="AC199" s="3689"/>
    </row>
    <row r="200" spans="1:29">
      <c r="A200" s="3689"/>
      <c r="B200" s="3689"/>
      <c r="C200" s="3689"/>
      <c r="D200" s="3689"/>
      <c r="E200" s="3689"/>
      <c r="F200" s="3689"/>
      <c r="G200" s="3689"/>
      <c r="H200" s="3689"/>
      <c r="I200" s="3689"/>
      <c r="J200" s="3689"/>
      <c r="K200" s="3690"/>
      <c r="L200" s="3691"/>
      <c r="M200" s="3689"/>
      <c r="N200" s="3689"/>
      <c r="O200" s="3689"/>
      <c r="P200" s="3689"/>
      <c r="Q200" s="3689"/>
      <c r="R200" s="3689"/>
      <c r="S200" s="3689"/>
      <c r="T200" s="3689"/>
      <c r="U200" s="3689"/>
      <c r="V200" s="3689"/>
      <c r="W200" s="3689"/>
      <c r="X200" s="3689"/>
      <c r="Y200" s="3689"/>
      <c r="Z200" s="3689"/>
      <c r="AA200" s="3689"/>
      <c r="AB200" s="3689"/>
      <c r="AC200" s="3689"/>
    </row>
    <row r="201" spans="1:29">
      <c r="A201" s="3689"/>
      <c r="B201" s="3689"/>
      <c r="C201" s="3689"/>
      <c r="D201" s="3689"/>
      <c r="E201" s="3689"/>
      <c r="F201" s="3689"/>
      <c r="G201" s="3689"/>
      <c r="H201" s="3689"/>
      <c r="I201" s="3689"/>
      <c r="J201" s="3689"/>
      <c r="K201" s="3690"/>
      <c r="L201" s="3691"/>
      <c r="M201" s="3689"/>
      <c r="N201" s="3689"/>
      <c r="O201" s="3689"/>
      <c r="P201" s="3689"/>
      <c r="Q201" s="3689"/>
      <c r="R201" s="3689"/>
      <c r="S201" s="3689"/>
      <c r="T201" s="3689"/>
      <c r="U201" s="3689"/>
      <c r="V201" s="3689"/>
      <c r="W201" s="3689"/>
      <c r="X201" s="3689"/>
      <c r="Y201" s="3689"/>
      <c r="Z201" s="3689"/>
      <c r="AA201" s="3689"/>
      <c r="AB201" s="3689"/>
      <c r="AC201" s="3689"/>
    </row>
    <row r="202" spans="1:29">
      <c r="A202" s="3689"/>
      <c r="B202" s="3689"/>
      <c r="C202" s="3689"/>
      <c r="D202" s="3689"/>
      <c r="E202" s="3689"/>
      <c r="F202" s="3689"/>
      <c r="G202" s="3689"/>
      <c r="H202" s="3689"/>
      <c r="I202" s="3689"/>
      <c r="J202" s="3689"/>
      <c r="K202" s="3690"/>
      <c r="L202" s="3691"/>
      <c r="M202" s="3689"/>
      <c r="N202" s="3689"/>
      <c r="O202" s="3689"/>
      <c r="P202" s="3689"/>
      <c r="Q202" s="3689"/>
      <c r="R202" s="3689"/>
      <c r="S202" s="3689"/>
      <c r="T202" s="3689"/>
      <c r="U202" s="3689"/>
      <c r="V202" s="3689"/>
      <c r="W202" s="3689"/>
      <c r="X202" s="3689"/>
      <c r="Y202" s="3689"/>
      <c r="Z202" s="3689"/>
      <c r="AA202" s="3689"/>
      <c r="AB202" s="3689"/>
      <c r="AC202" s="3689"/>
    </row>
    <row r="203" spans="1:29">
      <c r="A203" s="3689"/>
      <c r="B203" s="3689"/>
      <c r="C203" s="3689"/>
      <c r="D203" s="3689"/>
      <c r="E203" s="3689"/>
      <c r="F203" s="3689"/>
      <c r="G203" s="3689"/>
      <c r="H203" s="3689"/>
      <c r="I203" s="3689"/>
      <c r="J203" s="3689"/>
      <c r="K203" s="3690"/>
      <c r="L203" s="3691"/>
      <c r="M203" s="3689"/>
      <c r="N203" s="3689"/>
      <c r="O203" s="3689"/>
      <c r="P203" s="3689"/>
      <c r="Q203" s="3689"/>
      <c r="R203" s="3689"/>
      <c r="S203" s="3689"/>
      <c r="T203" s="3689"/>
      <c r="U203" s="3689"/>
      <c r="V203" s="3689"/>
      <c r="W203" s="3689"/>
      <c r="X203" s="3689"/>
      <c r="Y203" s="3689"/>
      <c r="Z203" s="3689"/>
      <c r="AA203" s="3689"/>
      <c r="AB203" s="3689"/>
      <c r="AC203" s="3689"/>
    </row>
    <row r="204" spans="1:29">
      <c r="A204" s="3689"/>
      <c r="B204" s="3689"/>
      <c r="C204" s="3689"/>
      <c r="D204" s="3689"/>
      <c r="E204" s="3689"/>
      <c r="F204" s="3689"/>
      <c r="G204" s="3689"/>
      <c r="H204" s="3689"/>
      <c r="I204" s="3689"/>
      <c r="J204" s="3689"/>
      <c r="K204" s="3690"/>
      <c r="L204" s="3691"/>
      <c r="M204" s="3689"/>
      <c r="N204" s="3689"/>
      <c r="O204" s="3689"/>
      <c r="P204" s="3689"/>
      <c r="Q204" s="3689"/>
      <c r="R204" s="3689"/>
      <c r="S204" s="3689"/>
      <c r="T204" s="3689"/>
      <c r="U204" s="3689"/>
      <c r="V204" s="3689"/>
      <c r="W204" s="3689"/>
      <c r="X204" s="3689"/>
      <c r="Y204" s="3689"/>
      <c r="Z204" s="3689"/>
      <c r="AA204" s="3689"/>
      <c r="AB204" s="3689"/>
      <c r="AC204" s="3689"/>
    </row>
    <row r="205" spans="1:29">
      <c r="A205" s="3689"/>
      <c r="B205" s="3689"/>
      <c r="C205" s="3689"/>
      <c r="D205" s="3689"/>
      <c r="E205" s="3689"/>
      <c r="F205" s="3689"/>
      <c r="G205" s="3689"/>
      <c r="H205" s="3689"/>
      <c r="I205" s="3689"/>
      <c r="J205" s="3689"/>
      <c r="K205" s="3690"/>
      <c r="L205" s="3691"/>
      <c r="M205" s="3689"/>
      <c r="N205" s="3689"/>
      <c r="O205" s="3689"/>
      <c r="P205" s="3689"/>
      <c r="Q205" s="3689"/>
      <c r="R205" s="3689"/>
      <c r="S205" s="3689"/>
      <c r="T205" s="3689"/>
      <c r="U205" s="3689"/>
      <c r="V205" s="3689"/>
      <c r="W205" s="3689"/>
      <c r="X205" s="3689"/>
      <c r="Y205" s="3689"/>
      <c r="Z205" s="3689"/>
      <c r="AA205" s="3689"/>
      <c r="AB205" s="3689"/>
      <c r="AC205" s="3689"/>
    </row>
    <row r="206" spans="1:29">
      <c r="A206" s="3689"/>
      <c r="B206" s="3689"/>
      <c r="C206" s="3689"/>
      <c r="D206" s="3689"/>
      <c r="E206" s="3689"/>
      <c r="F206" s="3689"/>
      <c r="G206" s="3689"/>
      <c r="H206" s="3689"/>
      <c r="I206" s="3689"/>
      <c r="J206" s="3689"/>
      <c r="K206" s="3690"/>
      <c r="L206" s="3691"/>
      <c r="M206" s="3689"/>
      <c r="N206" s="3689"/>
      <c r="O206" s="3689"/>
      <c r="P206" s="3689"/>
      <c r="Q206" s="3689"/>
      <c r="R206" s="3689"/>
      <c r="S206" s="3689"/>
      <c r="T206" s="3689"/>
      <c r="U206" s="3689"/>
      <c r="V206" s="3689"/>
      <c r="W206" s="3689"/>
      <c r="X206" s="3689"/>
      <c r="Y206" s="3689"/>
      <c r="Z206" s="3689"/>
      <c r="AA206" s="3689"/>
      <c r="AB206" s="3689"/>
      <c r="AC206" s="3689"/>
    </row>
    <row r="207" spans="1:29">
      <c r="A207" s="3689"/>
      <c r="B207" s="3689"/>
      <c r="C207" s="3689"/>
      <c r="D207" s="3689"/>
      <c r="E207" s="3689"/>
      <c r="F207" s="3689"/>
      <c r="G207" s="3689"/>
      <c r="H207" s="3689"/>
      <c r="I207" s="3689"/>
      <c r="J207" s="3689"/>
      <c r="K207" s="3690"/>
      <c r="L207" s="3691"/>
      <c r="M207" s="3689"/>
      <c r="N207" s="3689"/>
      <c r="O207" s="3689"/>
      <c r="P207" s="3689"/>
      <c r="Q207" s="3689"/>
      <c r="R207" s="3689"/>
      <c r="S207" s="3689"/>
      <c r="T207" s="3689"/>
      <c r="U207" s="3689"/>
      <c r="V207" s="3689"/>
      <c r="W207" s="3689"/>
      <c r="X207" s="3689"/>
      <c r="Y207" s="3689"/>
      <c r="Z207" s="3689"/>
      <c r="AA207" s="3689"/>
      <c r="AB207" s="3689"/>
      <c r="AC207" s="3689"/>
    </row>
    <row r="208" spans="1:29">
      <c r="A208" s="3689"/>
      <c r="B208" s="3689"/>
      <c r="C208" s="3689"/>
      <c r="D208" s="3689"/>
      <c r="E208" s="3689"/>
      <c r="F208" s="3689"/>
      <c r="G208" s="3689"/>
      <c r="H208" s="3689"/>
      <c r="I208" s="3689"/>
      <c r="J208" s="3689"/>
      <c r="K208" s="3690"/>
      <c r="L208" s="3691"/>
      <c r="M208" s="3689"/>
      <c r="N208" s="3689"/>
      <c r="O208" s="3689"/>
      <c r="P208" s="3689"/>
      <c r="Q208" s="3689"/>
      <c r="R208" s="3689"/>
      <c r="S208" s="3689"/>
      <c r="T208" s="3689"/>
      <c r="U208" s="3689"/>
      <c r="V208" s="3689"/>
      <c r="W208" s="3689"/>
      <c r="X208" s="3689"/>
      <c r="Y208" s="3689"/>
      <c r="Z208" s="3689"/>
      <c r="AA208" s="3689"/>
      <c r="AB208" s="3689"/>
      <c r="AC208" s="3689"/>
    </row>
    <row r="209" spans="1:29">
      <c r="A209" s="3689"/>
      <c r="B209" s="3689"/>
      <c r="C209" s="3689"/>
      <c r="D209" s="3689"/>
      <c r="E209" s="3689"/>
      <c r="F209" s="3689"/>
      <c r="G209" s="3689"/>
      <c r="H209" s="3689"/>
      <c r="I209" s="3689"/>
      <c r="J209" s="3689"/>
      <c r="K209" s="3690"/>
      <c r="L209" s="3691"/>
      <c r="M209" s="3689"/>
      <c r="N209" s="3689"/>
      <c r="O209" s="3689"/>
      <c r="P209" s="3689"/>
      <c r="Q209" s="3689"/>
      <c r="R209" s="3689"/>
      <c r="S209" s="3689"/>
      <c r="T209" s="3689"/>
      <c r="U209" s="3689"/>
      <c r="V209" s="3689"/>
      <c r="W209" s="3689"/>
      <c r="X209" s="3689"/>
      <c r="Y209" s="3689"/>
      <c r="Z209" s="3689"/>
      <c r="AA209" s="3689"/>
      <c r="AB209" s="3689"/>
      <c r="AC209" s="3689"/>
    </row>
    <row r="210" spans="1:29">
      <c r="A210" s="3689"/>
      <c r="B210" s="3689"/>
      <c r="C210" s="3689"/>
      <c r="D210" s="3689"/>
      <c r="E210" s="3689"/>
      <c r="F210" s="3689"/>
      <c r="G210" s="3689"/>
      <c r="H210" s="3689"/>
      <c r="I210" s="3689"/>
      <c r="J210" s="3689"/>
      <c r="K210" s="3690"/>
      <c r="L210" s="3691"/>
      <c r="M210" s="3689"/>
      <c r="N210" s="3689"/>
      <c r="O210" s="3689"/>
      <c r="P210" s="3689"/>
      <c r="Q210" s="3689"/>
      <c r="R210" s="3689"/>
      <c r="S210" s="3689"/>
      <c r="T210" s="3689"/>
      <c r="U210" s="3689"/>
      <c r="V210" s="3689"/>
      <c r="W210" s="3689"/>
      <c r="X210" s="3689"/>
      <c r="Y210" s="3689"/>
      <c r="Z210" s="3689"/>
      <c r="AA210" s="3689"/>
      <c r="AB210" s="3689"/>
      <c r="AC210" s="3689"/>
    </row>
    <row r="211" spans="1:29">
      <c r="A211" s="3689"/>
      <c r="B211" s="3689"/>
      <c r="C211" s="3689"/>
      <c r="D211" s="3689"/>
      <c r="E211" s="3689"/>
      <c r="F211" s="3689"/>
      <c r="G211" s="3689"/>
      <c r="H211" s="3689"/>
      <c r="I211" s="3689"/>
      <c r="J211" s="3689"/>
      <c r="K211" s="3690"/>
      <c r="L211" s="3691"/>
      <c r="M211" s="3689"/>
      <c r="N211" s="3689"/>
      <c r="O211" s="3689"/>
      <c r="P211" s="3689"/>
      <c r="Q211" s="3689"/>
      <c r="R211" s="3689"/>
      <c r="S211" s="3689"/>
      <c r="T211" s="3689"/>
      <c r="U211" s="3689"/>
      <c r="V211" s="3689"/>
      <c r="W211" s="3689"/>
      <c r="X211" s="3689"/>
      <c r="Y211" s="3689"/>
      <c r="Z211" s="3689"/>
      <c r="AA211" s="3689"/>
      <c r="AB211" s="3689"/>
      <c r="AC211" s="3689"/>
    </row>
    <row r="212" spans="1:29">
      <c r="A212" s="3689"/>
      <c r="B212" s="3689"/>
      <c r="C212" s="3689"/>
      <c r="D212" s="3689"/>
      <c r="E212" s="3689"/>
      <c r="F212" s="3689"/>
      <c r="G212" s="3689"/>
      <c r="H212" s="3689"/>
      <c r="I212" s="3689"/>
      <c r="J212" s="3689"/>
      <c r="K212" s="3690"/>
      <c r="L212" s="3691"/>
      <c r="M212" s="3689"/>
      <c r="N212" s="3689"/>
      <c r="O212" s="3689"/>
      <c r="P212" s="3689"/>
      <c r="Q212" s="3689"/>
      <c r="R212" s="3689"/>
      <c r="S212" s="3689"/>
      <c r="T212" s="3689"/>
      <c r="U212" s="3689"/>
      <c r="V212" s="3689"/>
      <c r="W212" s="3689"/>
      <c r="X212" s="3689"/>
      <c r="Y212" s="3689"/>
      <c r="Z212" s="3689"/>
      <c r="AA212" s="3689"/>
      <c r="AB212" s="3689"/>
      <c r="AC212" s="3689"/>
    </row>
    <row r="213" spans="1:29">
      <c r="A213" s="3689"/>
      <c r="B213" s="3689"/>
      <c r="C213" s="3689"/>
      <c r="D213" s="3689"/>
      <c r="E213" s="3689"/>
      <c r="F213" s="3689"/>
      <c r="G213" s="3689"/>
      <c r="H213" s="3689"/>
      <c r="I213" s="3689"/>
      <c r="J213" s="3689"/>
      <c r="K213" s="3690"/>
      <c r="L213" s="3691"/>
      <c r="M213" s="3689"/>
      <c r="N213" s="3689"/>
      <c r="O213" s="3689"/>
      <c r="P213" s="3689"/>
      <c r="Q213" s="3689"/>
      <c r="R213" s="3689"/>
      <c r="S213" s="3689"/>
      <c r="T213" s="3689"/>
      <c r="U213" s="3689"/>
      <c r="V213" s="3689"/>
      <c r="W213" s="3689"/>
      <c r="X213" s="3689"/>
      <c r="Y213" s="3689"/>
      <c r="Z213" s="3689"/>
      <c r="AA213" s="3689"/>
      <c r="AB213" s="3689"/>
      <c r="AC213" s="3689"/>
    </row>
    <row r="214" spans="1:29">
      <c r="A214" s="3689"/>
      <c r="B214" s="3689"/>
      <c r="C214" s="3689"/>
      <c r="D214" s="3689"/>
      <c r="E214" s="3689"/>
      <c r="F214" s="3689"/>
      <c r="G214" s="3689"/>
      <c r="H214" s="3689"/>
      <c r="I214" s="3689"/>
      <c r="J214" s="3689"/>
      <c r="K214" s="3690"/>
      <c r="L214" s="3691"/>
      <c r="M214" s="3689"/>
      <c r="N214" s="3689"/>
      <c r="O214" s="3689"/>
      <c r="P214" s="3689"/>
      <c r="Q214" s="3689"/>
      <c r="R214" s="3689"/>
      <c r="S214" s="3689"/>
      <c r="T214" s="3689"/>
      <c r="U214" s="3689"/>
      <c r="V214" s="3689"/>
      <c r="W214" s="3689"/>
      <c r="X214" s="3689"/>
      <c r="Y214" s="3689"/>
      <c r="Z214" s="3689"/>
      <c r="AA214" s="3689"/>
      <c r="AB214" s="3689"/>
      <c r="AC214" s="3689"/>
    </row>
    <row r="215" spans="1:29">
      <c r="A215" s="3689"/>
      <c r="B215" s="3689"/>
      <c r="C215" s="3689"/>
      <c r="D215" s="3689"/>
      <c r="E215" s="3689"/>
      <c r="F215" s="3689"/>
      <c r="G215" s="3689"/>
      <c r="H215" s="3689"/>
      <c r="I215" s="3689"/>
      <c r="J215" s="3689"/>
      <c r="K215" s="3690"/>
      <c r="L215" s="3691"/>
      <c r="M215" s="3689"/>
      <c r="N215" s="3689"/>
      <c r="O215" s="3689"/>
      <c r="P215" s="3689"/>
      <c r="Q215" s="3689"/>
      <c r="R215" s="3689"/>
      <c r="S215" s="3689"/>
      <c r="T215" s="3689"/>
      <c r="U215" s="3689"/>
      <c r="V215" s="3689"/>
      <c r="W215" s="3689"/>
      <c r="X215" s="3689"/>
      <c r="Y215" s="3689"/>
      <c r="Z215" s="3689"/>
      <c r="AA215" s="3689"/>
      <c r="AB215" s="3689"/>
      <c r="AC215" s="3689"/>
    </row>
    <row r="216" spans="1:29">
      <c r="A216" s="3689"/>
      <c r="B216" s="3689"/>
      <c r="C216" s="3689"/>
      <c r="D216" s="3689"/>
      <c r="E216" s="3689"/>
      <c r="F216" s="3689"/>
      <c r="G216" s="3689"/>
      <c r="H216" s="3689"/>
      <c r="I216" s="3689"/>
      <c r="J216" s="3689"/>
      <c r="K216" s="3690"/>
      <c r="L216" s="3691"/>
      <c r="M216" s="3689"/>
      <c r="N216" s="3689"/>
      <c r="O216" s="3689"/>
      <c r="P216" s="3689"/>
      <c r="Q216" s="3689"/>
      <c r="R216" s="3689"/>
      <c r="S216" s="3689"/>
      <c r="T216" s="3689"/>
      <c r="U216" s="3689"/>
      <c r="V216" s="3689"/>
      <c r="W216" s="3689"/>
      <c r="X216" s="3689"/>
      <c r="Y216" s="3689"/>
      <c r="Z216" s="3689"/>
      <c r="AA216" s="3689"/>
      <c r="AB216" s="3689"/>
      <c r="AC216" s="3689"/>
    </row>
    <row r="217" spans="1:29">
      <c r="A217" s="3689"/>
      <c r="B217" s="3689"/>
      <c r="C217" s="3689"/>
      <c r="D217" s="3689"/>
      <c r="E217" s="3689"/>
      <c r="F217" s="3689"/>
      <c r="G217" s="3689"/>
      <c r="H217" s="3689"/>
      <c r="I217" s="3689"/>
      <c r="J217" s="3689"/>
      <c r="K217" s="3690"/>
      <c r="L217" s="3691"/>
      <c r="M217" s="3689"/>
      <c r="N217" s="3689"/>
      <c r="O217" s="3689"/>
      <c r="P217" s="3689"/>
      <c r="Q217" s="3689"/>
      <c r="R217" s="3689"/>
      <c r="S217" s="3689"/>
      <c r="T217" s="3689"/>
      <c r="U217" s="3689"/>
      <c r="V217" s="3689"/>
      <c r="W217" s="3689"/>
      <c r="X217" s="3689"/>
      <c r="Y217" s="3689"/>
      <c r="Z217" s="3689"/>
      <c r="AA217" s="3689"/>
      <c r="AB217" s="3689"/>
      <c r="AC217" s="3689"/>
    </row>
    <row r="218" spans="1:29">
      <c r="A218" s="3689"/>
      <c r="B218" s="3689"/>
      <c r="C218" s="3689"/>
      <c r="D218" s="3689"/>
      <c r="E218" s="3689"/>
      <c r="F218" s="3689"/>
      <c r="G218" s="3689"/>
      <c r="H218" s="3689"/>
      <c r="I218" s="3689"/>
      <c r="J218" s="3689"/>
      <c r="K218" s="3690"/>
      <c r="L218" s="3691"/>
      <c r="M218" s="3689"/>
      <c r="N218" s="3689"/>
      <c r="O218" s="3689"/>
      <c r="P218" s="3689"/>
      <c r="Q218" s="3689"/>
      <c r="R218" s="3689"/>
      <c r="S218" s="3689"/>
      <c r="T218" s="3689"/>
      <c r="U218" s="3689"/>
      <c r="V218" s="3689"/>
      <c r="W218" s="3689"/>
      <c r="X218" s="3689"/>
      <c r="Y218" s="3689"/>
      <c r="Z218" s="3689"/>
      <c r="AA218" s="3689"/>
      <c r="AB218" s="3689"/>
      <c r="AC218" s="3689"/>
    </row>
    <row r="219" spans="1:29">
      <c r="A219" s="3689"/>
      <c r="B219" s="3689"/>
      <c r="C219" s="3689"/>
      <c r="D219" s="3689"/>
      <c r="E219" s="3689"/>
      <c r="F219" s="3689"/>
      <c r="G219" s="3689"/>
      <c r="H219" s="3689"/>
      <c r="I219" s="3689"/>
      <c r="J219" s="3689"/>
      <c r="K219" s="3690"/>
      <c r="L219" s="3691"/>
      <c r="M219" s="3689"/>
      <c r="N219" s="3689"/>
      <c r="O219" s="3689"/>
      <c r="P219" s="3689"/>
      <c r="Q219" s="3689"/>
      <c r="R219" s="3689"/>
      <c r="S219" s="3689"/>
      <c r="T219" s="3689"/>
      <c r="U219" s="3689"/>
      <c r="V219" s="3689"/>
      <c r="W219" s="3689"/>
      <c r="X219" s="3689"/>
      <c r="Y219" s="3689"/>
      <c r="Z219" s="3689"/>
      <c r="AA219" s="3689"/>
      <c r="AB219" s="3689"/>
      <c r="AC219" s="3689"/>
    </row>
    <row r="220" spans="1:29">
      <c r="A220" s="3689"/>
      <c r="B220" s="3689"/>
      <c r="C220" s="3689"/>
      <c r="D220" s="3689"/>
      <c r="E220" s="3689"/>
      <c r="F220" s="3689"/>
      <c r="G220" s="3689"/>
      <c r="H220" s="3689"/>
      <c r="I220" s="3689"/>
      <c r="J220" s="3689"/>
      <c r="K220" s="3690"/>
      <c r="L220" s="3691"/>
      <c r="M220" s="3689"/>
      <c r="N220" s="3689"/>
      <c r="O220" s="3689"/>
      <c r="P220" s="3689"/>
      <c r="Q220" s="3689"/>
      <c r="R220" s="3689"/>
      <c r="S220" s="3689"/>
      <c r="T220" s="3689"/>
      <c r="U220" s="3689"/>
      <c r="V220" s="3689"/>
      <c r="W220" s="3689"/>
      <c r="X220" s="3689"/>
      <c r="Y220" s="3689"/>
      <c r="Z220" s="3689"/>
      <c r="AA220" s="3689"/>
      <c r="AB220" s="3689"/>
      <c r="AC220" s="3689"/>
    </row>
    <row r="221" spans="1:29">
      <c r="A221" s="3689"/>
      <c r="B221" s="3689"/>
      <c r="C221" s="3689"/>
      <c r="D221" s="3689"/>
      <c r="E221" s="3689"/>
      <c r="F221" s="3689"/>
      <c r="G221" s="3689"/>
      <c r="H221" s="3689"/>
      <c r="I221" s="3689"/>
      <c r="J221" s="3689"/>
      <c r="K221" s="3690"/>
      <c r="L221" s="3691"/>
      <c r="M221" s="3689"/>
      <c r="N221" s="3689"/>
      <c r="O221" s="3689"/>
      <c r="P221" s="3689"/>
      <c r="Q221" s="3689"/>
      <c r="R221" s="3689"/>
      <c r="S221" s="3689"/>
      <c r="T221" s="3689"/>
      <c r="U221" s="3689"/>
      <c r="V221" s="3689"/>
      <c r="W221" s="3689"/>
      <c r="X221" s="3689"/>
      <c r="Y221" s="3689"/>
      <c r="Z221" s="3689"/>
      <c r="AA221" s="3689"/>
      <c r="AB221" s="3689"/>
      <c r="AC221" s="3689"/>
    </row>
    <row r="222" spans="1:29">
      <c r="A222" s="3689"/>
      <c r="B222" s="3689"/>
      <c r="C222" s="3689"/>
      <c r="D222" s="3689"/>
      <c r="E222" s="3689"/>
      <c r="F222" s="3689"/>
      <c r="G222" s="3689"/>
      <c r="H222" s="3689"/>
      <c r="I222" s="3689"/>
      <c r="J222" s="3689"/>
      <c r="K222" s="3690"/>
      <c r="L222" s="3691"/>
      <c r="M222" s="3689"/>
      <c r="N222" s="3689"/>
      <c r="O222" s="3689"/>
      <c r="P222" s="3689"/>
      <c r="Q222" s="3689"/>
      <c r="R222" s="3689"/>
      <c r="S222" s="3689"/>
      <c r="T222" s="3689"/>
      <c r="U222" s="3689"/>
      <c r="V222" s="3689"/>
      <c r="W222" s="3689"/>
      <c r="X222" s="3689"/>
      <c r="Y222" s="3689"/>
      <c r="Z222" s="3689"/>
      <c r="AA222" s="3689"/>
      <c r="AB222" s="3689"/>
      <c r="AC222" s="3689"/>
    </row>
    <row r="223" spans="1:29">
      <c r="A223" s="3689"/>
      <c r="B223" s="3689"/>
      <c r="C223" s="3689"/>
      <c r="D223" s="3689"/>
      <c r="E223" s="3689"/>
      <c r="F223" s="3689"/>
      <c r="G223" s="3689"/>
      <c r="H223" s="3689"/>
      <c r="I223" s="3689"/>
      <c r="J223" s="3689"/>
      <c r="K223" s="3690"/>
      <c r="L223" s="3691"/>
      <c r="M223" s="3689"/>
      <c r="N223" s="3689"/>
      <c r="O223" s="3689"/>
      <c r="P223" s="3689"/>
      <c r="Q223" s="3689"/>
      <c r="R223" s="3689"/>
      <c r="S223" s="3689"/>
      <c r="T223" s="3689"/>
      <c r="U223" s="3689"/>
      <c r="V223" s="3689"/>
      <c r="W223" s="3689"/>
      <c r="X223" s="3689"/>
      <c r="Y223" s="3689"/>
      <c r="Z223" s="3689"/>
      <c r="AA223" s="3689"/>
      <c r="AB223" s="3689"/>
      <c r="AC223" s="3689"/>
    </row>
    <row r="224" spans="1:29">
      <c r="A224" s="3689"/>
      <c r="B224" s="3689"/>
      <c r="C224" s="3689"/>
      <c r="D224" s="3689"/>
      <c r="E224" s="3689"/>
      <c r="F224" s="3689"/>
      <c r="G224" s="3689"/>
      <c r="H224" s="3689"/>
      <c r="I224" s="3689"/>
      <c r="J224" s="3689"/>
      <c r="K224" s="3690"/>
      <c r="L224" s="3691"/>
      <c r="M224" s="3689"/>
      <c r="N224" s="3689"/>
      <c r="O224" s="3689"/>
      <c r="P224" s="3689"/>
      <c r="Q224" s="3689"/>
      <c r="R224" s="3689"/>
      <c r="S224" s="3689"/>
      <c r="T224" s="3689"/>
      <c r="U224" s="3689"/>
      <c r="V224" s="3689"/>
      <c r="W224" s="3689"/>
      <c r="X224" s="3689"/>
      <c r="Y224" s="3689"/>
      <c r="Z224" s="3689"/>
      <c r="AA224" s="3689"/>
      <c r="AB224" s="3689"/>
      <c r="AC224" s="3689"/>
    </row>
    <row r="225" spans="1:29">
      <c r="A225" s="3689"/>
      <c r="B225" s="3689"/>
      <c r="C225" s="3689"/>
      <c r="D225" s="3689"/>
      <c r="E225" s="3689"/>
      <c r="F225" s="3689"/>
      <c r="G225" s="3689"/>
      <c r="H225" s="3689"/>
      <c r="I225" s="3689"/>
      <c r="J225" s="3689"/>
      <c r="K225" s="3690"/>
      <c r="L225" s="3691"/>
      <c r="M225" s="3689"/>
      <c r="N225" s="3689"/>
      <c r="O225" s="3689"/>
      <c r="P225" s="3689"/>
      <c r="Q225" s="3689"/>
      <c r="R225" s="3689"/>
      <c r="S225" s="3689"/>
      <c r="T225" s="3689"/>
      <c r="U225" s="3689"/>
      <c r="V225" s="3689"/>
      <c r="W225" s="3689"/>
      <c r="X225" s="3689"/>
      <c r="Y225" s="3689"/>
      <c r="Z225" s="3689"/>
      <c r="AA225" s="3689"/>
      <c r="AB225" s="3689"/>
      <c r="AC225" s="3689"/>
    </row>
    <row r="226" spans="1:29">
      <c r="A226" s="3689"/>
      <c r="B226" s="3689"/>
      <c r="C226" s="3689"/>
      <c r="D226" s="3689"/>
      <c r="E226" s="3689"/>
      <c r="F226" s="3689"/>
      <c r="G226" s="3689"/>
      <c r="H226" s="3689"/>
      <c r="I226" s="3689"/>
      <c r="J226" s="3689"/>
      <c r="K226" s="3690"/>
      <c r="L226" s="3691"/>
      <c r="M226" s="3689"/>
      <c r="N226" s="3689"/>
      <c r="O226" s="3689"/>
      <c r="P226" s="3689"/>
      <c r="Q226" s="3689"/>
      <c r="R226" s="3689"/>
      <c r="S226" s="3689"/>
      <c r="T226" s="3689"/>
      <c r="U226" s="3689"/>
      <c r="V226" s="3689"/>
      <c r="W226" s="3689"/>
      <c r="X226" s="3689"/>
      <c r="Y226" s="3689"/>
      <c r="Z226" s="3689"/>
      <c r="AA226" s="3689"/>
      <c r="AB226" s="3689"/>
      <c r="AC226" s="3689"/>
    </row>
    <row r="227" spans="1:29">
      <c r="A227" s="3689"/>
      <c r="B227" s="3689"/>
      <c r="C227" s="3689"/>
      <c r="D227" s="3689"/>
      <c r="E227" s="3689"/>
      <c r="F227" s="3689"/>
      <c r="G227" s="3689"/>
      <c r="H227" s="3689"/>
      <c r="I227" s="3689"/>
      <c r="J227" s="3689"/>
      <c r="K227" s="3690"/>
      <c r="L227" s="3691"/>
      <c r="M227" s="3689"/>
      <c r="N227" s="3689"/>
      <c r="O227" s="3689"/>
      <c r="P227" s="3689"/>
      <c r="Q227" s="3689"/>
      <c r="R227" s="3689"/>
      <c r="S227" s="3689"/>
      <c r="T227" s="3689"/>
      <c r="U227" s="3689"/>
      <c r="V227" s="3689"/>
      <c r="W227" s="3689"/>
      <c r="X227" s="3689"/>
      <c r="Y227" s="3689"/>
      <c r="Z227" s="3689"/>
      <c r="AA227" s="3689"/>
      <c r="AB227" s="3689"/>
      <c r="AC227" s="3689"/>
    </row>
    <row r="228" spans="1:29">
      <c r="A228" s="3689"/>
      <c r="B228" s="3689"/>
      <c r="C228" s="3689"/>
      <c r="D228" s="3689"/>
      <c r="E228" s="3689"/>
      <c r="F228" s="3689"/>
      <c r="G228" s="3689"/>
      <c r="H228" s="3689"/>
      <c r="I228" s="3689"/>
      <c r="J228" s="3689"/>
      <c r="K228" s="3690"/>
      <c r="L228" s="3691"/>
      <c r="M228" s="3689"/>
      <c r="N228" s="3689"/>
      <c r="O228" s="3689"/>
      <c r="P228" s="3689"/>
      <c r="Q228" s="3689"/>
      <c r="R228" s="3689"/>
      <c r="S228" s="3689"/>
      <c r="T228" s="3689"/>
      <c r="U228" s="3689"/>
      <c r="V228" s="3689"/>
      <c r="W228" s="3689"/>
      <c r="X228" s="3689"/>
      <c r="Y228" s="3689"/>
      <c r="Z228" s="3689"/>
      <c r="AA228" s="3689"/>
      <c r="AB228" s="3689"/>
      <c r="AC228" s="3689"/>
    </row>
    <row r="229" spans="1:29">
      <c r="A229" s="3689"/>
      <c r="B229" s="3689"/>
      <c r="C229" s="3689"/>
      <c r="D229" s="3689"/>
      <c r="E229" s="3689"/>
      <c r="F229" s="3689"/>
      <c r="G229" s="3689"/>
      <c r="H229" s="3689"/>
      <c r="I229" s="3689"/>
      <c r="J229" s="3689"/>
      <c r="K229" s="3690"/>
      <c r="L229" s="3691"/>
      <c r="M229" s="3689"/>
      <c r="N229" s="3689"/>
      <c r="O229" s="3689"/>
      <c r="P229" s="3689"/>
      <c r="Q229" s="3689"/>
      <c r="R229" s="3689"/>
      <c r="S229" s="3689"/>
      <c r="T229" s="3689"/>
      <c r="U229" s="3689"/>
      <c r="V229" s="3689"/>
      <c r="W229" s="3689"/>
      <c r="X229" s="3689"/>
      <c r="Y229" s="3689"/>
      <c r="Z229" s="3689"/>
      <c r="AA229" s="3689"/>
      <c r="AB229" s="3689"/>
      <c r="AC229" s="3689"/>
    </row>
    <row r="230" spans="1:29">
      <c r="A230" s="3689"/>
      <c r="B230" s="3689"/>
      <c r="C230" s="3689"/>
      <c r="D230" s="3689"/>
      <c r="E230" s="3689"/>
      <c r="F230" s="3689"/>
      <c r="G230" s="3689"/>
      <c r="H230" s="3689"/>
      <c r="I230" s="3689"/>
      <c r="J230" s="3689"/>
      <c r="K230" s="3690"/>
      <c r="L230" s="3691"/>
      <c r="M230" s="3689"/>
      <c r="N230" s="3689"/>
      <c r="O230" s="3689"/>
      <c r="P230" s="3689"/>
      <c r="Q230" s="3689"/>
      <c r="R230" s="3689"/>
      <c r="S230" s="3689"/>
      <c r="T230" s="3689"/>
      <c r="U230" s="3689"/>
      <c r="V230" s="3689"/>
      <c r="W230" s="3689"/>
      <c r="X230" s="3689"/>
      <c r="Y230" s="3689"/>
      <c r="Z230" s="3689"/>
      <c r="AA230" s="3689"/>
      <c r="AB230" s="3689"/>
      <c r="AC230" s="3689"/>
    </row>
    <row r="231" spans="1:29">
      <c r="A231" s="3689"/>
      <c r="B231" s="3689"/>
      <c r="C231" s="3689"/>
      <c r="D231" s="3689"/>
      <c r="E231" s="3689"/>
      <c r="F231" s="3689"/>
      <c r="G231" s="3689"/>
      <c r="H231" s="3689"/>
      <c r="I231" s="3689"/>
      <c r="J231" s="3689"/>
      <c r="K231" s="3690"/>
      <c r="L231" s="3691"/>
      <c r="M231" s="3689"/>
      <c r="N231" s="3689"/>
      <c r="O231" s="3689"/>
      <c r="P231" s="3689"/>
      <c r="Q231" s="3689"/>
      <c r="R231" s="3689"/>
      <c r="S231" s="3689"/>
      <c r="T231" s="3689"/>
      <c r="U231" s="3689"/>
      <c r="V231" s="3689"/>
      <c r="W231" s="3689"/>
      <c r="X231" s="3689"/>
      <c r="Y231" s="3689"/>
      <c r="Z231" s="3689"/>
      <c r="AA231" s="3689"/>
      <c r="AB231" s="3689"/>
      <c r="AC231" s="3689"/>
    </row>
    <row r="232" spans="1:29">
      <c r="A232" s="3689"/>
      <c r="B232" s="3689"/>
      <c r="C232" s="3689"/>
      <c r="D232" s="3689"/>
      <c r="E232" s="3689"/>
      <c r="F232" s="3689"/>
      <c r="G232" s="3689"/>
      <c r="H232" s="3689"/>
      <c r="I232" s="3689"/>
      <c r="J232" s="3689"/>
      <c r="K232" s="3690"/>
      <c r="L232" s="3691"/>
      <c r="M232" s="3689"/>
      <c r="N232" s="3689"/>
      <c r="O232" s="3689"/>
      <c r="P232" s="3689"/>
      <c r="Q232" s="3689"/>
      <c r="R232" s="3689"/>
      <c r="S232" s="3689"/>
      <c r="T232" s="3689"/>
      <c r="U232" s="3689"/>
      <c r="V232" s="3689"/>
      <c r="W232" s="3689"/>
      <c r="X232" s="3689"/>
      <c r="Y232" s="3689"/>
      <c r="Z232" s="3689"/>
      <c r="AA232" s="3689"/>
      <c r="AB232" s="3689"/>
      <c r="AC232" s="3689"/>
    </row>
    <row r="233" spans="1:29">
      <c r="A233" s="3689"/>
      <c r="B233" s="3689"/>
      <c r="C233" s="3689"/>
      <c r="D233" s="3689"/>
      <c r="E233" s="3689"/>
      <c r="F233" s="3689"/>
      <c r="G233" s="3689"/>
      <c r="H233" s="3689"/>
      <c r="I233" s="3689"/>
      <c r="J233" s="3689"/>
      <c r="K233" s="3690"/>
      <c r="L233" s="3691"/>
      <c r="M233" s="3689"/>
      <c r="N233" s="3689"/>
      <c r="O233" s="3689"/>
      <c r="P233" s="3689"/>
      <c r="Q233" s="3689"/>
      <c r="R233" s="3689"/>
      <c r="S233" s="3689"/>
      <c r="T233" s="3689"/>
      <c r="U233" s="3689"/>
      <c r="V233" s="3689"/>
      <c r="W233" s="3689"/>
      <c r="X233" s="3689"/>
      <c r="Y233" s="3689"/>
      <c r="Z233" s="3689"/>
      <c r="AA233" s="3689"/>
      <c r="AB233" s="3689"/>
      <c r="AC233" s="3689"/>
    </row>
    <row r="234" spans="1:29">
      <c r="A234" s="3689"/>
      <c r="B234" s="3689"/>
      <c r="C234" s="3689"/>
      <c r="D234" s="3689"/>
      <c r="E234" s="3689"/>
      <c r="F234" s="3689"/>
      <c r="G234" s="3689"/>
      <c r="H234" s="3689"/>
      <c r="I234" s="3689"/>
      <c r="J234" s="3689"/>
      <c r="K234" s="3690"/>
      <c r="L234" s="3691"/>
      <c r="M234" s="3689"/>
      <c r="N234" s="3689"/>
      <c r="O234" s="3689"/>
      <c r="P234" s="3689"/>
      <c r="Q234" s="3689"/>
      <c r="R234" s="3689"/>
      <c r="S234" s="3689"/>
      <c r="T234" s="3689"/>
      <c r="U234" s="3689"/>
      <c r="V234" s="3689"/>
      <c r="W234" s="3689"/>
      <c r="X234" s="3689"/>
      <c r="Y234" s="3689"/>
      <c r="Z234" s="3689"/>
      <c r="AA234" s="3689"/>
      <c r="AB234" s="3689"/>
      <c r="AC234" s="3689"/>
    </row>
    <row r="235" spans="1:29">
      <c r="A235" s="3689"/>
      <c r="B235" s="3689"/>
      <c r="C235" s="3689"/>
      <c r="D235" s="3689"/>
      <c r="E235" s="3689"/>
      <c r="F235" s="3689"/>
      <c r="G235" s="3689"/>
      <c r="H235" s="3689"/>
      <c r="I235" s="3689"/>
      <c r="J235" s="3689"/>
      <c r="K235" s="3690"/>
      <c r="L235" s="3691"/>
      <c r="M235" s="3689"/>
      <c r="N235" s="3689"/>
      <c r="O235" s="3689"/>
      <c r="P235" s="3689"/>
      <c r="Q235" s="3689"/>
      <c r="R235" s="3689"/>
      <c r="S235" s="3689"/>
      <c r="T235" s="3689"/>
      <c r="U235" s="3689"/>
      <c r="V235" s="3689"/>
      <c r="W235" s="3689"/>
      <c r="X235" s="3689"/>
      <c r="Y235" s="3689"/>
      <c r="Z235" s="3689"/>
      <c r="AA235" s="3689"/>
      <c r="AB235" s="3689"/>
      <c r="AC235" s="3689"/>
    </row>
    <row r="236" spans="1:29">
      <c r="A236" s="3689"/>
      <c r="B236" s="3689"/>
      <c r="C236" s="3689"/>
      <c r="D236" s="3689"/>
      <c r="E236" s="3689"/>
      <c r="F236" s="3689"/>
      <c r="G236" s="3689"/>
      <c r="H236" s="3689"/>
      <c r="I236" s="3689"/>
      <c r="J236" s="3689"/>
      <c r="K236" s="3690"/>
      <c r="L236" s="3691"/>
      <c r="M236" s="3689"/>
      <c r="N236" s="3689"/>
      <c r="O236" s="3689"/>
      <c r="P236" s="3689"/>
      <c r="Q236" s="3689"/>
      <c r="R236" s="3689"/>
      <c r="S236" s="3689"/>
      <c r="T236" s="3689"/>
      <c r="U236" s="3689"/>
      <c r="V236" s="3689"/>
      <c r="W236" s="3689"/>
      <c r="X236" s="3689"/>
      <c r="Y236" s="3689"/>
      <c r="Z236" s="3689"/>
      <c r="AA236" s="3689"/>
      <c r="AB236" s="3689"/>
      <c r="AC236" s="3689"/>
    </row>
    <row r="237" spans="1:29">
      <c r="A237" s="3689"/>
      <c r="B237" s="3689"/>
      <c r="C237" s="3689"/>
      <c r="D237" s="3689"/>
      <c r="E237" s="3689"/>
      <c r="F237" s="3689"/>
      <c r="G237" s="3689"/>
      <c r="H237" s="3689"/>
      <c r="I237" s="3689"/>
      <c r="J237" s="3689"/>
      <c r="K237" s="3690"/>
      <c r="L237" s="3691"/>
      <c r="M237" s="3689"/>
      <c r="N237" s="3689"/>
      <c r="O237" s="3689"/>
      <c r="P237" s="3689"/>
      <c r="Q237" s="3689"/>
      <c r="R237" s="3689"/>
      <c r="S237" s="3689"/>
      <c r="T237" s="3689"/>
      <c r="U237" s="3689"/>
      <c r="V237" s="3689"/>
      <c r="W237" s="3689"/>
      <c r="X237" s="3689"/>
      <c r="Y237" s="3689"/>
      <c r="Z237" s="3689"/>
      <c r="AA237" s="3689"/>
      <c r="AB237" s="3689"/>
      <c r="AC237" s="3689"/>
    </row>
    <row r="238" spans="1:29">
      <c r="A238" s="3689"/>
      <c r="B238" s="3689"/>
      <c r="C238" s="3689"/>
      <c r="D238" s="3689"/>
      <c r="E238" s="3689"/>
      <c r="F238" s="3689"/>
      <c r="G238" s="3689"/>
      <c r="H238" s="3689"/>
      <c r="I238" s="3689"/>
      <c r="J238" s="3689"/>
      <c r="K238" s="3690"/>
      <c r="L238" s="3691"/>
      <c r="M238" s="3689"/>
      <c r="N238" s="3689"/>
      <c r="O238" s="3689"/>
      <c r="P238" s="3689"/>
      <c r="Q238" s="3689"/>
      <c r="R238" s="3689"/>
      <c r="S238" s="3689"/>
      <c r="T238" s="3689"/>
      <c r="U238" s="3689"/>
      <c r="V238" s="3689"/>
      <c r="W238" s="3689"/>
      <c r="X238" s="3689"/>
      <c r="Y238" s="3689"/>
      <c r="Z238" s="3689"/>
      <c r="AA238" s="3689"/>
      <c r="AB238" s="3689"/>
      <c r="AC238" s="3689"/>
    </row>
    <row r="239" spans="1:29">
      <c r="A239" s="3689"/>
      <c r="B239" s="3689"/>
      <c r="C239" s="3689"/>
      <c r="D239" s="3689"/>
      <c r="E239" s="3689"/>
      <c r="F239" s="3689"/>
      <c r="G239" s="3689"/>
      <c r="H239" s="3689"/>
      <c r="I239" s="3689"/>
      <c r="J239" s="3689"/>
      <c r="K239" s="3690"/>
      <c r="L239" s="3691"/>
      <c r="M239" s="3689"/>
      <c r="N239" s="3689"/>
      <c r="O239" s="3689"/>
      <c r="P239" s="3689"/>
      <c r="Q239" s="3689"/>
      <c r="R239" s="3689"/>
      <c r="S239" s="3689"/>
      <c r="T239" s="3689"/>
      <c r="U239" s="3689"/>
      <c r="V239" s="3689"/>
      <c r="W239" s="3689"/>
      <c r="X239" s="3689"/>
      <c r="Y239" s="3689"/>
      <c r="Z239" s="3689"/>
      <c r="AA239" s="3689"/>
      <c r="AB239" s="3689"/>
      <c r="AC239" s="3689"/>
    </row>
    <row r="240" spans="1:29">
      <c r="A240" s="3689"/>
      <c r="B240" s="3689"/>
      <c r="C240" s="3689"/>
      <c r="D240" s="3689"/>
      <c r="E240" s="3689"/>
      <c r="F240" s="3689"/>
      <c r="G240" s="3689"/>
      <c r="H240" s="3689"/>
      <c r="I240" s="3689"/>
      <c r="J240" s="3689"/>
      <c r="K240" s="3690"/>
      <c r="L240" s="3691"/>
      <c r="M240" s="3689"/>
      <c r="N240" s="3689"/>
      <c r="O240" s="3689"/>
      <c r="P240" s="3689"/>
      <c r="Q240" s="3689"/>
      <c r="R240" s="3689"/>
      <c r="S240" s="3689"/>
      <c r="T240" s="3689"/>
      <c r="U240" s="3689"/>
      <c r="V240" s="3689"/>
      <c r="W240" s="3689"/>
      <c r="X240" s="3689"/>
      <c r="Y240" s="3689"/>
      <c r="Z240" s="3689"/>
      <c r="AA240" s="3689"/>
      <c r="AB240" s="3689"/>
      <c r="AC240" s="3689"/>
    </row>
    <row r="241" spans="1:29">
      <c r="A241" s="3689"/>
      <c r="B241" s="3689"/>
      <c r="C241" s="3689"/>
      <c r="D241" s="3689"/>
      <c r="E241" s="3689"/>
      <c r="F241" s="3689"/>
      <c r="G241" s="3689"/>
      <c r="H241" s="3689"/>
      <c r="I241" s="3689"/>
      <c r="J241" s="3689"/>
      <c r="K241" s="3690"/>
      <c r="L241" s="3691"/>
      <c r="M241" s="3689"/>
      <c r="N241" s="3689"/>
      <c r="O241" s="3689"/>
      <c r="P241" s="3689"/>
      <c r="Q241" s="3689"/>
      <c r="R241" s="3689"/>
      <c r="S241" s="3689"/>
      <c r="T241" s="3689"/>
      <c r="U241" s="3689"/>
      <c r="V241" s="3689"/>
      <c r="W241" s="3689"/>
      <c r="X241" s="3689"/>
      <c r="Y241" s="3689"/>
      <c r="Z241" s="3689"/>
      <c r="AA241" s="3689"/>
      <c r="AB241" s="3689"/>
      <c r="AC241" s="3689"/>
    </row>
    <row r="242" spans="1:29">
      <c r="A242" s="3689"/>
      <c r="B242" s="3689"/>
      <c r="C242" s="3689"/>
      <c r="D242" s="3689"/>
      <c r="E242" s="3689"/>
      <c r="F242" s="3689"/>
      <c r="G242" s="3689"/>
      <c r="H242" s="3689"/>
      <c r="I242" s="3689"/>
      <c r="J242" s="3689"/>
      <c r="K242" s="3690"/>
      <c r="L242" s="3691"/>
      <c r="M242" s="3689"/>
      <c r="N242" s="3689"/>
      <c r="O242" s="3689"/>
      <c r="P242" s="3689"/>
      <c r="Q242" s="3689"/>
      <c r="R242" s="3689"/>
      <c r="S242" s="3689"/>
      <c r="T242" s="3689"/>
      <c r="U242" s="3689"/>
      <c r="V242" s="3689"/>
      <c r="W242" s="3689"/>
      <c r="X242" s="3689"/>
      <c r="Y242" s="3689"/>
      <c r="Z242" s="3689"/>
      <c r="AA242" s="3689"/>
      <c r="AB242" s="3689"/>
      <c r="AC242" s="3689"/>
    </row>
    <row r="243" spans="1:29">
      <c r="A243" s="3689"/>
      <c r="B243" s="3689"/>
      <c r="C243" s="3689"/>
      <c r="D243" s="3689"/>
      <c r="E243" s="3689"/>
      <c r="F243" s="3689"/>
      <c r="G243" s="3689"/>
      <c r="H243" s="3689"/>
      <c r="I243" s="3689"/>
      <c r="J243" s="3689"/>
      <c r="K243" s="3690"/>
      <c r="L243" s="3691"/>
      <c r="M243" s="3689"/>
      <c r="N243" s="3689"/>
      <c r="O243" s="3689"/>
      <c r="P243" s="3689"/>
      <c r="Q243" s="3689"/>
      <c r="R243" s="3689"/>
      <c r="S243" s="3689"/>
      <c r="T243" s="3689"/>
      <c r="U243" s="3689"/>
      <c r="V243" s="3689"/>
      <c r="W243" s="3689"/>
      <c r="X243" s="3689"/>
      <c r="Y243" s="3689"/>
      <c r="Z243" s="3689"/>
      <c r="AA243" s="3689"/>
      <c r="AB243" s="3689"/>
      <c r="AC243" s="3689"/>
    </row>
    <row r="244" spans="1:29">
      <c r="A244" s="3689"/>
      <c r="B244" s="3689"/>
      <c r="C244" s="3689"/>
      <c r="D244" s="3689"/>
      <c r="E244" s="3689"/>
      <c r="F244" s="3689"/>
      <c r="G244" s="3689"/>
      <c r="H244" s="3689"/>
      <c r="I244" s="3689"/>
      <c r="J244" s="3689"/>
      <c r="K244" s="3690"/>
      <c r="L244" s="3691"/>
      <c r="M244" s="3689"/>
      <c r="N244" s="3689"/>
      <c r="O244" s="3689"/>
      <c r="P244" s="3689"/>
      <c r="Q244" s="3689"/>
      <c r="R244" s="3689"/>
      <c r="S244" s="3689"/>
      <c r="T244" s="3689"/>
      <c r="U244" s="3689"/>
      <c r="V244" s="3689"/>
      <c r="W244" s="3689"/>
      <c r="X244" s="3689"/>
      <c r="Y244" s="3689"/>
      <c r="Z244" s="3689"/>
      <c r="AA244" s="3689"/>
      <c r="AB244" s="3689"/>
      <c r="AC244" s="3689"/>
    </row>
    <row r="245" spans="1:29">
      <c r="A245" s="3689"/>
      <c r="B245" s="3689"/>
      <c r="C245" s="3689"/>
      <c r="D245" s="3689"/>
      <c r="E245" s="3689"/>
      <c r="F245" s="3689"/>
      <c r="G245" s="3689"/>
      <c r="H245" s="3689"/>
      <c r="I245" s="3689"/>
      <c r="J245" s="3689"/>
      <c r="K245" s="3690"/>
      <c r="L245" s="3691"/>
      <c r="M245" s="3689"/>
      <c r="N245" s="3689"/>
      <c r="O245" s="3689"/>
      <c r="P245" s="3689"/>
      <c r="Q245" s="3689"/>
      <c r="R245" s="3689"/>
      <c r="S245" s="3689"/>
      <c r="T245" s="3689"/>
      <c r="U245" s="3689"/>
      <c r="V245" s="3689"/>
      <c r="W245" s="3689"/>
      <c r="X245" s="3689"/>
      <c r="Y245" s="3689"/>
      <c r="Z245" s="3689"/>
      <c r="AA245" s="3689"/>
      <c r="AB245" s="3689"/>
      <c r="AC245" s="3689"/>
    </row>
    <row r="246" spans="1:29">
      <c r="A246" s="3689"/>
      <c r="B246" s="3689"/>
      <c r="C246" s="3689"/>
      <c r="D246" s="3689"/>
      <c r="E246" s="3689"/>
      <c r="F246" s="3689"/>
      <c r="G246" s="3689"/>
      <c r="H246" s="3689"/>
      <c r="I246" s="3689"/>
      <c r="J246" s="3689"/>
      <c r="K246" s="3690"/>
      <c r="L246" s="3691"/>
      <c r="M246" s="3689"/>
      <c r="N246" s="3689"/>
      <c r="O246" s="3689"/>
      <c r="P246" s="3689"/>
      <c r="Q246" s="3689"/>
      <c r="R246" s="3689"/>
      <c r="S246" s="3689"/>
      <c r="T246" s="3689"/>
      <c r="U246" s="3689"/>
      <c r="V246" s="3689"/>
      <c r="W246" s="3689"/>
      <c r="X246" s="3689"/>
      <c r="Y246" s="3689"/>
      <c r="Z246" s="3689"/>
      <c r="AA246" s="3689"/>
      <c r="AB246" s="3689"/>
      <c r="AC246" s="3689"/>
    </row>
    <row r="247" spans="1:29">
      <c r="A247" s="3689"/>
      <c r="B247" s="3689"/>
      <c r="C247" s="3689"/>
      <c r="D247" s="3689"/>
      <c r="E247" s="3689"/>
      <c r="F247" s="3689"/>
      <c r="G247" s="3689"/>
      <c r="H247" s="3689"/>
      <c r="I247" s="3689"/>
      <c r="J247" s="3689"/>
      <c r="K247" s="3690"/>
      <c r="L247" s="3691"/>
      <c r="M247" s="3689"/>
      <c r="N247" s="3689"/>
      <c r="O247" s="3689"/>
      <c r="P247" s="3689"/>
      <c r="Q247" s="3689"/>
      <c r="R247" s="3689"/>
      <c r="S247" s="3689"/>
      <c r="T247" s="3689"/>
      <c r="U247" s="3689"/>
      <c r="V247" s="3689"/>
      <c r="W247" s="3689"/>
      <c r="X247" s="3689"/>
      <c r="Y247" s="3689"/>
      <c r="Z247" s="3689"/>
      <c r="AA247" s="3689"/>
      <c r="AB247" s="3689"/>
      <c r="AC247" s="3689"/>
    </row>
    <row r="248" spans="1:29">
      <c r="A248" s="3689"/>
      <c r="B248" s="3689"/>
      <c r="C248" s="3689"/>
      <c r="D248" s="3689"/>
      <c r="E248" s="3689"/>
      <c r="F248" s="3689"/>
      <c r="G248" s="3689"/>
      <c r="H248" s="3689"/>
      <c r="I248" s="3689"/>
      <c r="J248" s="3689"/>
      <c r="K248" s="3690"/>
      <c r="L248" s="3691"/>
      <c r="M248" s="3689"/>
      <c r="N248" s="3689"/>
      <c r="O248" s="3689"/>
      <c r="P248" s="3689"/>
      <c r="Q248" s="3689"/>
      <c r="R248" s="3689"/>
      <c r="S248" s="3689"/>
      <c r="T248" s="3689"/>
      <c r="U248" s="3689"/>
      <c r="V248" s="3689"/>
      <c r="W248" s="3689"/>
      <c r="X248" s="3689"/>
      <c r="Y248" s="3689"/>
      <c r="Z248" s="3689"/>
      <c r="AA248" s="3689"/>
      <c r="AB248" s="3689"/>
      <c r="AC248" s="3689"/>
    </row>
    <row r="249" spans="1:29">
      <c r="A249" s="3689"/>
      <c r="B249" s="3689"/>
      <c r="C249" s="3689"/>
      <c r="D249" s="3689"/>
      <c r="E249" s="3689"/>
      <c r="F249" s="3689"/>
      <c r="G249" s="3689"/>
      <c r="H249" s="3689"/>
      <c r="I249" s="3689"/>
      <c r="J249" s="3689"/>
      <c r="K249" s="3690"/>
      <c r="L249" s="3691"/>
      <c r="M249" s="3689"/>
      <c r="N249" s="3689"/>
      <c r="O249" s="3689"/>
      <c r="P249" s="3689"/>
      <c r="Q249" s="3689"/>
      <c r="R249" s="3689"/>
      <c r="S249" s="3689"/>
      <c r="T249" s="3689"/>
      <c r="U249" s="3689"/>
      <c r="V249" s="3689"/>
      <c r="W249" s="3689"/>
      <c r="X249" s="3689"/>
      <c r="Y249" s="3689"/>
      <c r="Z249" s="3689"/>
      <c r="AA249" s="3689"/>
      <c r="AB249" s="3689"/>
      <c r="AC249" s="3689"/>
    </row>
    <row r="250" spans="1:29">
      <c r="A250" s="3689"/>
      <c r="B250" s="3689"/>
      <c r="C250" s="3689"/>
      <c r="D250" s="3689"/>
      <c r="E250" s="3689"/>
      <c r="F250" s="3689"/>
      <c r="G250" s="3689"/>
      <c r="H250" s="3689"/>
      <c r="I250" s="3689"/>
      <c r="J250" s="3689"/>
      <c r="K250" s="3690"/>
      <c r="L250" s="3691"/>
      <c r="M250" s="3689"/>
      <c r="N250" s="3689"/>
      <c r="O250" s="3689"/>
      <c r="P250" s="3689"/>
      <c r="Q250" s="3689"/>
      <c r="R250" s="3689"/>
      <c r="S250" s="3689"/>
      <c r="T250" s="3689"/>
      <c r="U250" s="3689"/>
      <c r="V250" s="3689"/>
      <c r="W250" s="3689"/>
      <c r="X250" s="3689"/>
      <c r="Y250" s="3689"/>
      <c r="Z250" s="3689"/>
      <c r="AA250" s="3689"/>
      <c r="AB250" s="3689"/>
      <c r="AC250" s="3689"/>
    </row>
    <row r="251" spans="1:29">
      <c r="A251" s="3689"/>
      <c r="B251" s="3689"/>
      <c r="C251" s="3689"/>
      <c r="D251" s="3689"/>
      <c r="E251" s="3689"/>
      <c r="F251" s="3689"/>
      <c r="G251" s="3689"/>
      <c r="H251" s="3689"/>
      <c r="I251" s="3689"/>
      <c r="J251" s="3689"/>
      <c r="K251" s="3690"/>
      <c r="L251" s="3691"/>
      <c r="M251" s="3689"/>
      <c r="N251" s="3689"/>
      <c r="O251" s="3689"/>
      <c r="P251" s="3689"/>
      <c r="Q251" s="3689"/>
      <c r="R251" s="3689"/>
      <c r="S251" s="3689"/>
      <c r="T251" s="3689"/>
      <c r="U251" s="3689"/>
      <c r="V251" s="3689"/>
      <c r="W251" s="3689"/>
      <c r="X251" s="3689"/>
      <c r="Y251" s="3689"/>
      <c r="Z251" s="3689"/>
      <c r="AA251" s="3689"/>
      <c r="AB251" s="3689"/>
      <c r="AC251" s="3689"/>
    </row>
    <row r="252" spans="1:29">
      <c r="A252" s="3689"/>
      <c r="B252" s="3689"/>
      <c r="C252" s="3689"/>
      <c r="D252" s="3689"/>
      <c r="E252" s="3689"/>
      <c r="F252" s="3689"/>
      <c r="G252" s="3689"/>
      <c r="H252" s="3689"/>
      <c r="I252" s="3689"/>
      <c r="J252" s="3689"/>
      <c r="K252" s="3690"/>
      <c r="L252" s="3691"/>
      <c r="M252" s="3689"/>
      <c r="N252" s="3689"/>
      <c r="O252" s="3689"/>
      <c r="P252" s="3689"/>
      <c r="Q252" s="3689"/>
      <c r="R252" s="3689"/>
      <c r="S252" s="3689"/>
      <c r="T252" s="3689"/>
      <c r="U252" s="3689"/>
      <c r="V252" s="3689"/>
      <c r="W252" s="3689"/>
      <c r="X252" s="3689"/>
      <c r="Y252" s="3689"/>
      <c r="Z252" s="3689"/>
      <c r="AA252" s="3689"/>
      <c r="AB252" s="3689"/>
      <c r="AC252" s="3689"/>
    </row>
    <row r="253" spans="1:29">
      <c r="A253" s="3689"/>
      <c r="B253" s="3689"/>
      <c r="C253" s="3689"/>
      <c r="D253" s="3689"/>
      <c r="E253" s="3689"/>
      <c r="F253" s="3689"/>
      <c r="G253" s="3689"/>
      <c r="H253" s="3689"/>
      <c r="I253" s="3689"/>
      <c r="J253" s="3689"/>
      <c r="K253" s="3690"/>
      <c r="L253" s="3691"/>
      <c r="M253" s="3689"/>
      <c r="N253" s="3689"/>
      <c r="O253" s="3689"/>
      <c r="P253" s="3689"/>
      <c r="Q253" s="3689"/>
      <c r="R253" s="3689"/>
      <c r="S253" s="3689"/>
      <c r="T253" s="3689"/>
      <c r="U253" s="3689"/>
      <c r="V253" s="3689"/>
      <c r="W253" s="3689"/>
      <c r="X253" s="3689"/>
      <c r="Y253" s="3689"/>
      <c r="Z253" s="3689"/>
      <c r="AA253" s="3689"/>
      <c r="AB253" s="3689"/>
      <c r="AC253" s="3689"/>
    </row>
    <row r="254" spans="1:29">
      <c r="A254" s="3689"/>
      <c r="B254" s="3689"/>
      <c r="C254" s="3689"/>
      <c r="D254" s="3689"/>
      <c r="E254" s="3689"/>
      <c r="F254" s="3689"/>
      <c r="G254" s="3689"/>
      <c r="H254" s="3689"/>
      <c r="I254" s="3689"/>
      <c r="J254" s="3689"/>
      <c r="K254" s="3690"/>
      <c r="L254" s="3691"/>
      <c r="M254" s="3689"/>
      <c r="N254" s="3689"/>
      <c r="O254" s="3689"/>
      <c r="P254" s="3689"/>
      <c r="Q254" s="3689"/>
      <c r="R254" s="3689"/>
      <c r="S254" s="3689"/>
      <c r="T254" s="3689"/>
      <c r="U254" s="3689"/>
      <c r="V254" s="3689"/>
      <c r="W254" s="3689"/>
      <c r="X254" s="3689"/>
      <c r="Y254" s="3689"/>
      <c r="Z254" s="3689"/>
      <c r="AA254" s="3689"/>
      <c r="AB254" s="3689"/>
      <c r="AC254" s="3689"/>
    </row>
    <row r="255" spans="1:29">
      <c r="A255" s="3689"/>
      <c r="B255" s="3689"/>
      <c r="C255" s="3689"/>
      <c r="D255" s="3689"/>
      <c r="E255" s="3689"/>
      <c r="F255" s="3689"/>
      <c r="G255" s="3689"/>
      <c r="H255" s="3689"/>
      <c r="I255" s="3689"/>
      <c r="J255" s="3689"/>
      <c r="K255" s="3690"/>
      <c r="L255" s="3691"/>
      <c r="M255" s="3689"/>
      <c r="N255" s="3689"/>
      <c r="O255" s="3689"/>
      <c r="P255" s="3689"/>
      <c r="Q255" s="3689"/>
      <c r="R255" s="3689"/>
      <c r="S255" s="3689"/>
      <c r="T255" s="3689"/>
      <c r="U255" s="3689"/>
      <c r="V255" s="3689"/>
      <c r="W255" s="3689"/>
      <c r="X255" s="3689"/>
      <c r="Y255" s="3689"/>
      <c r="Z255" s="3689"/>
      <c r="AA255" s="3689"/>
      <c r="AB255" s="3689"/>
      <c r="AC255" s="3689"/>
    </row>
    <row r="256" spans="1:29">
      <c r="A256" s="3689"/>
      <c r="B256" s="3689"/>
      <c r="C256" s="3689"/>
      <c r="D256" s="3689"/>
      <c r="E256" s="3689"/>
      <c r="F256" s="3689"/>
      <c r="G256" s="3689"/>
      <c r="H256" s="3689"/>
      <c r="I256" s="3689"/>
      <c r="J256" s="3689"/>
      <c r="K256" s="3690"/>
      <c r="L256" s="3691"/>
      <c r="M256" s="3689"/>
      <c r="N256" s="3689"/>
      <c r="O256" s="3689"/>
      <c r="P256" s="3689"/>
      <c r="Q256" s="3689"/>
      <c r="R256" s="3689"/>
      <c r="S256" s="3689"/>
      <c r="T256" s="3689"/>
      <c r="U256" s="3689"/>
      <c r="V256" s="3689"/>
      <c r="W256" s="3689"/>
      <c r="X256" s="3689"/>
      <c r="Y256" s="3689"/>
      <c r="Z256" s="3689"/>
      <c r="AA256" s="3689"/>
      <c r="AB256" s="3689"/>
      <c r="AC256" s="3689"/>
    </row>
    <row r="257" spans="1:29">
      <c r="A257" s="3689"/>
      <c r="B257" s="3689"/>
      <c r="C257" s="3689"/>
      <c r="D257" s="3689"/>
      <c r="E257" s="3689"/>
      <c r="F257" s="3689"/>
      <c r="G257" s="3689"/>
      <c r="H257" s="3689"/>
      <c r="I257" s="3689"/>
      <c r="J257" s="3689"/>
      <c r="K257" s="3690"/>
      <c r="L257" s="3691"/>
      <c r="M257" s="3689"/>
      <c r="N257" s="3689"/>
      <c r="O257" s="3689"/>
      <c r="P257" s="3689"/>
      <c r="Q257" s="3689"/>
      <c r="R257" s="3689"/>
      <c r="S257" s="3689"/>
      <c r="T257" s="3689"/>
      <c r="U257" s="3689"/>
      <c r="V257" s="3689"/>
      <c r="W257" s="3689"/>
      <c r="X257" s="3689"/>
      <c r="Y257" s="3689"/>
      <c r="Z257" s="3689"/>
      <c r="AA257" s="3689"/>
      <c r="AB257" s="3689"/>
      <c r="AC257" s="3689"/>
    </row>
    <row r="258" spans="1:29">
      <c r="A258" s="3689"/>
      <c r="B258" s="3689"/>
      <c r="C258" s="3689"/>
      <c r="D258" s="3689"/>
      <c r="E258" s="3689"/>
      <c r="F258" s="3689"/>
      <c r="G258" s="3689"/>
      <c r="H258" s="3689"/>
      <c r="I258" s="3689"/>
      <c r="J258" s="3689"/>
      <c r="K258" s="3690"/>
      <c r="L258" s="3691"/>
      <c r="M258" s="3689"/>
      <c r="N258" s="3689"/>
      <c r="O258" s="3689"/>
      <c r="P258" s="3689"/>
      <c r="Q258" s="3689"/>
      <c r="R258" s="3689"/>
      <c r="S258" s="3689"/>
      <c r="T258" s="3689"/>
      <c r="U258" s="3689"/>
      <c r="V258" s="3689"/>
      <c r="W258" s="3689"/>
      <c r="X258" s="3689"/>
      <c r="Y258" s="3689"/>
      <c r="Z258" s="3689"/>
      <c r="AA258" s="3689"/>
      <c r="AB258" s="3689"/>
      <c r="AC258" s="3689"/>
    </row>
    <row r="259" spans="1:29">
      <c r="A259" s="3689"/>
      <c r="B259" s="3689"/>
      <c r="C259" s="3689"/>
      <c r="D259" s="3689"/>
      <c r="E259" s="3689"/>
      <c r="F259" s="3689"/>
      <c r="G259" s="3689"/>
      <c r="H259" s="3689"/>
      <c r="I259" s="3689"/>
      <c r="J259" s="3689"/>
      <c r="K259" s="3690"/>
      <c r="L259" s="3691"/>
      <c r="M259" s="3689"/>
      <c r="N259" s="3689"/>
      <c r="O259" s="3689"/>
      <c r="P259" s="3689"/>
      <c r="Q259" s="3689"/>
      <c r="R259" s="3689"/>
      <c r="S259" s="3689"/>
      <c r="T259" s="3689"/>
      <c r="U259" s="3689"/>
      <c r="V259" s="3689"/>
      <c r="W259" s="3689"/>
      <c r="X259" s="3689"/>
      <c r="Y259" s="3689"/>
      <c r="Z259" s="3689"/>
      <c r="AA259" s="3689"/>
      <c r="AB259" s="3689"/>
      <c r="AC259" s="3689"/>
    </row>
    <row r="260" spans="1:29">
      <c r="A260" s="3689"/>
      <c r="B260" s="3689"/>
      <c r="C260" s="3689"/>
      <c r="D260" s="3689"/>
      <c r="E260" s="3689"/>
      <c r="F260" s="3689"/>
      <c r="G260" s="3689"/>
      <c r="H260" s="3689"/>
      <c r="I260" s="3689"/>
      <c r="J260" s="3689"/>
      <c r="K260" s="3690"/>
      <c r="L260" s="3691"/>
      <c r="M260" s="3689"/>
      <c r="N260" s="3689"/>
      <c r="O260" s="3689"/>
      <c r="P260" s="3689"/>
      <c r="Q260" s="3689"/>
      <c r="R260" s="3689"/>
      <c r="S260" s="3689"/>
      <c r="T260" s="3689"/>
      <c r="U260" s="3689"/>
      <c r="V260" s="3689"/>
      <c r="W260" s="3689"/>
      <c r="X260" s="3689"/>
      <c r="Y260" s="3689"/>
      <c r="Z260" s="3689"/>
      <c r="AA260" s="3689"/>
      <c r="AB260" s="3689"/>
      <c r="AC260" s="3689"/>
    </row>
    <row r="261" spans="1:29">
      <c r="A261" s="3689"/>
      <c r="B261" s="3689"/>
      <c r="C261" s="3689"/>
      <c r="D261" s="3689"/>
      <c r="E261" s="3689"/>
      <c r="F261" s="3689"/>
      <c r="G261" s="3689"/>
      <c r="H261" s="3689"/>
      <c r="I261" s="3689"/>
      <c r="J261" s="3689"/>
      <c r="K261" s="3690"/>
      <c r="L261" s="3691"/>
      <c r="M261" s="3689"/>
      <c r="N261" s="3689"/>
      <c r="O261" s="3689"/>
      <c r="P261" s="3689"/>
      <c r="Q261" s="3689"/>
      <c r="R261" s="3689"/>
      <c r="S261" s="3689"/>
      <c r="T261" s="3689"/>
      <c r="U261" s="3689"/>
      <c r="V261" s="3689"/>
      <c r="W261" s="3689"/>
      <c r="X261" s="3689"/>
      <c r="Y261" s="3689"/>
      <c r="Z261" s="3689"/>
      <c r="AA261" s="3689"/>
      <c r="AB261" s="3689"/>
      <c r="AC261" s="3689"/>
    </row>
    <row r="262" spans="1:29">
      <c r="A262" s="3689"/>
      <c r="B262" s="3689"/>
      <c r="C262" s="3689"/>
      <c r="D262" s="3689"/>
      <c r="E262" s="3689"/>
      <c r="F262" s="3689"/>
      <c r="G262" s="3689"/>
      <c r="H262" s="3689"/>
      <c r="I262" s="3689"/>
      <c r="J262" s="3689"/>
      <c r="K262" s="3690"/>
      <c r="L262" s="3691"/>
      <c r="M262" s="3689"/>
      <c r="N262" s="3689"/>
      <c r="O262" s="3689"/>
      <c r="P262" s="3689"/>
      <c r="Q262" s="3689"/>
      <c r="R262" s="3689"/>
      <c r="S262" s="3689"/>
      <c r="T262" s="3689"/>
      <c r="U262" s="3689"/>
      <c r="V262" s="3689"/>
      <c r="W262" s="3689"/>
      <c r="X262" s="3689"/>
      <c r="Y262" s="3689"/>
      <c r="Z262" s="3689"/>
      <c r="AA262" s="3689"/>
      <c r="AB262" s="3689"/>
      <c r="AC262" s="3689"/>
    </row>
    <row r="263" spans="1:29">
      <c r="A263" s="3689"/>
      <c r="B263" s="3689"/>
      <c r="C263" s="3689"/>
      <c r="D263" s="3689"/>
      <c r="E263" s="3689"/>
      <c r="F263" s="3689"/>
      <c r="G263" s="3689"/>
      <c r="H263" s="3689"/>
      <c r="I263" s="3689"/>
      <c r="J263" s="3689"/>
      <c r="K263" s="3690"/>
      <c r="L263" s="3691"/>
      <c r="M263" s="3689"/>
      <c r="N263" s="3689"/>
      <c r="O263" s="3689"/>
      <c r="P263" s="3689"/>
      <c r="Q263" s="3689"/>
      <c r="R263" s="3689"/>
      <c r="S263" s="3689"/>
      <c r="T263" s="3689"/>
      <c r="U263" s="3689"/>
      <c r="V263" s="3689"/>
      <c r="W263" s="3689"/>
      <c r="X263" s="3689"/>
      <c r="Y263" s="3689"/>
      <c r="Z263" s="3689"/>
      <c r="AA263" s="3689"/>
      <c r="AB263" s="3689"/>
      <c r="AC263" s="3689"/>
    </row>
    <row r="264" spans="1:29">
      <c r="A264" s="3689"/>
      <c r="B264" s="3689"/>
      <c r="C264" s="3689"/>
      <c r="D264" s="3689"/>
      <c r="E264" s="3689"/>
      <c r="F264" s="3689"/>
      <c r="G264" s="3689"/>
      <c r="H264" s="3689"/>
      <c r="I264" s="3689"/>
      <c r="J264" s="3689"/>
      <c r="K264" s="3690"/>
      <c r="L264" s="3691"/>
      <c r="M264" s="3689"/>
      <c r="N264" s="3689"/>
      <c r="O264" s="3689"/>
      <c r="P264" s="3689"/>
      <c r="Q264" s="3689"/>
      <c r="R264" s="3689"/>
      <c r="S264" s="3689"/>
      <c r="T264" s="3689"/>
      <c r="U264" s="3689"/>
      <c r="V264" s="3689"/>
      <c r="W264" s="3689"/>
      <c r="X264" s="3689"/>
      <c r="Y264" s="3689"/>
      <c r="Z264" s="3689"/>
      <c r="AA264" s="3689"/>
      <c r="AB264" s="3689"/>
      <c r="AC264" s="3689"/>
    </row>
    <row r="265" spans="1:29">
      <c r="A265" s="3689"/>
      <c r="B265" s="3689"/>
      <c r="C265" s="3689"/>
      <c r="D265" s="3689"/>
      <c r="E265" s="3689"/>
      <c r="F265" s="3689"/>
      <c r="G265" s="3689"/>
      <c r="H265" s="3689"/>
      <c r="I265" s="3689"/>
      <c r="J265" s="3689"/>
      <c r="K265" s="3690"/>
      <c r="L265" s="3691"/>
      <c r="M265" s="3689"/>
      <c r="N265" s="3689"/>
      <c r="O265" s="3689"/>
      <c r="P265" s="3689"/>
      <c r="Q265" s="3689"/>
      <c r="R265" s="3689"/>
      <c r="S265" s="3689"/>
      <c r="T265" s="3689"/>
      <c r="U265" s="3689"/>
      <c r="V265" s="3689"/>
      <c r="W265" s="3689"/>
      <c r="X265" s="3689"/>
      <c r="Y265" s="3689"/>
      <c r="Z265" s="3689"/>
      <c r="AA265" s="3689"/>
      <c r="AB265" s="3689"/>
      <c r="AC265" s="3689"/>
    </row>
    <row r="266" spans="1:29">
      <c r="A266" s="3689"/>
      <c r="B266" s="3689"/>
      <c r="C266" s="3689"/>
      <c r="D266" s="3689"/>
      <c r="E266" s="3689"/>
      <c r="F266" s="3689"/>
      <c r="G266" s="3689"/>
      <c r="H266" s="3689"/>
      <c r="I266" s="3689"/>
      <c r="J266" s="3689"/>
      <c r="K266" s="3690"/>
      <c r="L266" s="3691"/>
      <c r="M266" s="3689"/>
      <c r="N266" s="3689"/>
      <c r="O266" s="3689"/>
      <c r="P266" s="3689"/>
      <c r="Q266" s="3689"/>
      <c r="R266" s="3689"/>
      <c r="S266" s="3689"/>
      <c r="T266" s="3689"/>
      <c r="U266" s="3689"/>
      <c r="V266" s="3689"/>
      <c r="W266" s="3689"/>
      <c r="X266" s="3689"/>
      <c r="Y266" s="3689"/>
      <c r="Z266" s="3689"/>
      <c r="AA266" s="3689"/>
      <c r="AB266" s="3689"/>
      <c r="AC266" s="3689"/>
    </row>
    <row r="267" spans="1:29">
      <c r="A267" s="3689"/>
      <c r="B267" s="3689"/>
      <c r="C267" s="3689"/>
      <c r="D267" s="3689"/>
      <c r="E267" s="3689"/>
      <c r="F267" s="3689"/>
      <c r="G267" s="3689"/>
      <c r="H267" s="3689"/>
      <c r="I267" s="3689"/>
      <c r="J267" s="3689"/>
      <c r="K267" s="3690"/>
      <c r="L267" s="3691"/>
      <c r="M267" s="3689"/>
      <c r="N267" s="3689"/>
      <c r="O267" s="3689"/>
      <c r="P267" s="3689"/>
      <c r="Q267" s="3689"/>
      <c r="R267" s="3689"/>
      <c r="S267" s="3689"/>
      <c r="T267" s="3689"/>
      <c r="U267" s="3689"/>
      <c r="V267" s="3689"/>
      <c r="W267" s="3689"/>
      <c r="X267" s="3689"/>
      <c r="Y267" s="3689"/>
      <c r="Z267" s="3689"/>
      <c r="AA267" s="3689"/>
      <c r="AB267" s="3689"/>
      <c r="AC267" s="3689"/>
    </row>
    <row r="268" spans="1:29">
      <c r="A268" s="3689"/>
      <c r="B268" s="3689"/>
      <c r="C268" s="3689"/>
      <c r="D268" s="3689"/>
      <c r="E268" s="3689"/>
      <c r="F268" s="3689"/>
      <c r="G268" s="3689"/>
      <c r="H268" s="3689"/>
      <c r="I268" s="3689"/>
      <c r="J268" s="3689"/>
      <c r="K268" s="3690"/>
      <c r="L268" s="3691"/>
      <c r="M268" s="3689"/>
      <c r="N268" s="3689"/>
      <c r="O268" s="3689"/>
      <c r="P268" s="3689"/>
      <c r="Q268" s="3689"/>
      <c r="R268" s="3689"/>
      <c r="S268" s="3689"/>
      <c r="T268" s="3689"/>
      <c r="U268" s="3689"/>
      <c r="V268" s="3689"/>
      <c r="W268" s="3689"/>
      <c r="X268" s="3689"/>
      <c r="Y268" s="3689"/>
      <c r="Z268" s="3689"/>
      <c r="AA268" s="3689"/>
      <c r="AB268" s="3689"/>
      <c r="AC268" s="3689"/>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92" priority="14" stopIfTrue="1" operator="containsText" text="超过">
      <formula>NOT(ISERROR(SEARCH("超过",F52)))</formula>
    </cfRule>
  </conditionalFormatting>
  <conditionalFormatting sqref="J54">
    <cfRule type="containsText" dxfId="191" priority="13" stopIfTrue="1" operator="containsText" text="超过">
      <formula>NOT(ISERROR(SEARCH("超过",J54)))</formula>
    </cfRule>
  </conditionalFormatting>
  <conditionalFormatting sqref="H54">
    <cfRule type="containsText" dxfId="190" priority="12" stopIfTrue="1" operator="containsText" text="超过">
      <formula>NOT(ISERROR(SEARCH("超过",H54)))</formula>
    </cfRule>
  </conditionalFormatting>
  <conditionalFormatting sqref="F54">
    <cfRule type="containsText" dxfId="189" priority="11" stopIfTrue="1" operator="containsText" text="超过">
      <formula>NOT(ISERROR(SEARCH("超过",F54)))</formula>
    </cfRule>
  </conditionalFormatting>
  <conditionalFormatting sqref="F53 H53 J53">
    <cfRule type="containsText" dxfId="188" priority="10" stopIfTrue="1" operator="containsText" text="超过">
      <formula>NOT(ISERROR(SEARCH("超过",F53)))</formula>
    </cfRule>
  </conditionalFormatting>
  <conditionalFormatting sqref="E52">
    <cfRule type="expression" dxfId="187" priority="9" stopIfTrue="1">
      <formula>$F$52="超过30%"</formula>
    </cfRule>
  </conditionalFormatting>
  <conditionalFormatting sqref="G54">
    <cfRule type="expression" dxfId="186" priority="8" stopIfTrue="1">
      <formula>$H$54="超过30%"</formula>
    </cfRule>
  </conditionalFormatting>
  <conditionalFormatting sqref="E53">
    <cfRule type="expression" dxfId="185" priority="7" stopIfTrue="1">
      <formula>$F$53="超过20%"</formula>
    </cfRule>
  </conditionalFormatting>
  <conditionalFormatting sqref="E54">
    <cfRule type="expression" dxfId="184" priority="6" stopIfTrue="1">
      <formula>$F$54="超过30%"</formula>
    </cfRule>
  </conditionalFormatting>
  <conditionalFormatting sqref="G52">
    <cfRule type="expression" dxfId="183" priority="5" stopIfTrue="1">
      <formula>$H$52="超过30%"</formula>
    </cfRule>
  </conditionalFormatting>
  <conditionalFormatting sqref="G53">
    <cfRule type="expression" dxfId="182" priority="4" stopIfTrue="1">
      <formula>$H$53="超过20%"</formula>
    </cfRule>
  </conditionalFormatting>
  <conditionalFormatting sqref="I52">
    <cfRule type="expression" dxfId="181" priority="3" stopIfTrue="1">
      <formula>$J$52="超过30%"</formula>
    </cfRule>
  </conditionalFormatting>
  <conditionalFormatting sqref="I53">
    <cfRule type="expression" dxfId="180" priority="2" stopIfTrue="1">
      <formula>$J$53="超过20%"</formula>
    </cfRule>
  </conditionalFormatting>
  <conditionalFormatting sqref="I54">
    <cfRule type="expression" dxfId="179"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20" sqref="AB20"/>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856</v>
      </c>
      <c r="B1" s="5" t="s">
        <v>132</v>
      </c>
      <c r="C1" s="1535"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2544</v>
      </c>
      <c r="R1" s="2545" t="s">
        <v>2538</v>
      </c>
      <c r="S1" s="6" t="s">
        <v>146</v>
      </c>
      <c r="T1" s="7" t="s">
        <v>147</v>
      </c>
      <c r="U1" s="6" t="s">
        <v>148</v>
      </c>
      <c r="V1" s="6" t="s">
        <v>149</v>
      </c>
      <c r="W1" s="1003" t="s">
        <v>874</v>
      </c>
    </row>
    <row r="2" spans="1:23">
      <c r="A2" s="8" t="s">
        <v>73</v>
      </c>
      <c r="B2" s="8" t="s">
        <v>150</v>
      </c>
      <c r="C2" s="1536"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37"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36" t="s">
        <v>1711</v>
      </c>
      <c r="D4" s="9" t="s">
        <v>1994</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36" t="s">
        <v>1712</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4" t="s">
        <v>1640</v>
      </c>
      <c r="C6" s="1538" t="s">
        <v>1713</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36" t="s">
        <v>1714</v>
      </c>
      <c r="F7" s="9" t="s">
        <v>154</v>
      </c>
      <c r="H7" s="9" t="s">
        <v>104</v>
      </c>
      <c r="I7" s="9" t="s">
        <v>105</v>
      </c>
    </row>
    <row r="8" spans="1:23">
      <c r="A8" s="8" t="s">
        <v>106</v>
      </c>
      <c r="B8" s="8" t="s">
        <v>107</v>
      </c>
      <c r="C8" s="1536" t="s">
        <v>1715</v>
      </c>
      <c r="F8" s="9" t="s">
        <v>155</v>
      </c>
      <c r="H8" s="9"/>
      <c r="I8" s="9" t="s">
        <v>108</v>
      </c>
    </row>
    <row r="9" spans="1:23">
      <c r="A9" s="8" t="s">
        <v>109</v>
      </c>
      <c r="B9" s="8" t="s">
        <v>156</v>
      </c>
      <c r="C9" s="1536" t="s">
        <v>1716</v>
      </c>
      <c r="F9" s="9" t="s">
        <v>110</v>
      </c>
      <c r="H9" s="9"/>
    </row>
    <row r="10" spans="1:23">
      <c r="A10" s="8" t="s">
        <v>111</v>
      </c>
      <c r="B10" s="8" t="s">
        <v>157</v>
      </c>
      <c r="C10" s="1536" t="s">
        <v>1717</v>
      </c>
      <c r="F10" s="9" t="s">
        <v>6</v>
      </c>
    </row>
    <row r="11" spans="1:23">
      <c r="A11" s="8" t="s">
        <v>112</v>
      </c>
      <c r="B11" s="8" t="s">
        <v>158</v>
      </c>
      <c r="C11" s="1536" t="s">
        <v>1718</v>
      </c>
    </row>
    <row r="12" spans="1:23">
      <c r="A12" s="8" t="s">
        <v>113</v>
      </c>
      <c r="B12" s="8" t="s">
        <v>159</v>
      </c>
      <c r="C12" s="1536" t="s">
        <v>1719</v>
      </c>
    </row>
    <row r="13" spans="1:23">
      <c r="A13" s="8" t="s">
        <v>114</v>
      </c>
      <c r="B13" s="8" t="s">
        <v>160</v>
      </c>
      <c r="C13" s="1536" t="s">
        <v>1720</v>
      </c>
    </row>
    <row r="14" spans="1:23">
      <c r="A14" s="8" t="s">
        <v>115</v>
      </c>
      <c r="B14" s="8" t="s">
        <v>161</v>
      </c>
      <c r="C14" s="1539" t="s">
        <v>1896</v>
      </c>
    </row>
    <row r="15" spans="1:23">
      <c r="A15" s="8" t="s">
        <v>116</v>
      </c>
      <c r="B15" s="8" t="s">
        <v>1681</v>
      </c>
      <c r="C15" s="1539"/>
    </row>
    <row r="16" spans="1:23">
      <c r="A16" s="8" t="s">
        <v>117</v>
      </c>
      <c r="B16" s="8" t="s">
        <v>1682</v>
      </c>
      <c r="C16" s="1539"/>
    </row>
    <row r="17" spans="1:3">
      <c r="A17" s="8" t="s">
        <v>118</v>
      </c>
      <c r="B17" s="8" t="s">
        <v>1683</v>
      </c>
      <c r="C17" s="1539"/>
    </row>
    <row r="18" spans="1:3">
      <c r="A18" s="8" t="s">
        <v>119</v>
      </c>
      <c r="B18" s="3060" t="s">
        <v>2951</v>
      </c>
      <c r="C18" s="1539"/>
    </row>
    <row r="19" spans="1:3">
      <c r="A19" s="8" t="s">
        <v>120</v>
      </c>
      <c r="B19" s="3060" t="s">
        <v>2959</v>
      </c>
      <c r="C19" s="1539"/>
    </row>
    <row r="20" spans="1:3">
      <c r="A20" s="8" t="s">
        <v>121</v>
      </c>
      <c r="B20" s="3060" t="s">
        <v>3007</v>
      </c>
      <c r="C20" s="1539"/>
    </row>
    <row r="21" spans="1:3">
      <c r="A21" s="8" t="s">
        <v>122</v>
      </c>
      <c r="B21" s="3060" t="s">
        <v>3324</v>
      </c>
      <c r="C21" s="1539"/>
    </row>
    <row r="22" spans="1:3">
      <c r="A22" s="8" t="s">
        <v>123</v>
      </c>
      <c r="B22" s="8" t="s">
        <v>1641</v>
      </c>
      <c r="C22" s="1539"/>
    </row>
    <row r="23" spans="1:3">
      <c r="A23" s="8" t="s">
        <v>124</v>
      </c>
      <c r="B23" s="8" t="s">
        <v>1641</v>
      </c>
      <c r="C23" s="1539"/>
    </row>
    <row r="24" spans="1:3">
      <c r="A24" s="8" t="s">
        <v>12</v>
      </c>
      <c r="B24" s="8" t="s">
        <v>1641</v>
      </c>
      <c r="C24" s="1539"/>
    </row>
    <row r="25" spans="1:3">
      <c r="A25" s="8" t="s">
        <v>125</v>
      </c>
      <c r="B25" s="8" t="s">
        <v>1641</v>
      </c>
      <c r="C25" s="1539"/>
    </row>
    <row r="26" spans="1:3">
      <c r="A26" s="8" t="s">
        <v>126</v>
      </c>
      <c r="B26" s="8" t="s">
        <v>1641</v>
      </c>
      <c r="C26" s="1539"/>
    </row>
    <row r="27" spans="1:3">
      <c r="A27" s="8" t="s">
        <v>1641</v>
      </c>
      <c r="B27" s="8" t="s">
        <v>1641</v>
      </c>
      <c r="C27" s="1539"/>
    </row>
    <row r="28" spans="1:3">
      <c r="A28" s="8" t="s">
        <v>1641</v>
      </c>
      <c r="B28" s="8" t="s">
        <v>1641</v>
      </c>
      <c r="C28" s="1539"/>
    </row>
    <row r="29" spans="1:3">
      <c r="A29" s="8" t="s">
        <v>1641</v>
      </c>
      <c r="B29" s="8" t="s">
        <v>1641</v>
      </c>
      <c r="C29" s="1539"/>
    </row>
    <row r="30" spans="1:3">
      <c r="A30" s="8" t="s">
        <v>1641</v>
      </c>
      <c r="B30" s="8" t="s">
        <v>1641</v>
      </c>
      <c r="C30" s="1539"/>
    </row>
    <row r="31" spans="1:3">
      <c r="A31" s="8" t="s">
        <v>1641</v>
      </c>
      <c r="B31" s="8" t="s">
        <v>1641</v>
      </c>
      <c r="C31" s="1539"/>
    </row>
    <row r="32" spans="1:3">
      <c r="A32" s="8" t="s">
        <v>1641</v>
      </c>
      <c r="B32" s="8" t="s">
        <v>1641</v>
      </c>
      <c r="C32" s="1539"/>
    </row>
    <row r="33" spans="1:3">
      <c r="A33" s="8" t="s">
        <v>1641</v>
      </c>
      <c r="B33" s="8" t="s">
        <v>1641</v>
      </c>
      <c r="C33" s="1539"/>
    </row>
    <row r="34" spans="1:3">
      <c r="A34" s="8" t="s">
        <v>1641</v>
      </c>
      <c r="B34" s="8" t="s">
        <v>1641</v>
      </c>
      <c r="C34" s="1539"/>
    </row>
    <row r="35" spans="1:3">
      <c r="A35" s="8" t="s">
        <v>1641</v>
      </c>
      <c r="B35" s="8" t="s">
        <v>1641</v>
      </c>
      <c r="C35" s="1539"/>
    </row>
    <row r="36" spans="1:3">
      <c r="A36" s="8" t="s">
        <v>1641</v>
      </c>
      <c r="B36" s="8" t="s">
        <v>1641</v>
      </c>
      <c r="C36" s="1539"/>
    </row>
    <row r="37" spans="1:3">
      <c r="A37" s="8" t="s">
        <v>1641</v>
      </c>
      <c r="B37" s="8" t="s">
        <v>1641</v>
      </c>
      <c r="C37" s="1539"/>
    </row>
    <row r="38" spans="1:3">
      <c r="A38" s="8" t="s">
        <v>1641</v>
      </c>
      <c r="B38" s="8" t="s">
        <v>1641</v>
      </c>
      <c r="C38" s="1539"/>
    </row>
    <row r="39" spans="1:3">
      <c r="A39" s="8" t="s">
        <v>1641</v>
      </c>
      <c r="B39" s="8" t="s">
        <v>1641</v>
      </c>
      <c r="C39" s="1539"/>
    </row>
    <row r="40" spans="1:3">
      <c r="A40" s="8" t="s">
        <v>1641</v>
      </c>
      <c r="B40" s="8" t="s">
        <v>1641</v>
      </c>
      <c r="C40" s="1539"/>
    </row>
    <row r="41" spans="1:3">
      <c r="A41" s="8" t="s">
        <v>1641</v>
      </c>
      <c r="B41" s="8" t="s">
        <v>1641</v>
      </c>
      <c r="C41" s="1539"/>
    </row>
    <row r="42" spans="1:3">
      <c r="A42" s="8" t="s">
        <v>1641</v>
      </c>
      <c r="B42" s="8" t="s">
        <v>1641</v>
      </c>
      <c r="C42" s="1539"/>
    </row>
    <row r="43" spans="1:3">
      <c r="A43" s="8" t="s">
        <v>1641</v>
      </c>
      <c r="B43" s="8" t="s">
        <v>1641</v>
      </c>
      <c r="C43" s="1539"/>
    </row>
    <row r="44" spans="1:3">
      <c r="A44" s="8" t="s">
        <v>1641</v>
      </c>
      <c r="B44" s="8" t="s">
        <v>1641</v>
      </c>
      <c r="C44" s="1539"/>
    </row>
    <row r="45" spans="1:3">
      <c r="A45" s="8" t="s">
        <v>1641</v>
      </c>
      <c r="B45" s="8" t="s">
        <v>1641</v>
      </c>
      <c r="C45" s="1539"/>
    </row>
    <row r="46" spans="1:3">
      <c r="A46" s="8" t="s">
        <v>1641</v>
      </c>
      <c r="B46" s="8" t="s">
        <v>1641</v>
      </c>
      <c r="C46" s="1539"/>
    </row>
    <row r="47" spans="1:3">
      <c r="A47" s="8" t="s">
        <v>1641</v>
      </c>
      <c r="B47" s="8" t="s">
        <v>1641</v>
      </c>
      <c r="C47" s="1539"/>
    </row>
    <row r="48" spans="1:3">
      <c r="A48" s="8" t="s">
        <v>1641</v>
      </c>
      <c r="B48" s="8" t="s">
        <v>1641</v>
      </c>
      <c r="C48" s="1539"/>
    </row>
    <row r="49" spans="1:5">
      <c r="A49" s="8" t="s">
        <v>1641</v>
      </c>
      <c r="B49" s="8" t="s">
        <v>1641</v>
      </c>
      <c r="C49" s="1539"/>
    </row>
    <row r="50" spans="1:5">
      <c r="A50" s="8" t="s">
        <v>1641</v>
      </c>
      <c r="B50" s="8" t="s">
        <v>1641</v>
      </c>
      <c r="C50" s="1539"/>
    </row>
    <row r="51" spans="1:5">
      <c r="A51" s="1749" t="s">
        <v>1942</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1986</v>
      </c>
      <c r="B52" s="1752" t="s">
        <v>1987</v>
      </c>
      <c r="C52" s="1750" t="s">
        <v>1988</v>
      </c>
      <c r="D52" s="1750" t="s">
        <v>1989</v>
      </c>
      <c r="E52" s="1751"/>
    </row>
    <row r="53" spans="1:5">
      <c r="A53" s="3813" t="s">
        <v>1990</v>
      </c>
      <c r="B53" s="1750" t="s">
        <v>1996</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c r="D53" s="1751"/>
      <c r="E53" s="1751"/>
    </row>
    <row r="54" spans="1:5">
      <c r="A54" s="3813"/>
      <c r="B54" s="1750" t="s">
        <v>1997</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813"/>
      <c r="B55" s="1750" t="s">
        <v>1991</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813"/>
      <c r="B56" s="1750" t="s">
        <v>1992</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813"/>
      <c r="B57" s="1750" t="s">
        <v>1993</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2049</v>
      </c>
      <c r="B58" s="1750" t="s">
        <v>2050</v>
      </c>
      <c r="C58" s="11" t="s">
        <v>2051</v>
      </c>
      <c r="D58" s="131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I24" sqref="I24"/>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1937</v>
      </c>
      <c r="B1" s="3816" t="str">
        <f>IF(B10="北京市","北京市",C10)&amp;F10&amp;B16&amp;"国有建设用地使用权"&amp;B9&amp;"预评估"</f>
        <v>出让国有建设用地使用权抵押价格预评估</v>
      </c>
      <c r="C1" s="3817"/>
      <c r="D1" s="3817"/>
      <c r="E1" s="3817"/>
      <c r="F1" s="3817"/>
      <c r="G1" s="3817"/>
      <c r="H1" s="3817"/>
      <c r="I1" s="3818"/>
      <c r="J1" s="1676"/>
      <c r="K1" s="2417"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2" t="s">
        <v>1938</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1939</v>
      </c>
      <c r="B3" s="1644">
        <v>43647</v>
      </c>
      <c r="C3" s="1645" t="s">
        <v>1995</v>
      </c>
      <c r="D3" s="1644">
        <f>B3</f>
        <v>43647</v>
      </c>
      <c r="E3" s="1676"/>
      <c r="F3" s="1676"/>
      <c r="G3" s="1676"/>
      <c r="H3" s="1642"/>
      <c r="I3" s="1677"/>
      <c r="J3" s="1676"/>
      <c r="K3" s="1756"/>
      <c r="L3" s="1705"/>
      <c r="M3" s="1705"/>
      <c r="N3" s="1676"/>
      <c r="O3" s="1677"/>
      <c r="P3" s="1676"/>
      <c r="Q3" s="1676"/>
      <c r="R3" s="1676"/>
      <c r="S3" s="1676"/>
      <c r="T3" s="1676"/>
      <c r="U3" s="1676"/>
    </row>
    <row r="4" spans="1:21" ht="29.25" thickBot="1">
      <c r="A4" s="1646" t="s">
        <v>1940</v>
      </c>
      <c r="B4" s="1825" t="s">
        <v>2887</v>
      </c>
      <c r="C4" s="1828">
        <f>SUMIF(土地估价师,B4,估价师及机构信息!E3:E24)</f>
        <v>0</v>
      </c>
      <c r="D4" s="1825" t="s">
        <v>2887</v>
      </c>
      <c r="E4" s="1828">
        <f>SUMIF(土地估价师,D4,估价师及机构信息!E3:E24)</f>
        <v>0</v>
      </c>
      <c r="F4" s="1825" t="s">
        <v>952</v>
      </c>
      <c r="G4" s="1828">
        <f>SUMIF(土地估价师,F4,估价师及机构信息!E3:E24)</f>
        <v>0</v>
      </c>
      <c r="H4" s="1825" t="s">
        <v>952</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1941</v>
      </c>
      <c r="B5" s="3316"/>
      <c r="C5" s="1648"/>
      <c r="D5" s="1649"/>
      <c r="E5" s="1676"/>
      <c r="F5" s="1676"/>
      <c r="G5" s="1676"/>
      <c r="H5" s="1642"/>
      <c r="I5" s="1677"/>
      <c r="J5" s="1676"/>
      <c r="K5" s="1756"/>
      <c r="L5" s="1705"/>
      <c r="M5" s="1705"/>
      <c r="N5" s="1676"/>
      <c r="O5" s="1677"/>
      <c r="P5" s="1676"/>
      <c r="Q5" s="1676"/>
      <c r="R5" s="1676"/>
      <c r="S5" s="1676"/>
      <c r="T5" s="1676"/>
      <c r="U5" s="1676"/>
    </row>
    <row r="6" spans="1:21" ht="26.25">
      <c r="A6" s="1645" t="s">
        <v>2705</v>
      </c>
      <c r="B6" s="1771" t="s">
        <v>2992</v>
      </c>
      <c r="C6" s="1743"/>
      <c r="D6" s="1650"/>
      <c r="E6" s="1676"/>
      <c r="F6" s="1676"/>
      <c r="G6" s="1676"/>
      <c r="H6" s="1642"/>
      <c r="I6" s="1677"/>
      <c r="J6" s="1676"/>
      <c r="K6" s="3003" t="str">
        <f>IF(COUNTIF(B6,"*上海银行*"),"上海银行","")</f>
        <v/>
      </c>
      <c r="L6" s="1705"/>
      <c r="M6" s="1705"/>
      <c r="N6" s="1676"/>
      <c r="O6" s="1677"/>
      <c r="P6" s="1676"/>
      <c r="Q6" s="1676"/>
      <c r="R6" s="1676"/>
      <c r="S6" s="1676"/>
      <c r="T6" s="1676"/>
      <c r="U6" s="1676"/>
    </row>
    <row r="7" spans="1:21">
      <c r="A7" s="1651" t="s">
        <v>2706</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1942</v>
      </c>
      <c r="B8" s="1652" t="s">
        <v>2993</v>
      </c>
      <c r="C8" s="1653"/>
      <c r="D8" s="3822" t="s">
        <v>1944</v>
      </c>
      <c r="E8" s="1826" t="s">
        <v>2994</v>
      </c>
      <c r="F8" s="1654"/>
      <c r="G8" s="1642"/>
      <c r="H8" s="1642"/>
      <c r="I8" s="1689"/>
      <c r="J8" s="1676"/>
      <c r="K8" s="1756"/>
      <c r="L8" s="1705"/>
      <c r="M8" s="1705"/>
      <c r="N8" s="1676"/>
      <c r="O8" s="1677"/>
      <c r="P8" s="1676"/>
      <c r="Q8" s="1676"/>
      <c r="R8" s="1676"/>
      <c r="S8" s="1676"/>
      <c r="T8" s="1676"/>
      <c r="U8" s="1676"/>
    </row>
    <row r="9" spans="1:21" ht="15" thickBot="1">
      <c r="A9" s="1655" t="s">
        <v>1943</v>
      </c>
      <c r="B9" s="1656" t="s">
        <v>2994</v>
      </c>
      <c r="C9" s="1657"/>
      <c r="D9" s="3823"/>
      <c r="E9" s="1656"/>
      <c r="F9" s="1729"/>
      <c r="G9" s="1724"/>
      <c r="H9" s="1724"/>
      <c r="I9" s="1725"/>
      <c r="J9" s="1676"/>
      <c r="K9" s="1756"/>
      <c r="L9" s="1705"/>
      <c r="M9" s="1705"/>
      <c r="N9" s="1676"/>
      <c r="O9" s="1677"/>
      <c r="P9" s="1676"/>
      <c r="Q9" s="1676"/>
      <c r="R9" s="1676"/>
      <c r="S9" s="1676"/>
      <c r="T9" s="1676"/>
      <c r="U9" s="1676"/>
    </row>
    <row r="10" spans="1:21" ht="15" thickTop="1">
      <c r="A10" s="1726" t="s">
        <v>1999</v>
      </c>
      <c r="B10" s="1701" t="s">
        <v>2995</v>
      </c>
      <c r="C10" s="1658"/>
      <c r="D10" s="1649"/>
      <c r="E10" s="1659" t="s">
        <v>1946</v>
      </c>
      <c r="F10" s="1660"/>
      <c r="G10" s="1727"/>
      <c r="H10" s="1728"/>
      <c r="I10" s="1649"/>
      <c r="J10" s="1676"/>
      <c r="K10" s="1756"/>
      <c r="L10" s="1705"/>
      <c r="M10" s="1705"/>
      <c r="N10" s="1676"/>
      <c r="O10" s="1677"/>
      <c r="P10" s="1676"/>
      <c r="Q10" s="1676"/>
      <c r="R10" s="1676"/>
      <c r="S10" s="1676"/>
      <c r="T10" s="1676"/>
      <c r="U10" s="1676"/>
    </row>
    <row r="11" spans="1:21">
      <c r="A11" s="1679" t="s">
        <v>2000</v>
      </c>
      <c r="B11" s="1680" t="s">
        <v>2996</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2058</v>
      </c>
      <c r="B12" s="3819"/>
      <c r="C12" s="3820"/>
      <c r="D12" s="3821"/>
      <c r="E12" s="1681" t="s">
        <v>2061</v>
      </c>
      <c r="F12" s="3837" t="s">
        <v>2888</v>
      </c>
      <c r="G12" s="3838"/>
      <c r="H12" s="3838"/>
      <c r="I12" s="3839"/>
      <c r="J12" s="1676"/>
      <c r="K12" s="1756"/>
      <c r="L12" s="1705"/>
      <c r="M12" s="1705"/>
      <c r="N12" s="1676"/>
      <c r="O12" s="1677"/>
      <c r="P12" s="1676"/>
      <c r="Q12" s="1676"/>
      <c r="R12" s="1676"/>
      <c r="S12" s="1676"/>
      <c r="T12" s="1676"/>
      <c r="U12" s="1676"/>
    </row>
    <row r="13" spans="1:21">
      <c r="A13" s="1669" t="s">
        <v>2059</v>
      </c>
      <c r="B13" s="3819"/>
      <c r="C13" s="3820"/>
      <c r="D13" s="3821"/>
      <c r="E13" s="1681" t="s">
        <v>2061</v>
      </c>
      <c r="F13" s="3837" t="s">
        <v>2889</v>
      </c>
      <c r="G13" s="3838"/>
      <c r="H13" s="3838"/>
      <c r="I13" s="3839"/>
      <c r="J13" s="1676"/>
      <c r="K13" s="1756"/>
      <c r="L13" s="1705"/>
      <c r="M13" s="1705"/>
      <c r="N13" s="1676"/>
      <c r="O13" s="1677"/>
      <c r="P13" s="1676"/>
      <c r="Q13" s="1676"/>
      <c r="R13" s="1676"/>
      <c r="S13" s="1676"/>
      <c r="T13" s="1676"/>
      <c r="U13" s="1676"/>
    </row>
    <row r="14" spans="1:21">
      <c r="A14" s="1643" t="s">
        <v>2062</v>
      </c>
      <c r="B14" s="1681"/>
      <c r="C14" s="1827"/>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1949</v>
      </c>
      <c r="E15" s="1748" t="s">
        <v>1950</v>
      </c>
      <c r="F15" s="1748" t="s">
        <v>1951</v>
      </c>
      <c r="G15" s="1668" t="s">
        <v>1952</v>
      </c>
      <c r="H15" s="1668" t="s">
        <v>1953</v>
      </c>
      <c r="I15" s="1668" t="s">
        <v>1954</v>
      </c>
      <c r="J15" s="1676"/>
      <c r="K15" s="1756"/>
      <c r="L15" s="1705"/>
      <c r="M15" s="1705"/>
      <c r="N15" s="1676"/>
      <c r="O15" s="1677"/>
      <c r="P15" s="1676"/>
      <c r="Q15" s="1676"/>
      <c r="R15" s="1676"/>
      <c r="S15" s="1676"/>
      <c r="T15" s="1676"/>
      <c r="U15" s="1676"/>
    </row>
    <row r="16" spans="1:21" ht="42.75">
      <c r="A16" s="1662" t="s">
        <v>1947</v>
      </c>
      <c r="B16" s="1663" t="s">
        <v>2986</v>
      </c>
      <c r="C16" s="1681" t="s">
        <v>1948</v>
      </c>
      <c r="D16" s="2608" t="s">
        <v>1949</v>
      </c>
      <c r="E16" s="1704" t="s">
        <v>2997</v>
      </c>
      <c r="F16" s="1704"/>
      <c r="G16" s="1704" t="s">
        <v>35</v>
      </c>
      <c r="H16" s="1704"/>
      <c r="I16" s="1668" t="s">
        <v>1954</v>
      </c>
      <c r="J16" s="1676"/>
      <c r="K16" s="2418" t="str">
        <f>IF(D17="","",D16&amp;TEXT(D17,"yyyy年m月d日;;"))</f>
        <v>住宅2064年1月15日</v>
      </c>
      <c r="L16" s="1681" t="str">
        <f>IF(OR(K16="",M16=""),"","、")</f>
        <v>、</v>
      </c>
      <c r="M16" s="2418" t="str">
        <f>IF(E17="","",E16&amp;TEXT(E17,"yyyy年m月d日;;"))</f>
        <v>商业2054年1月15日</v>
      </c>
      <c r="N16" s="1681" t="str">
        <f>IF(OR(M16="",O16=""),"","、")</f>
        <v/>
      </c>
      <c r="O16" s="2418" t="str">
        <f>IF(F17="","",F16&amp;TEXT(F17,"yyyy年m月d日;;"))</f>
        <v/>
      </c>
      <c r="P16" s="1681" t="str">
        <f>IF(OR(O16="",Q16=""),"","、")</f>
        <v/>
      </c>
      <c r="Q16" s="2418" t="str">
        <f>IF(G17="","",G16&amp;TEXT(G17,"yyyy年m月d日;;"))</f>
        <v>地下车库2054年1月15日</v>
      </c>
      <c r="R16" s="1681" t="str">
        <f>IF(OR(Q16="",S16=""),"","、")</f>
        <v/>
      </c>
      <c r="S16" s="2418" t="str">
        <f>IF(H17="","",H16&amp;TEXT(H17,"yyyy年m月d日;;"))</f>
        <v/>
      </c>
      <c r="T16" s="1681" t="str">
        <f>IF(OR(S16="",U16=""),"","、")</f>
        <v/>
      </c>
      <c r="U16" s="2418" t="str">
        <f>IF(I17="","",I16&amp;TEXT(I17,"yyyy年m月d日;;"))</f>
        <v/>
      </c>
    </row>
    <row r="17" spans="1:21">
      <c r="A17" s="1745"/>
      <c r="B17" s="1664"/>
      <c r="C17" s="1665" t="s">
        <v>1955</v>
      </c>
      <c r="D17" s="1682">
        <v>59916</v>
      </c>
      <c r="E17" s="1682">
        <v>56264</v>
      </c>
      <c r="F17" s="1682"/>
      <c r="G17" s="1682">
        <v>56264</v>
      </c>
      <c r="H17" s="1682"/>
      <c r="I17" s="1682"/>
      <c r="J17" s="1676"/>
      <c r="K17" s="2417" t="str">
        <f>CONCATENATE(K16,L16,M16,N16,O16,P16,Q16,R16,S16,T16,,U16)</f>
        <v>住宅2064年1月15日、商业2054年1月15日地下车库2054年1月15日</v>
      </c>
      <c r="L17" s="1705"/>
      <c r="M17" s="1705"/>
      <c r="N17" s="1676"/>
      <c r="O17" s="1677"/>
      <c r="P17" s="1676"/>
      <c r="Q17" s="1676"/>
      <c r="R17" s="1676"/>
      <c r="S17" s="1676"/>
      <c r="T17" s="1676"/>
      <c r="U17" s="1676"/>
    </row>
    <row r="18" spans="1:21">
      <c r="A18" s="1745"/>
      <c r="B18" s="1664"/>
      <c r="C18" s="1665" t="s">
        <v>1956</v>
      </c>
      <c r="D18" s="1666">
        <v>50</v>
      </c>
      <c r="E18" s="1666">
        <v>40</v>
      </c>
      <c r="F18" s="1666"/>
      <c r="G18" s="1666">
        <v>40</v>
      </c>
      <c r="H18" s="1666"/>
      <c r="I18" s="1666"/>
      <c r="J18" s="1676"/>
      <c r="K18" s="1756"/>
      <c r="L18" s="1705"/>
      <c r="M18" s="1705"/>
      <c r="N18" s="1676"/>
      <c r="O18" s="1677"/>
      <c r="P18" s="1676"/>
      <c r="Q18" s="1676"/>
      <c r="R18" s="1676"/>
      <c r="S18" s="1676"/>
      <c r="T18" s="1676"/>
      <c r="U18" s="1676"/>
    </row>
    <row r="19" spans="1:21">
      <c r="A19" s="1745"/>
      <c r="B19" s="1664"/>
      <c r="C19" s="1642" t="s">
        <v>1957</v>
      </c>
      <c r="D19" s="1740">
        <f>IF(B16="出让",IF(D17="","",ROUNDDOWN(MIN((D17-$D$3)/365,D18),2)),D18)</f>
        <v>44.57</v>
      </c>
      <c r="E19" s="1667">
        <f>IF(B16="出让",IF(E17="","",ROUNDDOWN(MIN((E17-$D$3)/365,E18),2)),E18)</f>
        <v>34.56</v>
      </c>
      <c r="F19" s="1667" t="str">
        <f>IF(B16="出让",IF(F17="","",ROUNDDOWN(MIN((F17-$D$3)/365,F18),2)),F18)</f>
        <v/>
      </c>
      <c r="G19" s="1667">
        <f>IF(B16="出让",IF(G17="","",ROUNDDOWN(MIN((G17-$D$3)/365,G18),2)),G18)</f>
        <v>34.56</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2060</v>
      </c>
      <c r="D20" s="3834"/>
      <c r="E20" s="3835"/>
      <c r="F20" s="3835"/>
      <c r="G20" s="3835"/>
      <c r="H20" s="3835"/>
      <c r="I20" s="3836"/>
      <c r="J20" s="1676"/>
      <c r="K20" s="1756"/>
      <c r="L20" s="1705"/>
      <c r="M20" s="1705"/>
      <c r="N20" s="1676"/>
      <c r="O20" s="1677"/>
      <c r="P20" s="1676"/>
      <c r="Q20" s="1676"/>
      <c r="R20" s="1676"/>
      <c r="S20" s="1676"/>
      <c r="T20" s="1676"/>
      <c r="U20" s="1676"/>
    </row>
    <row r="21" spans="1:21">
      <c r="A21" s="1745" t="s">
        <v>1958</v>
      </c>
      <c r="B21" s="1746" t="s">
        <v>1959</v>
      </c>
      <c r="C21" s="1741">
        <f>'数据-汇总表'!E3</f>
        <v>163564.33000000002</v>
      </c>
      <c r="D21" s="1742" t="s">
        <v>1960</v>
      </c>
      <c r="E21" s="3824" t="s">
        <v>1998</v>
      </c>
      <c r="F21" s="3825"/>
      <c r="G21" s="3825"/>
      <c r="H21" s="3825"/>
      <c r="I21" s="3826"/>
      <c r="J21" s="1676"/>
      <c r="K21" s="1756"/>
      <c r="L21" s="1705"/>
      <c r="M21" s="1705"/>
      <c r="N21" s="1676"/>
      <c r="O21" s="1677"/>
      <c r="P21" s="1676"/>
      <c r="Q21" s="1676"/>
      <c r="R21" s="1676"/>
      <c r="S21" s="1676"/>
      <c r="T21" s="1676"/>
      <c r="U21" s="1676"/>
    </row>
    <row r="22" spans="1:21">
      <c r="A22" s="3092" t="s">
        <v>952</v>
      </c>
      <c r="B22" s="1643" t="s">
        <v>1961</v>
      </c>
      <c r="C22" s="1668">
        <f>'数据-汇总表'!D3</f>
        <v>27220.14</v>
      </c>
      <c r="D22" s="1669" t="s">
        <v>1960</v>
      </c>
      <c r="E22" s="3824" t="s">
        <v>2890</v>
      </c>
      <c r="F22" s="3825"/>
      <c r="G22" s="3825"/>
      <c r="H22" s="3825"/>
      <c r="I22" s="3826"/>
      <c r="J22" s="1676"/>
      <c r="K22" s="1756"/>
      <c r="L22" s="1705"/>
      <c r="M22" s="1705"/>
      <c r="N22" s="1676"/>
      <c r="O22" s="1677"/>
      <c r="P22" s="1676"/>
      <c r="Q22" s="1676"/>
      <c r="R22" s="1676"/>
      <c r="S22" s="1676"/>
      <c r="T22" s="1676"/>
      <c r="U22" s="1676"/>
    </row>
    <row r="23" spans="1:21" ht="43.5" thickBot="1">
      <c r="A23" s="1747" t="s">
        <v>1962</v>
      </c>
      <c r="B23" s="1683" t="s">
        <v>1963</v>
      </c>
      <c r="C23" s="1684"/>
      <c r="D23" s="1685" t="s">
        <v>1964</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1965</v>
      </c>
      <c r="B24" s="3827" t="s">
        <v>1966</v>
      </c>
      <c r="C24" s="3828"/>
      <c r="D24" s="3829" t="s">
        <v>1967</v>
      </c>
      <c r="E24" s="3830"/>
      <c r="F24" s="1690" t="s">
        <v>1968</v>
      </c>
      <c r="G24" s="1676"/>
      <c r="H24" s="1676"/>
      <c r="I24" s="1689"/>
      <c r="J24" s="1676"/>
      <c r="K24" s="3815" t="s">
        <v>1969</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2325</v>
      </c>
      <c r="C25" s="1691" t="s">
        <v>1970</v>
      </c>
      <c r="D25" s="1692"/>
      <c r="E25" s="1693" t="s">
        <v>952</v>
      </c>
      <c r="F25" s="1694"/>
      <c r="G25" s="1676"/>
      <c r="H25" s="1676"/>
      <c r="I25" s="1689"/>
      <c r="J25" s="1676"/>
      <c r="K25" s="3815"/>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1971</v>
      </c>
      <c r="C26" s="1691" t="s">
        <v>2326</v>
      </c>
      <c r="D26" s="1642"/>
      <c r="E26" s="1642"/>
      <c r="F26" s="1670"/>
      <c r="G26" s="1676"/>
      <c r="H26" s="1676"/>
      <c r="I26" s="1689"/>
      <c r="J26" s="1676"/>
      <c r="K26" s="3815"/>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1972</v>
      </c>
      <c r="B27" s="1735" t="s">
        <v>1973</v>
      </c>
      <c r="C27" s="1695"/>
      <c r="D27" s="2613" t="s">
        <v>1973</v>
      </c>
      <c r="E27" s="1696"/>
      <c r="F27" s="1670"/>
      <c r="G27" s="1676"/>
      <c r="H27" s="1676"/>
      <c r="I27" s="1689"/>
      <c r="J27" s="1676"/>
      <c r="K27" s="1756"/>
      <c r="L27" s="1705"/>
      <c r="M27" s="1705"/>
      <c r="N27" s="1676"/>
      <c r="O27" s="1677"/>
      <c r="P27" s="1676"/>
      <c r="Q27" s="1676"/>
      <c r="R27" s="1676"/>
      <c r="S27" s="1676"/>
      <c r="T27" s="1676"/>
      <c r="U27" s="1676"/>
    </row>
    <row r="28" spans="1:21">
      <c r="A28" s="1738"/>
      <c r="B28" s="1735" t="s">
        <v>1974</v>
      </c>
      <c r="C28" s="1697"/>
      <c r="D28" s="2614" t="s">
        <v>1974</v>
      </c>
      <c r="E28" s="1698"/>
      <c r="F28" s="1670"/>
      <c r="G28" s="1676"/>
      <c r="H28" s="1676"/>
      <c r="I28" s="1689"/>
      <c r="J28" s="1676"/>
      <c r="K28" s="1756"/>
      <c r="L28" s="1705"/>
      <c r="M28" s="1705"/>
      <c r="N28" s="1676"/>
      <c r="O28" s="1677"/>
      <c r="P28" s="1676"/>
      <c r="Q28" s="1676"/>
      <c r="R28" s="1676"/>
      <c r="S28" s="1676"/>
      <c r="T28" s="1676"/>
      <c r="U28" s="1676"/>
    </row>
    <row r="29" spans="1:21">
      <c r="A29" s="1738"/>
      <c r="B29" s="1735" t="s">
        <v>1975</v>
      </c>
      <c r="C29" s="1697"/>
      <c r="D29" s="2614" t="s">
        <v>1975</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1976</v>
      </c>
      <c r="C30" s="1699"/>
      <c r="D30" s="2615" t="s">
        <v>1976</v>
      </c>
      <c r="E30" s="1700"/>
      <c r="F30" s="1671"/>
      <c r="G30" s="1724"/>
      <c r="H30" s="1724"/>
      <c r="I30" s="1725"/>
      <c r="J30" s="1676"/>
      <c r="K30" s="1756"/>
      <c r="L30" s="1705"/>
      <c r="M30" s="1705"/>
      <c r="N30" s="1676"/>
      <c r="O30" s="1677"/>
      <c r="P30" s="1676"/>
      <c r="Q30" s="1676"/>
      <c r="R30" s="1676"/>
      <c r="S30" s="1676"/>
      <c r="T30" s="1676"/>
      <c r="U30" s="1676"/>
    </row>
    <row r="31" spans="1:21" ht="15" thickTop="1">
      <c r="A31" s="3842" t="s">
        <v>2001</v>
      </c>
      <c r="B31" s="1746" t="s">
        <v>2002</v>
      </c>
      <c r="C31" s="3840"/>
      <c r="D31" s="3841"/>
      <c r="E31" s="1676"/>
      <c r="F31" s="1676"/>
      <c r="G31" s="1676"/>
      <c r="H31" s="1676"/>
      <c r="I31" s="1689"/>
      <c r="J31" s="1676"/>
      <c r="K31" s="2420"/>
      <c r="L31" s="1676"/>
      <c r="M31" s="1676"/>
      <c r="N31" s="1676"/>
      <c r="O31" s="1676"/>
      <c r="P31" s="1676"/>
      <c r="Q31" s="1676"/>
      <c r="R31" s="1676"/>
      <c r="S31" s="1676"/>
      <c r="T31" s="1676"/>
      <c r="U31" s="1676"/>
    </row>
    <row r="32" spans="1:21">
      <c r="A32" s="3842"/>
      <c r="B32" s="1643" t="s">
        <v>2003</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842"/>
      <c r="B33" s="1643" t="s">
        <v>2004</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843"/>
      <c r="B34" s="1643" t="s">
        <v>2005</v>
      </c>
      <c r="C34" s="3844"/>
      <c r="D34" s="3845"/>
      <c r="E34" s="1676"/>
      <c r="F34" s="1676"/>
      <c r="G34" s="1676"/>
      <c r="H34" s="1676"/>
      <c r="I34" s="1689"/>
      <c r="J34" s="1676"/>
      <c r="K34" s="2420"/>
      <c r="L34" s="1676"/>
      <c r="M34" s="1676"/>
      <c r="N34" s="1676"/>
      <c r="O34" s="1676"/>
      <c r="P34" s="1676"/>
      <c r="Q34" s="1676"/>
      <c r="R34" s="1676"/>
      <c r="S34" s="1676"/>
      <c r="T34" s="1676"/>
      <c r="U34" s="1676"/>
    </row>
    <row r="35" spans="1:21">
      <c r="A35" s="3846" t="s">
        <v>847</v>
      </c>
      <c r="B35" s="1704"/>
      <c r="C35" s="1758" t="str">
        <f>IF(B35="场地平整","——","具体情况：")</f>
        <v>具体情况：</v>
      </c>
      <c r="D35" s="3848"/>
      <c r="E35" s="3849"/>
      <c r="F35" s="3849"/>
      <c r="G35" s="3849"/>
      <c r="H35" s="3849"/>
      <c r="I35" s="3850"/>
      <c r="J35" s="1676"/>
      <c r="K35" s="1757"/>
      <c r="L35" s="1705"/>
      <c r="M35" s="1705"/>
      <c r="N35" s="1676"/>
      <c r="O35" s="1677"/>
      <c r="P35" s="1676"/>
      <c r="Q35" s="1676"/>
      <c r="R35" s="1676"/>
      <c r="S35" s="1676"/>
      <c r="T35" s="1676"/>
      <c r="U35" s="1676"/>
    </row>
    <row r="36" spans="1:21">
      <c r="A36" s="3842"/>
      <c r="B36" s="3851" t="s">
        <v>2054</v>
      </c>
      <c r="C36" s="3852"/>
      <c r="D36" s="1774"/>
      <c r="E36" s="3853"/>
      <c r="F36" s="3853"/>
      <c r="G36" s="1669" t="str">
        <f>IF(B35="场地未平整","估价结果处理","")</f>
        <v/>
      </c>
      <c r="H36" s="3854"/>
      <c r="I36" s="3854"/>
      <c r="J36" s="1676"/>
      <c r="K36" s="1757"/>
      <c r="L36" s="1705"/>
      <c r="M36" s="1705"/>
      <c r="N36" s="1676"/>
      <c r="O36" s="1677"/>
      <c r="P36" s="1676"/>
      <c r="Q36" s="1676"/>
      <c r="R36" s="1676"/>
      <c r="S36" s="1676"/>
      <c r="T36" s="1676"/>
      <c r="U36" s="1676"/>
    </row>
    <row r="37" spans="1:21" ht="28.5">
      <c r="A37" s="3842"/>
      <c r="B37" s="3831" t="s">
        <v>848</v>
      </c>
      <c r="C37" s="1706" t="s">
        <v>849</v>
      </c>
      <c r="D37" s="1707"/>
      <c r="E37" s="1708"/>
      <c r="F37" s="1676"/>
      <c r="G37" s="1676"/>
      <c r="H37" s="1676"/>
      <c r="I37" s="1689"/>
      <c r="J37" s="1676"/>
      <c r="K37" s="1757"/>
      <c r="L37" s="1676"/>
      <c r="M37" s="1676"/>
      <c r="N37" s="1676"/>
      <c r="O37" s="1676"/>
      <c r="P37" s="1676"/>
      <c r="Q37" s="1676"/>
      <c r="R37" s="1676"/>
      <c r="S37" s="1676"/>
      <c r="T37" s="1676"/>
      <c r="U37" s="1676"/>
    </row>
    <row r="38" spans="1:21">
      <c r="A38" s="3842"/>
      <c r="B38" s="3832"/>
      <c r="C38" s="1651" t="s">
        <v>850</v>
      </c>
      <c r="D38" s="1773">
        <f>ROUNDDOWN(MIN(('数据-取费表'!$B$2-D37)/365,D34),1)</f>
        <v>119.5</v>
      </c>
      <c r="E38" s="1709" t="s">
        <v>851</v>
      </c>
      <c r="F38" s="1676"/>
      <c r="G38" s="1676"/>
      <c r="H38" s="1676"/>
      <c r="I38" s="1689"/>
      <c r="J38" s="1676"/>
      <c r="K38" s="1757"/>
      <c r="L38" s="1676"/>
      <c r="M38" s="1676"/>
      <c r="N38" s="1676"/>
      <c r="O38" s="1676"/>
      <c r="P38" s="1676"/>
      <c r="Q38" s="1676"/>
      <c r="R38" s="1676"/>
      <c r="S38" s="1676"/>
      <c r="T38" s="1676"/>
      <c r="U38" s="1676"/>
    </row>
    <row r="39" spans="1:21">
      <c r="A39" s="3843"/>
      <c r="B39" s="3833"/>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1977</v>
      </c>
      <c r="B40" s="1672"/>
      <c r="C40" s="1672"/>
      <c r="D40" s="1672"/>
      <c r="E40" s="1672"/>
      <c r="F40" s="1672"/>
      <c r="G40" s="1672"/>
      <c r="H40" s="1672"/>
      <c r="I40" s="1689"/>
      <c r="J40" s="1676"/>
      <c r="K40" s="1712">
        <f>COUNTIF(B40:H40,"——")</f>
        <v>0</v>
      </c>
      <c r="L40" s="1681" t="s">
        <v>1978</v>
      </c>
      <c r="M40" s="1678" t="s">
        <v>1979</v>
      </c>
      <c r="N40" s="1678" t="s">
        <v>1980</v>
      </c>
      <c r="O40" s="1678" t="s">
        <v>1981</v>
      </c>
      <c r="P40" s="1678" t="s">
        <v>1982</v>
      </c>
      <c r="Q40" s="1678" t="s">
        <v>1983</v>
      </c>
      <c r="R40" s="1678" t="s">
        <v>1984</v>
      </c>
      <c r="S40" s="3814" t="s">
        <v>1985</v>
      </c>
      <c r="T40" s="1713" t="str">
        <f>NUMBERSTRING(7-K40,1)&amp;"通"</f>
        <v>七通</v>
      </c>
      <c r="U40" s="1676"/>
    </row>
    <row r="41" spans="1:21">
      <c r="A41" s="1645"/>
      <c r="B41" s="3847" t="s">
        <v>1721</v>
      </c>
      <c r="C41" s="3847"/>
      <c r="D41" s="3847"/>
      <c r="E41" s="3847"/>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814"/>
      <c r="T41" s="1715" t="str">
        <f>IF(T40="一通",L41,IF(T40="二通",M41,IF(T40="三通",N41,IF(T40="四通",O41,IF(T40="五通",P41,IF(T40="六通",Q41,R41))))))</f>
        <v>、、、、、、</v>
      </c>
      <c r="U41" s="1676"/>
    </row>
    <row r="42" spans="1:21">
      <c r="A42" s="1717"/>
      <c r="B42" s="1748" t="s">
        <v>1897</v>
      </c>
      <c r="C42" s="1748" t="s">
        <v>1898</v>
      </c>
      <c r="D42" s="1748" t="s">
        <v>1899</v>
      </c>
      <c r="E42" s="1681" t="s">
        <v>1900</v>
      </c>
      <c r="F42" s="1718"/>
      <c r="G42" s="1676"/>
      <c r="H42" s="1676"/>
      <c r="I42" s="1689"/>
      <c r="J42" s="1676"/>
      <c r="K42" s="1756"/>
      <c r="L42" s="1705"/>
      <c r="M42" s="1705"/>
      <c r="N42" s="1676"/>
      <c r="O42" s="1677"/>
      <c r="P42" s="1676"/>
      <c r="Q42" s="1676"/>
      <c r="R42" s="1676"/>
      <c r="S42" s="1676"/>
      <c r="T42" s="1676"/>
      <c r="U42" s="1676"/>
    </row>
    <row r="43" spans="1:21">
      <c r="A43" s="1719" t="s">
        <v>1706</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1707</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0" customFormat="1" ht="21" thickBot="1">
      <c r="A45" s="3021" t="s">
        <v>2891</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2006</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2007</v>
      </c>
      <c r="B48" s="1668" t="s">
        <v>2008</v>
      </c>
      <c r="C48" s="1668" t="s">
        <v>2009</v>
      </c>
      <c r="D48" s="1668" t="s">
        <v>2010</v>
      </c>
      <c r="E48" s="1668" t="s">
        <v>2011</v>
      </c>
      <c r="F48" s="1668" t="s">
        <v>2012</v>
      </c>
      <c r="G48" s="1668" t="s">
        <v>2013</v>
      </c>
      <c r="H48" s="1668" t="s">
        <v>2014</v>
      </c>
      <c r="I48" s="1668" t="s">
        <v>2015</v>
      </c>
      <c r="J48" s="1754" t="s">
        <v>2016</v>
      </c>
      <c r="K48" s="1748" t="s">
        <v>2017</v>
      </c>
      <c r="L48" s="1748" t="s">
        <v>2018</v>
      </c>
      <c r="M48" s="1748" t="s">
        <v>2019</v>
      </c>
      <c r="N48" s="1668" t="s">
        <v>2020</v>
      </c>
      <c r="O48" s="1668" t="s">
        <v>2021</v>
      </c>
      <c r="P48" s="1668" t="s">
        <v>2022</v>
      </c>
      <c r="Q48" s="1681" t="s">
        <v>2023</v>
      </c>
      <c r="R48" s="1681" t="s">
        <v>2024</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L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2" t="s">
        <v>2333</v>
      </c>
      <c r="BA2" s="2323" t="s">
        <v>2332</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f>12188.02+4777.86+3156.16+7098.1</f>
        <v>27220.14</v>
      </c>
      <c r="B3" s="22">
        <f>IF(C3="否",G5-AT5,G5)</f>
        <v>163564.33000000002</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4"/>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163564.33000000002</v>
      </c>
      <c r="H5" s="27">
        <f t="shared" ref="H5:AT5" si="0">SUM(H13:H641)</f>
        <v>159697.13</v>
      </c>
      <c r="I5" s="27">
        <f t="shared" si="0"/>
        <v>122022.8</v>
      </c>
      <c r="J5" s="27">
        <f t="shared" si="0"/>
        <v>0</v>
      </c>
      <c r="K5" s="27">
        <f t="shared" si="0"/>
        <v>9076.16</v>
      </c>
      <c r="L5" s="27">
        <f t="shared" si="0"/>
        <v>0</v>
      </c>
      <c r="M5" s="27">
        <f t="shared" si="0"/>
        <v>28598.17</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3867.2</v>
      </c>
      <c r="AD5" s="27">
        <f t="shared" si="0"/>
        <v>1071.47</v>
      </c>
      <c r="AE5" s="27">
        <f t="shared" si="0"/>
        <v>0</v>
      </c>
      <c r="AF5" s="27">
        <f t="shared" si="0"/>
        <v>0</v>
      </c>
      <c r="AG5" s="27">
        <f t="shared" si="0"/>
        <v>0</v>
      </c>
      <c r="AH5" s="27">
        <f t="shared" si="0"/>
        <v>0</v>
      </c>
      <c r="AI5" s="27">
        <f t="shared" si="0"/>
        <v>0</v>
      </c>
      <c r="AJ5" s="27">
        <f t="shared" si="0"/>
        <v>0</v>
      </c>
      <c r="AK5" s="27">
        <f t="shared" si="0"/>
        <v>0</v>
      </c>
      <c r="AL5" s="27">
        <f t="shared" si="0"/>
        <v>2795.73</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163564.33000000002</v>
      </c>
      <c r="BA5" s="29">
        <f t="shared" si="1"/>
        <v>159697.13</v>
      </c>
      <c r="BB5" s="29">
        <f t="shared" si="1"/>
        <v>122022.8</v>
      </c>
      <c r="BC5" s="29">
        <f t="shared" si="1"/>
        <v>9076.16</v>
      </c>
      <c r="BD5" s="29">
        <f t="shared" si="1"/>
        <v>28598.17</v>
      </c>
      <c r="BE5" s="29">
        <f t="shared" si="1"/>
        <v>0</v>
      </c>
      <c r="BF5" s="29">
        <f t="shared" si="1"/>
        <v>0</v>
      </c>
      <c r="BG5" s="29">
        <f t="shared" si="1"/>
        <v>0</v>
      </c>
      <c r="BH5" s="29">
        <f t="shared" si="1"/>
        <v>0</v>
      </c>
      <c r="BI5" s="29">
        <f t="shared" si="1"/>
        <v>0</v>
      </c>
      <c r="BJ5" s="29">
        <f t="shared" si="1"/>
        <v>0</v>
      </c>
      <c r="BK5" s="29">
        <f t="shared" si="1"/>
        <v>0</v>
      </c>
      <c r="BL5" s="29">
        <f t="shared" si="1"/>
        <v>3867.2</v>
      </c>
      <c r="BM5" s="29">
        <f t="shared" si="1"/>
        <v>1071.47</v>
      </c>
      <c r="BN5" s="29">
        <f t="shared" si="1"/>
        <v>0</v>
      </c>
      <c r="BO5" s="29">
        <f t="shared" si="1"/>
        <v>0</v>
      </c>
      <c r="BP5" s="29">
        <f t="shared" si="1"/>
        <v>0</v>
      </c>
      <c r="BQ5" s="29">
        <f t="shared" si="1"/>
        <v>2795.73</v>
      </c>
      <c r="BR5" s="29">
        <f t="shared" si="1"/>
        <v>0</v>
      </c>
      <c r="BS5" s="29">
        <f t="shared" si="1"/>
        <v>0</v>
      </c>
      <c r="BT5" s="30">
        <f t="shared" si="1"/>
        <v>0</v>
      </c>
    </row>
    <row r="6" spans="1:72" s="37" customFormat="1" ht="12.75">
      <c r="A6" s="26" t="s">
        <v>169</v>
      </c>
      <c r="B6" s="31"/>
      <c r="C6" s="31"/>
      <c r="D6" s="32"/>
      <c r="E6" s="27">
        <f>H6+AC6+AT6</f>
        <v>27220.14</v>
      </c>
      <c r="F6" s="27" t="s">
        <v>1</v>
      </c>
      <c r="G6" s="27" t="s">
        <v>2</v>
      </c>
      <c r="H6" s="33">
        <f>SUMIF(I$12:AB$12,"总值",I6:AB6)</f>
        <v>26576.57</v>
      </c>
      <c r="I6" s="27">
        <f t="shared" ref="I6:AB6" si="2">ROUND($A$3*I5/$B$3,2)</f>
        <v>20306.86</v>
      </c>
      <c r="J6" s="27">
        <f t="shared" si="2"/>
        <v>0</v>
      </c>
      <c r="K6" s="27">
        <f t="shared" si="2"/>
        <v>1510.44</v>
      </c>
      <c r="L6" s="27">
        <f t="shared" si="2"/>
        <v>0</v>
      </c>
      <c r="M6" s="27">
        <f t="shared" si="2"/>
        <v>4759.2700000000004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643.56999999999994</v>
      </c>
      <c r="AD6" s="27">
        <f t="shared" ref="AD6:AS6" si="3">ROUND($A$3*AD5/$B$3,2)</f>
        <v>178.31</v>
      </c>
      <c r="AE6" s="27">
        <f t="shared" si="3"/>
        <v>0</v>
      </c>
      <c r="AF6" s="27">
        <f t="shared" si="3"/>
        <v>0</v>
      </c>
      <c r="AG6" s="27">
        <f t="shared" si="3"/>
        <v>0</v>
      </c>
      <c r="AH6" s="27">
        <f t="shared" si="3"/>
        <v>0</v>
      </c>
      <c r="AI6" s="27">
        <f t="shared" si="3"/>
        <v>0</v>
      </c>
      <c r="AJ6" s="27">
        <f t="shared" si="3"/>
        <v>0</v>
      </c>
      <c r="AK6" s="27">
        <f t="shared" si="3"/>
        <v>0</v>
      </c>
      <c r="AL6" s="27">
        <f t="shared" si="3"/>
        <v>465.26</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27220.14</v>
      </c>
      <c r="AZ6" s="27" t="s">
        <v>3</v>
      </c>
      <c r="BA6" s="27">
        <f>ROUND($AY$6*BA5/$AZ$5,2)</f>
        <v>26576.57</v>
      </c>
      <c r="BB6" s="27">
        <f>ROUND($AY$6*BB5/$AZ$5,2)</f>
        <v>20306.86</v>
      </c>
      <c r="BC6" s="27">
        <f t="shared" ref="BC6:BH6" si="4">ROUND($AY$6*BC5/$AZ$5,2)</f>
        <v>1510.44</v>
      </c>
      <c r="BD6" s="27">
        <f t="shared" si="4"/>
        <v>4759.2700000000004</v>
      </c>
      <c r="BE6" s="27">
        <f t="shared" si="4"/>
        <v>0</v>
      </c>
      <c r="BF6" s="27">
        <f t="shared" si="4"/>
        <v>0</v>
      </c>
      <c r="BG6" s="27">
        <f t="shared" si="4"/>
        <v>0</v>
      </c>
      <c r="BH6" s="27">
        <f t="shared" si="4"/>
        <v>0</v>
      </c>
      <c r="BI6" s="27">
        <f t="shared" ref="BI6:BT6" si="5">ROUND($AY$6*BI5/$AZ$5,2)</f>
        <v>0</v>
      </c>
      <c r="BJ6" s="27">
        <f t="shared" si="5"/>
        <v>0</v>
      </c>
      <c r="BK6" s="27">
        <f t="shared" si="5"/>
        <v>0</v>
      </c>
      <c r="BL6" s="27">
        <f t="shared" si="5"/>
        <v>643.57000000000005</v>
      </c>
      <c r="BM6" s="27">
        <f t="shared" si="5"/>
        <v>178.31</v>
      </c>
      <c r="BN6" s="27">
        <f t="shared" si="5"/>
        <v>0</v>
      </c>
      <c r="BO6" s="27">
        <f t="shared" si="5"/>
        <v>0</v>
      </c>
      <c r="BP6" s="27">
        <f t="shared" si="5"/>
        <v>0</v>
      </c>
      <c r="BQ6" s="27">
        <f t="shared" si="5"/>
        <v>465.26</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80"/>
      <c r="AT8" s="2311"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8" t="s">
        <v>3000</v>
      </c>
      <c r="J9" s="51"/>
      <c r="K9" s="2968" t="s">
        <v>3000</v>
      </c>
      <c r="L9" s="51"/>
      <c r="M9" s="2968" t="s">
        <v>3001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2"/>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8" t="s">
        <v>923</v>
      </c>
      <c r="J10" s="51"/>
      <c r="K10" s="2970" t="s">
        <v>2997</v>
      </c>
      <c r="L10" s="51"/>
      <c r="M10" s="2970" t="s">
        <v>2998</v>
      </c>
      <c r="N10" s="51"/>
      <c r="O10" s="66"/>
      <c r="P10" s="51"/>
      <c r="Q10" s="66"/>
      <c r="R10" s="51"/>
      <c r="S10" s="66"/>
      <c r="T10" s="51"/>
      <c r="U10" s="66"/>
      <c r="V10" s="51"/>
      <c r="W10" s="66"/>
      <c r="X10" s="51"/>
      <c r="Y10" s="66"/>
      <c r="Z10" s="51"/>
      <c r="AA10" s="66"/>
      <c r="AB10" s="51"/>
      <c r="AC10" s="55"/>
      <c r="AD10" s="2297" t="s">
        <v>2317</v>
      </c>
      <c r="AE10" s="2319"/>
      <c r="AF10" s="2297" t="s">
        <v>2317</v>
      </c>
      <c r="AG10" s="2319"/>
      <c r="AH10" s="2297" t="s">
        <v>2318</v>
      </c>
      <c r="AI10" s="2319"/>
      <c r="AJ10" s="26" t="s">
        <v>2331</v>
      </c>
      <c r="AK10" s="2316"/>
      <c r="AL10" s="2297" t="s">
        <v>2319</v>
      </c>
      <c r="AM10" s="2298"/>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69"/>
      <c r="J11" s="71"/>
      <c r="K11" s="2969"/>
      <c r="L11" s="71"/>
      <c r="M11" s="70"/>
      <c r="N11" s="71"/>
      <c r="O11" s="70"/>
      <c r="P11" s="71"/>
      <c r="Q11" s="70"/>
      <c r="R11" s="71"/>
      <c r="S11" s="70"/>
      <c r="T11" s="71"/>
      <c r="U11" s="70"/>
      <c r="V11" s="71"/>
      <c r="W11" s="70"/>
      <c r="X11" s="71"/>
      <c r="Y11" s="70"/>
      <c r="Z11" s="71"/>
      <c r="AA11" s="70"/>
      <c r="AB11" s="71"/>
      <c r="AC11" s="55"/>
      <c r="AD11" s="2317" t="s">
        <v>2330</v>
      </c>
      <c r="AE11" s="1001"/>
      <c r="AF11" s="2317" t="s">
        <v>2330</v>
      </c>
      <c r="AG11" s="1001"/>
      <c r="AH11" s="2317" t="s">
        <v>2329</v>
      </c>
      <c r="AI11" s="2318"/>
      <c r="AJ11" s="2317" t="s">
        <v>2329</v>
      </c>
      <c r="AK11" s="2316"/>
      <c r="AL11" s="999"/>
      <c r="AM11" s="1001"/>
      <c r="AN11" s="999"/>
      <c r="AO11" s="1001"/>
      <c r="AP11" s="1183"/>
      <c r="AQ11" s="1185"/>
      <c r="AR11" s="1183"/>
      <c r="AS11" s="1185"/>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3"/>
      <c r="B13" s="2963"/>
      <c r="C13" s="2963"/>
      <c r="D13" s="2964" t="s">
        <v>1678</v>
      </c>
      <c r="E13" s="27">
        <f t="shared" ref="E13:E20" si="6">IF($C$3="是",ROUND($A$3*G13/$B$3,2),ROUND($A$3*(G13-AT13)/$B$3,2))</f>
        <v>27220.14</v>
      </c>
      <c r="F13" s="81"/>
      <c r="G13" s="82">
        <f t="shared" ref="G13:G20" si="7">H13+AC13+AT13</f>
        <v>163564.33000000002</v>
      </c>
      <c r="H13" s="33">
        <f t="shared" ref="H13:H20" si="8">SUMIF(I$12:AB$12,"总值",I13:AB13)</f>
        <v>159697.13</v>
      </c>
      <c r="I13" s="2967">
        <v>122022.8</v>
      </c>
      <c r="J13" s="2967"/>
      <c r="K13" s="2967">
        <v>9076.16</v>
      </c>
      <c r="L13" s="2967"/>
      <c r="M13" s="2967">
        <v>28598.17</v>
      </c>
      <c r="N13" s="83"/>
      <c r="O13" s="83"/>
      <c r="P13" s="83"/>
      <c r="Q13" s="83"/>
      <c r="R13" s="83"/>
      <c r="S13" s="83"/>
      <c r="T13" s="83"/>
      <c r="U13" s="83"/>
      <c r="V13" s="83"/>
      <c r="W13" s="83"/>
      <c r="X13" s="83"/>
      <c r="Y13" s="83"/>
      <c r="Z13" s="83"/>
      <c r="AA13" s="83"/>
      <c r="AB13" s="83"/>
      <c r="AC13" s="27">
        <f t="shared" ref="AC13:AC20" si="9">SUMIF(AD$12:AS$12,"总值",AD13:AS13)</f>
        <v>3867.2</v>
      </c>
      <c r="AD13" s="2971">
        <v>1071.47</v>
      </c>
      <c r="AE13" s="2971"/>
      <c r="AF13" s="2971"/>
      <c r="AG13" s="2971"/>
      <c r="AH13" s="2971"/>
      <c r="AI13" s="2971"/>
      <c r="AJ13" s="2971"/>
      <c r="AK13" s="2971"/>
      <c r="AL13" s="2971">
        <f>1810.57+985.16</f>
        <v>2795.73</v>
      </c>
      <c r="AM13" s="2971"/>
      <c r="AN13" s="2971"/>
      <c r="AO13" s="2971"/>
      <c r="AP13" s="2971"/>
      <c r="AQ13" s="2971"/>
      <c r="AR13" s="2971"/>
      <c r="AS13" s="2971"/>
      <c r="AT13" s="2972"/>
      <c r="AU13" s="2973"/>
      <c r="AV13" s="17">
        <f t="shared" ref="AV13:AX20" si="10">A13</f>
        <v>0</v>
      </c>
      <c r="AW13" s="17">
        <f t="shared" si="10"/>
        <v>0</v>
      </c>
      <c r="AX13" s="17">
        <f t="shared" si="10"/>
        <v>0</v>
      </c>
      <c r="AY13" s="995">
        <f t="shared" ref="AY13:AY20" si="11">ROUND($AY$6*AZ13/$AZ$5,2)</f>
        <v>27220.14</v>
      </c>
      <c r="AZ13" s="27">
        <f t="shared" ref="AZ13:AZ20" si="12">BA13+BL13</f>
        <v>163564.33000000002</v>
      </c>
      <c r="BA13" s="27">
        <f t="shared" ref="BA13:BA20" si="13">SUM(BB13:BK13)</f>
        <v>159697.13</v>
      </c>
      <c r="BB13" s="27">
        <f t="shared" ref="BB13:BB20" si="14">IF($D13="是",I13-J13,0)</f>
        <v>122022.8</v>
      </c>
      <c r="BC13" s="27">
        <f t="shared" ref="BC13:BC20" si="15">IF($D13="是",K13-L13,0)</f>
        <v>9076.16</v>
      </c>
      <c r="BD13" s="27">
        <f t="shared" ref="BD13:BD20" si="16">IF($D13="是",M13-N13,0)</f>
        <v>28598.17</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3867.2</v>
      </c>
      <c r="BM13" s="27">
        <f t="shared" ref="BM13:BM20" si="25">IF($D13="是",AD13-AE13,0)</f>
        <v>1071.47</v>
      </c>
      <c r="BN13" s="27">
        <f t="shared" ref="BN13:BN20" si="26">IF($D13="是",AF13-AG13,0)</f>
        <v>0</v>
      </c>
      <c r="BO13" s="27">
        <f t="shared" ref="BO13:BO20" si="27">IF($D13="是",AH13-AI13,0)</f>
        <v>0</v>
      </c>
      <c r="BP13" s="27">
        <f t="shared" ref="BP13:BP20" si="28">IF($D13="是",AJ13-AK13,0)</f>
        <v>0</v>
      </c>
      <c r="BQ13" s="27">
        <f t="shared" ref="BQ13:BQ20" si="29">IF($D13="是",AL13-AM13,0)</f>
        <v>2795.73</v>
      </c>
      <c r="BR13" s="27">
        <f t="shared" ref="BR13:BR20" si="30">IF($D13="是",AN13-AO13,0)</f>
        <v>0</v>
      </c>
      <c r="BS13" s="27">
        <f t="shared" ref="BS13:BS20" si="31">IF($D13="是",AP13-AQ13,0)</f>
        <v>0</v>
      </c>
      <c r="BT13" s="36">
        <f t="shared" ref="BT13:BT20" si="32">IF($D13="是",AR13-AS13,0)</f>
        <v>0</v>
      </c>
    </row>
    <row r="14" spans="1:72" s="18" customFormat="1" ht="12.75">
      <c r="A14" s="2963"/>
      <c r="B14" s="2963"/>
      <c r="C14" s="2965"/>
      <c r="D14" s="2964"/>
      <c r="E14" s="27">
        <f t="shared" si="6"/>
        <v>0</v>
      </c>
      <c r="F14" s="81"/>
      <c r="G14" s="82">
        <f t="shared" si="7"/>
        <v>0</v>
      </c>
      <c r="H14" s="33">
        <f t="shared" si="8"/>
        <v>0</v>
      </c>
      <c r="I14" s="2967"/>
      <c r="J14" s="2967"/>
      <c r="K14" s="2967"/>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3"/>
      <c r="B15" s="2963"/>
      <c r="C15" s="2965"/>
      <c r="D15" s="2964"/>
      <c r="E15" s="27">
        <f t="shared" si="6"/>
        <v>0</v>
      </c>
      <c r="F15" s="81"/>
      <c r="G15" s="82">
        <f t="shared" si="7"/>
        <v>0</v>
      </c>
      <c r="H15" s="33">
        <f t="shared" si="8"/>
        <v>0</v>
      </c>
      <c r="I15" s="2967"/>
      <c r="J15" s="2967"/>
      <c r="K15" s="2967"/>
      <c r="L15" s="2967"/>
      <c r="M15" s="2967"/>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3"/>
      <c r="B16" s="2963"/>
      <c r="C16" s="2965"/>
      <c r="D16" s="2964"/>
      <c r="E16" s="27">
        <f t="shared" si="6"/>
        <v>0</v>
      </c>
      <c r="F16" s="81"/>
      <c r="G16" s="82">
        <f t="shared" si="7"/>
        <v>0</v>
      </c>
      <c r="H16" s="33">
        <f t="shared" si="8"/>
        <v>0</v>
      </c>
      <c r="I16" s="2967"/>
      <c r="J16" s="2967"/>
      <c r="K16" s="2967"/>
      <c r="L16" s="2967"/>
      <c r="M16" s="2967"/>
      <c r="N16" s="83"/>
      <c r="O16" s="83"/>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3"/>
      <c r="B17" s="2963"/>
      <c r="C17" s="2965"/>
      <c r="D17" s="2964"/>
      <c r="E17" s="27">
        <f t="shared" si="6"/>
        <v>0</v>
      </c>
      <c r="F17" s="81"/>
      <c r="G17" s="82">
        <f t="shared" si="7"/>
        <v>0</v>
      </c>
      <c r="H17" s="33">
        <f t="shared" si="8"/>
        <v>0</v>
      </c>
      <c r="I17" s="2967"/>
      <c r="J17" s="2967"/>
      <c r="K17" s="2967"/>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6"/>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9"/>
      <c r="AM18" s="92"/>
      <c r="AN18" s="1389"/>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9"/>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9"/>
      <c r="N22" s="91"/>
      <c r="O22" s="91"/>
      <c r="P22" s="91"/>
      <c r="Q22" s="91"/>
      <c r="R22" s="91"/>
      <c r="S22" s="91"/>
      <c r="T22" s="91"/>
      <c r="U22" s="91"/>
      <c r="V22" s="91"/>
      <c r="W22" s="91"/>
      <c r="X22" s="91"/>
      <c r="Y22" s="91"/>
      <c r="Z22" s="91"/>
      <c r="AA22" s="91"/>
      <c r="AB22" s="91"/>
      <c r="AC22" s="87">
        <f t="shared" si="36"/>
        <v>0</v>
      </c>
      <c r="AD22" s="1359"/>
      <c r="AE22" s="92"/>
      <c r="AF22" s="1392"/>
      <c r="AG22" s="92"/>
      <c r="AH22" s="92"/>
      <c r="AI22" s="92"/>
      <c r="AJ22" s="92"/>
      <c r="AK22" s="92"/>
      <c r="AL22" s="1359"/>
      <c r="AM22" s="92"/>
      <c r="AN22" s="1359"/>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9"/>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9"/>
      <c r="AM23" s="92"/>
      <c r="AN23" s="1359"/>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9"/>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9"/>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9"/>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2"/>
      <c r="AG114" s="92"/>
      <c r="AH114" s="92"/>
      <c r="AI114" s="92"/>
      <c r="AJ114" s="92"/>
      <c r="AK114" s="92"/>
      <c r="AL114" s="1359"/>
      <c r="AM114" s="92"/>
      <c r="AN114" s="1359"/>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9"/>
      <c r="AM115" s="92"/>
      <c r="AN115" s="1359"/>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9"/>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9"/>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2"/>
      <c r="AG206" s="92"/>
      <c r="AH206" s="92"/>
      <c r="AI206" s="92"/>
      <c r="AJ206" s="92"/>
      <c r="AK206" s="92"/>
      <c r="AL206" s="1359"/>
      <c r="AM206" s="92"/>
      <c r="AN206" s="1359"/>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9"/>
      <c r="AM207" s="92"/>
      <c r="AN207" s="1359"/>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9"/>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9"/>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2"/>
      <c r="AG298" s="92"/>
      <c r="AH298" s="92"/>
      <c r="AI298" s="92"/>
      <c r="AJ298" s="92"/>
      <c r="AK298" s="92"/>
      <c r="AL298" s="1359"/>
      <c r="AM298" s="92"/>
      <c r="AN298" s="1359"/>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9"/>
      <c r="AM299" s="92"/>
      <c r="AN299" s="1359"/>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9"/>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9"/>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2"/>
      <c r="AG390" s="92"/>
      <c r="AH390" s="92"/>
      <c r="AI390" s="92"/>
      <c r="AJ390" s="92"/>
      <c r="AK390" s="92"/>
      <c r="AL390" s="1359"/>
      <c r="AM390" s="92"/>
      <c r="AN390" s="1359"/>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9"/>
      <c r="AM391" s="92"/>
      <c r="AN391" s="1359"/>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9"/>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2"/>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855" t="s">
        <v>0</v>
      </c>
      <c r="B1" s="3855" t="s">
        <v>4</v>
      </c>
      <c r="C1" s="3855" t="s">
        <v>5</v>
      </c>
      <c r="D1" s="3856" t="s">
        <v>40</v>
      </c>
      <c r="E1" s="3856" t="s">
        <v>41</v>
      </c>
      <c r="F1" s="3856"/>
      <c r="G1" s="3856"/>
      <c r="H1" s="3856"/>
      <c r="I1" s="3856"/>
      <c r="J1" s="3856"/>
      <c r="K1" s="3856"/>
      <c r="L1" s="3856"/>
      <c r="M1" s="3856"/>
    </row>
    <row r="2" spans="1:13" ht="27" customHeight="1">
      <c r="A2" s="3855"/>
      <c r="B2" s="3855"/>
      <c r="C2" s="3855"/>
      <c r="D2" s="3856"/>
      <c r="E2" s="3856" t="s">
        <v>24</v>
      </c>
      <c r="F2" s="3856" t="s">
        <v>25</v>
      </c>
      <c r="G2" s="3856"/>
      <c r="H2" s="3856"/>
      <c r="I2" s="3856"/>
      <c r="J2" s="3856" t="s">
        <v>26</v>
      </c>
      <c r="K2" s="3856"/>
      <c r="L2" s="3856"/>
      <c r="M2" s="3856"/>
    </row>
    <row r="3" spans="1:13" ht="28.5">
      <c r="A3" s="3855"/>
      <c r="B3" s="3855"/>
      <c r="C3" s="3855"/>
      <c r="D3" s="3856"/>
      <c r="E3" s="385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56" t="s">
        <v>42</v>
      </c>
      <c r="B9" s="3856"/>
      <c r="C9" s="38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2"/>
  <sheetViews>
    <sheetView topLeftCell="B33" workbookViewId="0">
      <selection activeCell="I227" sqref="I227"/>
    </sheetView>
  </sheetViews>
  <sheetFormatPr defaultRowHeight="13.5"/>
  <cols>
    <col min="1" max="8" width="9" style="3209"/>
    <col min="9" max="9" width="15" style="3209" customWidth="1"/>
    <col min="10" max="11" width="9" style="3209"/>
    <col min="12" max="16" width="0" style="3209" hidden="1" customWidth="1"/>
    <col min="17" max="17" width="11.75" style="3209" customWidth="1"/>
    <col min="18" max="18" width="9" style="3209"/>
    <col min="19" max="19" width="0" style="3209" hidden="1" customWidth="1"/>
    <col min="20" max="20" width="9" style="3209"/>
    <col min="21" max="21" width="10.5" style="3209" bestFit="1" customWidth="1"/>
    <col min="22" max="16384" width="9" style="3209"/>
  </cols>
  <sheetData>
    <row r="1" spans="1:21" ht="18.75">
      <c r="A1" s="3903" t="s">
        <v>3178</v>
      </c>
      <c r="B1" s="3903"/>
      <c r="C1" s="3903"/>
      <c r="D1" s="3903"/>
      <c r="E1" s="3903"/>
      <c r="F1" s="3903"/>
      <c r="G1" s="3903"/>
      <c r="H1" s="3903"/>
      <c r="I1" s="3903"/>
      <c r="J1" s="3903"/>
      <c r="K1" s="3903"/>
      <c r="L1" s="3207"/>
      <c r="M1" s="3207"/>
      <c r="N1" s="3208"/>
      <c r="O1" s="3208"/>
      <c r="P1" s="3208"/>
      <c r="Q1" s="3208"/>
      <c r="R1" s="3208"/>
      <c r="S1" s="3208"/>
      <c r="T1" s="3208"/>
      <c r="U1" s="3208"/>
    </row>
    <row r="2" spans="1:21" ht="14.25">
      <c r="A2" s="3904" t="s">
        <v>3179</v>
      </c>
      <c r="B2" s="3905" t="s">
        <v>3180</v>
      </c>
      <c r="C2" s="3905" t="s">
        <v>3181</v>
      </c>
      <c r="D2" s="3905" t="s">
        <v>3182</v>
      </c>
      <c r="E2" s="3905" t="s">
        <v>3183</v>
      </c>
      <c r="F2" s="3905" t="s">
        <v>3184</v>
      </c>
      <c r="G2" s="3904" t="s">
        <v>3185</v>
      </c>
      <c r="H2" s="3905" t="s">
        <v>3186</v>
      </c>
      <c r="I2" s="3906" t="s">
        <v>3187</v>
      </c>
      <c r="J2" s="3905" t="s">
        <v>3188</v>
      </c>
      <c r="K2" s="3905" t="s">
        <v>3189</v>
      </c>
      <c r="L2" s="3210"/>
      <c r="M2" s="3210"/>
      <c r="N2" s="3211" t="s">
        <v>3190</v>
      </c>
      <c r="O2" s="3208"/>
      <c r="P2" s="3211"/>
      <c r="Q2" s="3208"/>
      <c r="R2" s="3208"/>
      <c r="S2" s="3208"/>
      <c r="T2" s="3208"/>
      <c r="U2" s="3208"/>
    </row>
    <row r="3" spans="1:21" ht="14.25">
      <c r="A3" s="3904"/>
      <c r="B3" s="3905"/>
      <c r="C3" s="3905"/>
      <c r="D3" s="3905"/>
      <c r="E3" s="3905"/>
      <c r="F3" s="3905"/>
      <c r="G3" s="3904"/>
      <c r="H3" s="3905"/>
      <c r="I3" s="3906"/>
      <c r="J3" s="3905"/>
      <c r="K3" s="3905"/>
      <c r="L3" s="3210"/>
      <c r="M3" s="3210"/>
      <c r="N3" s="3208"/>
      <c r="O3" s="3208"/>
      <c r="P3" s="3208"/>
      <c r="Q3" s="3208"/>
      <c r="R3" s="3208"/>
      <c r="S3" s="3208"/>
      <c r="T3" s="3208"/>
      <c r="U3" s="3208"/>
    </row>
    <row r="4" spans="1:21" ht="14.25">
      <c r="A4" s="3904"/>
      <c r="B4" s="3905"/>
      <c r="C4" s="3905"/>
      <c r="D4" s="3905"/>
      <c r="E4" s="3905"/>
      <c r="F4" s="3905"/>
      <c r="G4" s="3904"/>
      <c r="H4" s="3905"/>
      <c r="I4" s="3906"/>
      <c r="J4" s="3905"/>
      <c r="K4" s="3905"/>
      <c r="L4" s="3210"/>
      <c r="M4" s="3210"/>
      <c r="N4" s="3208"/>
      <c r="O4" s="3208"/>
      <c r="P4" s="3211"/>
      <c r="Q4" s="3211"/>
      <c r="R4" s="3211"/>
      <c r="S4" s="3212"/>
      <c r="T4" s="3212"/>
      <c r="U4" s="3212"/>
    </row>
    <row r="5" spans="1:21" ht="14.25">
      <c r="A5" s="3870" t="s">
        <v>3191</v>
      </c>
      <c r="B5" s="3880" t="s">
        <v>3192</v>
      </c>
      <c r="C5" s="3902" t="s">
        <v>3193</v>
      </c>
      <c r="D5" s="3213" t="s">
        <v>2997</v>
      </c>
      <c r="E5" s="3213" t="s">
        <v>3194</v>
      </c>
      <c r="F5" s="3902">
        <v>1</v>
      </c>
      <c r="G5" s="3214">
        <v>1075.07</v>
      </c>
      <c r="H5" s="3213">
        <f>G5</f>
        <v>1075.07</v>
      </c>
      <c r="I5" s="3215">
        <f>G5</f>
        <v>1075.07</v>
      </c>
      <c r="J5" s="3213">
        <f>H5</f>
        <v>1075.07</v>
      </c>
      <c r="K5" s="3216"/>
      <c r="L5" s="3217">
        <f>I9+I10+I13+I15+I17</f>
        <v>3359.12</v>
      </c>
      <c r="M5" s="3218" t="s">
        <v>3195</v>
      </c>
      <c r="N5" s="3219"/>
      <c r="O5" s="3219"/>
      <c r="P5" s="3219"/>
      <c r="Q5" s="3220" t="s">
        <v>923</v>
      </c>
      <c r="R5" s="3221">
        <f>I10+I13+I15+I17</f>
        <v>3199.96</v>
      </c>
      <c r="S5" s="3222"/>
      <c r="T5" s="3222"/>
      <c r="U5" s="3219"/>
    </row>
    <row r="6" spans="1:21" ht="14.25">
      <c r="A6" s="3870"/>
      <c r="B6" s="3901"/>
      <c r="C6" s="3902"/>
      <c r="D6" s="3213" t="s">
        <v>3196</v>
      </c>
      <c r="E6" s="3213">
        <v>3</v>
      </c>
      <c r="F6" s="3902"/>
      <c r="G6" s="3214">
        <v>67.83</v>
      </c>
      <c r="H6" s="3213">
        <f>G6</f>
        <v>67.83</v>
      </c>
      <c r="I6" s="3215">
        <f>G6</f>
        <v>67.83</v>
      </c>
      <c r="J6" s="3213">
        <f>H6</f>
        <v>67.83</v>
      </c>
      <c r="K6" s="3216"/>
      <c r="L6" s="3218">
        <f>I5+I7+I12+I14+I16+I18</f>
        <v>1099.5499999999997</v>
      </c>
      <c r="M6" s="3218" t="s">
        <v>3197</v>
      </c>
      <c r="N6" s="3219"/>
      <c r="O6" s="3219"/>
      <c r="P6" s="3219"/>
      <c r="Q6" s="3220" t="s">
        <v>2997</v>
      </c>
      <c r="R6" s="3220">
        <f>I5</f>
        <v>1075.07</v>
      </c>
      <c r="S6" s="3222"/>
      <c r="T6" s="3222"/>
      <c r="U6" s="3219"/>
    </row>
    <row r="7" spans="1:21" ht="14.25">
      <c r="A7" s="3870"/>
      <c r="B7" s="3901"/>
      <c r="C7" s="3902"/>
      <c r="D7" s="3213" t="s">
        <v>3198</v>
      </c>
      <c r="E7" s="3213">
        <v>3</v>
      </c>
      <c r="F7" s="3902"/>
      <c r="G7" s="3214">
        <v>3.06</v>
      </c>
      <c r="H7" s="3213">
        <f>G7</f>
        <v>3.06</v>
      </c>
      <c r="I7" s="3215">
        <f t="shared" ref="I7:I14" si="0">G7</f>
        <v>3.06</v>
      </c>
      <c r="J7" s="3213">
        <f>G7</f>
        <v>3.06</v>
      </c>
      <c r="K7" s="3216"/>
      <c r="L7" s="3218">
        <f>I6+I8+I11</f>
        <v>309.82</v>
      </c>
      <c r="M7" s="3223" t="s">
        <v>3199</v>
      </c>
      <c r="N7" s="3219"/>
      <c r="O7" s="3219"/>
      <c r="P7" s="3219"/>
      <c r="Q7" s="3220" t="s">
        <v>3200</v>
      </c>
      <c r="R7" s="3220">
        <f>I7+I8+I9+I12+I14+I16+I18</f>
        <v>357.8</v>
      </c>
      <c r="S7" s="3222"/>
      <c r="T7" s="3222"/>
      <c r="U7" s="3219"/>
    </row>
    <row r="8" spans="1:21" ht="14.25">
      <c r="A8" s="3870"/>
      <c r="B8" s="3901"/>
      <c r="C8" s="3902"/>
      <c r="D8" s="3213" t="s">
        <v>3201</v>
      </c>
      <c r="E8" s="3213">
        <v>6</v>
      </c>
      <c r="F8" s="3902"/>
      <c r="G8" s="3214">
        <v>174.16</v>
      </c>
      <c r="H8" s="3213">
        <v>0</v>
      </c>
      <c r="I8" s="3215">
        <f t="shared" si="0"/>
        <v>174.16</v>
      </c>
      <c r="J8" s="3213">
        <f>H8</f>
        <v>0</v>
      </c>
      <c r="K8" s="3216"/>
      <c r="L8" s="3218"/>
      <c r="M8" s="3218"/>
      <c r="N8" s="3219"/>
      <c r="O8" s="3219">
        <f>I19-J19</f>
        <v>174.15999999999985</v>
      </c>
      <c r="P8" s="3219"/>
      <c r="Q8" s="3221" t="s">
        <v>3202</v>
      </c>
      <c r="R8" s="3220">
        <f>I6+I11</f>
        <v>135.66</v>
      </c>
      <c r="S8" s="3222"/>
      <c r="T8" s="3222"/>
      <c r="U8" s="3219"/>
    </row>
    <row r="9" spans="1:21" ht="14.25">
      <c r="A9" s="3870"/>
      <c r="B9" s="3901"/>
      <c r="C9" s="3902"/>
      <c r="D9" s="3213" t="s">
        <v>3203</v>
      </c>
      <c r="E9" s="3213">
        <v>4.5</v>
      </c>
      <c r="F9" s="3902"/>
      <c r="G9" s="3214">
        <v>159.16</v>
      </c>
      <c r="H9" s="3213">
        <v>159.16</v>
      </c>
      <c r="I9" s="3215">
        <f t="shared" si="0"/>
        <v>159.16</v>
      </c>
      <c r="J9" s="3213">
        <f>H9</f>
        <v>159.16</v>
      </c>
      <c r="K9" s="3216"/>
      <c r="L9" s="3218"/>
      <c r="M9" s="3218"/>
      <c r="N9" s="3219">
        <v>0</v>
      </c>
      <c r="O9" s="3219"/>
      <c r="P9" s="3219"/>
      <c r="Q9" s="3224" t="s">
        <v>3204</v>
      </c>
      <c r="R9" s="3219"/>
      <c r="S9" s="3219"/>
      <c r="T9" s="3219"/>
      <c r="U9" s="3219"/>
    </row>
    <row r="10" spans="1:21" ht="14.25">
      <c r="A10" s="3870"/>
      <c r="B10" s="3901"/>
      <c r="C10" s="3866" t="s">
        <v>3205</v>
      </c>
      <c r="D10" s="3225" t="s">
        <v>3206</v>
      </c>
      <c r="E10" s="3866">
        <v>3</v>
      </c>
      <c r="F10" s="3866">
        <v>1</v>
      </c>
      <c r="G10" s="3226">
        <v>73.16</v>
      </c>
      <c r="H10" s="3225">
        <v>73.16</v>
      </c>
      <c r="I10" s="3227">
        <f t="shared" si="0"/>
        <v>73.16</v>
      </c>
      <c r="J10" s="3225">
        <f>H10</f>
        <v>73.16</v>
      </c>
      <c r="K10" s="3216"/>
      <c r="L10" s="3218"/>
      <c r="M10" s="3218"/>
      <c r="N10" s="3219"/>
      <c r="O10" s="3219"/>
      <c r="P10" s="3219"/>
      <c r="Q10" s="3219"/>
      <c r="R10" s="3219"/>
      <c r="S10" s="3219"/>
      <c r="T10" s="3219"/>
      <c r="U10" s="3219"/>
    </row>
    <row r="11" spans="1:21" ht="14.25">
      <c r="A11" s="3870"/>
      <c r="B11" s="3901"/>
      <c r="C11" s="3871"/>
      <c r="D11" s="3225" t="s">
        <v>3207</v>
      </c>
      <c r="E11" s="3871"/>
      <c r="F11" s="3871"/>
      <c r="G11" s="3226">
        <v>67.83</v>
      </c>
      <c r="H11" s="3225">
        <f t="shared" ref="H11:H18" si="1">G11</f>
        <v>67.83</v>
      </c>
      <c r="I11" s="3227">
        <f>G11</f>
        <v>67.83</v>
      </c>
      <c r="J11" s="3225">
        <f>H11</f>
        <v>67.83</v>
      </c>
      <c r="K11" s="3216"/>
      <c r="L11" s="3218"/>
      <c r="M11" s="3218"/>
      <c r="N11" s="3219"/>
      <c r="O11" s="3219"/>
      <c r="P11" s="3219"/>
      <c r="Q11" s="3219"/>
      <c r="R11" s="3219"/>
      <c r="S11" s="3219"/>
      <c r="T11" s="3219"/>
      <c r="U11" s="3219"/>
    </row>
    <row r="12" spans="1:21" ht="14.25">
      <c r="A12" s="3870"/>
      <c r="B12" s="3901"/>
      <c r="C12" s="3867"/>
      <c r="D12" s="3225" t="s">
        <v>3208</v>
      </c>
      <c r="E12" s="3867"/>
      <c r="F12" s="3867"/>
      <c r="G12" s="3226">
        <v>3.06</v>
      </c>
      <c r="H12" s="3213">
        <f t="shared" si="1"/>
        <v>3.06</v>
      </c>
      <c r="I12" s="3215">
        <f t="shared" si="0"/>
        <v>3.06</v>
      </c>
      <c r="J12" s="3213">
        <f>G12</f>
        <v>3.06</v>
      </c>
      <c r="K12" s="3216"/>
      <c r="L12" s="3218"/>
      <c r="M12" s="3218"/>
      <c r="N12" s="3219">
        <v>0</v>
      </c>
      <c r="O12" s="3219"/>
      <c r="P12" s="3228"/>
      <c r="Q12" s="3228"/>
      <c r="R12" s="3228"/>
      <c r="S12" s="3219"/>
      <c r="T12" s="3219"/>
      <c r="U12" s="3219"/>
    </row>
    <row r="13" spans="1:21" ht="14.25">
      <c r="A13" s="3870"/>
      <c r="B13" s="3901"/>
      <c r="C13" s="3866" t="s">
        <v>3209</v>
      </c>
      <c r="D13" s="3225" t="s">
        <v>3206</v>
      </c>
      <c r="E13" s="3866">
        <v>3</v>
      </c>
      <c r="F13" s="3866">
        <v>1</v>
      </c>
      <c r="G13" s="3226">
        <v>523.32000000000005</v>
      </c>
      <c r="H13" s="3225">
        <f t="shared" si="1"/>
        <v>523.32000000000005</v>
      </c>
      <c r="I13" s="3227">
        <f t="shared" si="0"/>
        <v>523.32000000000005</v>
      </c>
      <c r="J13" s="3225">
        <f>H13</f>
        <v>523.32000000000005</v>
      </c>
      <c r="K13" s="3216"/>
      <c r="L13" s="3218"/>
      <c r="M13" s="3218"/>
      <c r="N13" s="3219">
        <v>4</v>
      </c>
      <c r="O13" s="3219"/>
      <c r="P13" s="3228"/>
      <c r="Q13" s="3228"/>
      <c r="R13" s="3229"/>
      <c r="S13" s="3219"/>
      <c r="T13" s="3219"/>
      <c r="U13" s="3219"/>
    </row>
    <row r="14" spans="1:21" ht="14.25">
      <c r="A14" s="3870"/>
      <c r="B14" s="3901"/>
      <c r="C14" s="3867"/>
      <c r="D14" s="3225" t="s">
        <v>3198</v>
      </c>
      <c r="E14" s="3867"/>
      <c r="F14" s="3867"/>
      <c r="G14" s="3226">
        <v>3.06</v>
      </c>
      <c r="H14" s="3225">
        <f t="shared" si="1"/>
        <v>3.06</v>
      </c>
      <c r="I14" s="3227">
        <f t="shared" si="0"/>
        <v>3.06</v>
      </c>
      <c r="J14" s="3225">
        <f>H14</f>
        <v>3.06</v>
      </c>
      <c r="K14" s="3216"/>
      <c r="L14" s="3218"/>
      <c r="M14" s="3218"/>
      <c r="N14" s="3219"/>
      <c r="O14" s="3219"/>
      <c r="P14" s="3228"/>
      <c r="Q14" s="3228"/>
      <c r="R14" s="3229"/>
      <c r="S14" s="3219"/>
      <c r="T14" s="3219"/>
      <c r="U14" s="3219"/>
    </row>
    <row r="15" spans="1:21" ht="14.25">
      <c r="A15" s="3870"/>
      <c r="B15" s="3901"/>
      <c r="C15" s="3866" t="s">
        <v>3210</v>
      </c>
      <c r="D15" s="3225" t="s">
        <v>923</v>
      </c>
      <c r="E15" s="3866">
        <v>3</v>
      </c>
      <c r="F15" s="3866">
        <v>4</v>
      </c>
      <c r="G15" s="3226">
        <v>523.32000000000005</v>
      </c>
      <c r="H15" s="3225">
        <f t="shared" si="1"/>
        <v>523.32000000000005</v>
      </c>
      <c r="I15" s="3227">
        <f>F15*H15</f>
        <v>2093.2800000000002</v>
      </c>
      <c r="J15" s="3225">
        <f>F15*H15</f>
        <v>2093.2800000000002</v>
      </c>
      <c r="K15" s="3216"/>
      <c r="L15" s="3218"/>
      <c r="M15" s="3218"/>
      <c r="N15" s="3219">
        <f>F15*4</f>
        <v>16</v>
      </c>
      <c r="O15" s="3219"/>
      <c r="P15" s="3228"/>
      <c r="Q15" s="3228"/>
      <c r="R15" s="3229"/>
      <c r="S15" s="3219"/>
      <c r="T15" s="3219"/>
      <c r="U15" s="3219"/>
    </row>
    <row r="16" spans="1:21" ht="14.25">
      <c r="A16" s="3870"/>
      <c r="B16" s="3901"/>
      <c r="C16" s="3867"/>
      <c r="D16" s="3225" t="s">
        <v>3208</v>
      </c>
      <c r="E16" s="3867"/>
      <c r="F16" s="3867"/>
      <c r="G16" s="3226">
        <v>3.06</v>
      </c>
      <c r="H16" s="3225">
        <f t="shared" si="1"/>
        <v>3.06</v>
      </c>
      <c r="I16" s="3227">
        <f>G16*F15</f>
        <v>12.24</v>
      </c>
      <c r="J16" s="3225">
        <f>H16*F15</f>
        <v>12.24</v>
      </c>
      <c r="K16" s="3216"/>
      <c r="L16" s="3218"/>
      <c r="M16" s="3218"/>
      <c r="N16" s="3219"/>
      <c r="O16" s="3219"/>
      <c r="P16" s="3228"/>
      <c r="Q16" s="3228"/>
      <c r="R16" s="3228"/>
      <c r="S16" s="3219"/>
      <c r="T16" s="3219"/>
      <c r="U16" s="3219"/>
    </row>
    <row r="17" spans="1:21" ht="14.25">
      <c r="A17" s="3870"/>
      <c r="B17" s="3901"/>
      <c r="C17" s="3866" t="s">
        <v>3211</v>
      </c>
      <c r="D17" s="3225" t="s">
        <v>923</v>
      </c>
      <c r="E17" s="3866">
        <v>3</v>
      </c>
      <c r="F17" s="3866">
        <v>1</v>
      </c>
      <c r="G17" s="3226">
        <v>510.2</v>
      </c>
      <c r="H17" s="3225">
        <f t="shared" si="1"/>
        <v>510.2</v>
      </c>
      <c r="I17" s="3227">
        <f>G17*F17</f>
        <v>510.2</v>
      </c>
      <c r="J17" s="3225">
        <f>H17*F17</f>
        <v>510.2</v>
      </c>
      <c r="K17" s="3216"/>
      <c r="L17" s="3218"/>
      <c r="M17" s="3218"/>
      <c r="N17" s="3219">
        <v>4</v>
      </c>
      <c r="O17" s="3219"/>
      <c r="P17" s="3219"/>
      <c r="Q17" s="3219"/>
      <c r="R17" s="3219"/>
      <c r="S17" s="3219"/>
      <c r="T17" s="3219"/>
      <c r="U17" s="3219"/>
    </row>
    <row r="18" spans="1:21" ht="14.25">
      <c r="A18" s="3870"/>
      <c r="B18" s="3881"/>
      <c r="C18" s="3867"/>
      <c r="D18" s="3225" t="s">
        <v>3208</v>
      </c>
      <c r="E18" s="3867"/>
      <c r="F18" s="3867"/>
      <c r="G18" s="3226">
        <v>3.06</v>
      </c>
      <c r="H18" s="3225">
        <f t="shared" si="1"/>
        <v>3.06</v>
      </c>
      <c r="I18" s="3227">
        <f>G18</f>
        <v>3.06</v>
      </c>
      <c r="J18" s="3225">
        <f>H18</f>
        <v>3.06</v>
      </c>
      <c r="K18" s="3216"/>
      <c r="L18" s="3218"/>
      <c r="M18" s="3218"/>
      <c r="N18" s="3219"/>
      <c r="O18" s="3219"/>
      <c r="P18" s="3219"/>
      <c r="Q18" s="3219"/>
      <c r="R18" s="3219"/>
      <c r="S18" s="3219"/>
      <c r="T18" s="3219"/>
      <c r="U18" s="3219"/>
    </row>
    <row r="19" spans="1:21" ht="14.25">
      <c r="A19" s="3870"/>
      <c r="B19" s="3857" t="s">
        <v>27</v>
      </c>
      <c r="C19" s="3857"/>
      <c r="D19" s="3225"/>
      <c r="E19" s="3225"/>
      <c r="F19" s="3225">
        <f>F17+F15+F13+F10+F5</f>
        <v>8</v>
      </c>
      <c r="G19" s="3226"/>
      <c r="H19" s="3225"/>
      <c r="I19" s="3227">
        <f>SUM(I5:I18)</f>
        <v>4768.49</v>
      </c>
      <c r="J19" s="3225">
        <f>SUM(J5:J18)</f>
        <v>4594.33</v>
      </c>
      <c r="K19" s="3216"/>
      <c r="L19" s="3218"/>
      <c r="M19" s="3218"/>
      <c r="N19" s="3230">
        <f>SUM(N5:N18)</f>
        <v>24</v>
      </c>
      <c r="O19" s="3219"/>
      <c r="P19" s="3219"/>
      <c r="Q19" s="3219"/>
      <c r="R19" s="3219"/>
      <c r="S19" s="3219"/>
      <c r="T19" s="3219"/>
      <c r="U19" s="3219"/>
    </row>
    <row r="20" spans="1:21" ht="14.25">
      <c r="A20" s="3897" t="s">
        <v>3212</v>
      </c>
      <c r="B20" s="3872" t="s">
        <v>3192</v>
      </c>
      <c r="C20" s="3231" t="s">
        <v>3213</v>
      </c>
      <c r="D20" s="3231" t="s">
        <v>3206</v>
      </c>
      <c r="E20" s="3232">
        <v>3</v>
      </c>
      <c r="F20" s="3231">
        <v>1</v>
      </c>
      <c r="G20" s="3233">
        <v>658.64</v>
      </c>
      <c r="H20" s="3231">
        <f>G20</f>
        <v>658.64</v>
      </c>
      <c r="I20" s="3234">
        <f>G20</f>
        <v>658.64</v>
      </c>
      <c r="J20" s="3231">
        <f>H20</f>
        <v>658.64</v>
      </c>
      <c r="K20" s="3235"/>
      <c r="L20" s="3236">
        <f>I25</f>
        <v>4332.1600000000008</v>
      </c>
      <c r="M20" s="3218" t="s">
        <v>3206</v>
      </c>
      <c r="N20" s="3219">
        <v>4</v>
      </c>
      <c r="O20" s="3237"/>
      <c r="P20" s="3237"/>
      <c r="Q20" s="3238" t="s">
        <v>923</v>
      </c>
      <c r="R20" s="3238">
        <f>I20+I21+I22+I23+I24</f>
        <v>4332.1600000000008</v>
      </c>
      <c r="S20" s="3237"/>
      <c r="T20" s="3237"/>
      <c r="U20" s="3237"/>
    </row>
    <row r="21" spans="1:21" ht="14.25">
      <c r="A21" s="3898"/>
      <c r="B21" s="3873"/>
      <c r="C21" s="3231" t="s">
        <v>3205</v>
      </c>
      <c r="D21" s="3231" t="s">
        <v>3206</v>
      </c>
      <c r="E21" s="3231">
        <v>3</v>
      </c>
      <c r="F21" s="3231">
        <v>1</v>
      </c>
      <c r="G21" s="3233">
        <v>546.72</v>
      </c>
      <c r="H21" s="3231">
        <f>G21</f>
        <v>546.72</v>
      </c>
      <c r="I21" s="3234">
        <f>G21</f>
        <v>546.72</v>
      </c>
      <c r="J21" s="3231">
        <f>H21</f>
        <v>546.72</v>
      </c>
      <c r="K21" s="3235"/>
      <c r="L21" s="3239"/>
      <c r="M21" s="3239"/>
      <c r="N21" s="3219">
        <v>4</v>
      </c>
      <c r="O21" s="3237"/>
      <c r="P21" s="3237"/>
      <c r="Q21" s="3238" t="s">
        <v>2997</v>
      </c>
      <c r="R21" s="3238">
        <v>0</v>
      </c>
      <c r="S21" s="3237"/>
      <c r="T21" s="3237"/>
      <c r="U21" s="3237"/>
    </row>
    <row r="22" spans="1:21" ht="14.25">
      <c r="A22" s="3898"/>
      <c r="B22" s="3873"/>
      <c r="C22" s="3231" t="s">
        <v>3214</v>
      </c>
      <c r="D22" s="3231" t="s">
        <v>923</v>
      </c>
      <c r="E22" s="3231">
        <v>3</v>
      </c>
      <c r="F22" s="3231">
        <v>1</v>
      </c>
      <c r="G22" s="3233">
        <v>523.32000000000005</v>
      </c>
      <c r="H22" s="3231">
        <f>G22</f>
        <v>523.32000000000005</v>
      </c>
      <c r="I22" s="3234">
        <f>G22*F22</f>
        <v>523.32000000000005</v>
      </c>
      <c r="J22" s="3231">
        <f>H22*F22</f>
        <v>523.32000000000005</v>
      </c>
      <c r="K22" s="3235"/>
      <c r="L22" s="3239"/>
      <c r="M22" s="3239"/>
      <c r="N22" s="3219">
        <v>4</v>
      </c>
      <c r="O22" s="3237"/>
      <c r="P22" s="3237"/>
      <c r="Q22" s="3238" t="s">
        <v>3200</v>
      </c>
      <c r="R22" s="3238">
        <v>0</v>
      </c>
      <c r="S22" s="3237"/>
      <c r="T22" s="3237"/>
      <c r="U22" s="3237"/>
    </row>
    <row r="23" spans="1:21" ht="14.25">
      <c r="A23" s="3898"/>
      <c r="B23" s="3873"/>
      <c r="C23" s="3231" t="s">
        <v>3210</v>
      </c>
      <c r="D23" s="3231" t="s">
        <v>923</v>
      </c>
      <c r="E23" s="3231">
        <v>3</v>
      </c>
      <c r="F23" s="3231">
        <v>4</v>
      </c>
      <c r="G23" s="3233">
        <v>523.32000000000005</v>
      </c>
      <c r="H23" s="3231">
        <f>G23</f>
        <v>523.32000000000005</v>
      </c>
      <c r="I23" s="3234">
        <f>G23*F23</f>
        <v>2093.2800000000002</v>
      </c>
      <c r="J23" s="3231">
        <f>H23*F23</f>
        <v>2093.2800000000002</v>
      </c>
      <c r="K23" s="3235"/>
      <c r="L23" s="3239"/>
      <c r="M23" s="3239"/>
      <c r="N23" s="3219">
        <f>4*F23</f>
        <v>16</v>
      </c>
      <c r="O23" s="3237"/>
      <c r="P23" s="3237"/>
      <c r="Q23" s="3238" t="s">
        <v>3215</v>
      </c>
      <c r="R23" s="3238">
        <v>0</v>
      </c>
      <c r="S23" s="3237"/>
      <c r="T23" s="3237"/>
      <c r="U23" s="3237"/>
    </row>
    <row r="24" spans="1:21" ht="14.25">
      <c r="A24" s="3898"/>
      <c r="B24" s="3874"/>
      <c r="C24" s="3231" t="s">
        <v>3216</v>
      </c>
      <c r="D24" s="3231" t="s">
        <v>923</v>
      </c>
      <c r="E24" s="3231">
        <v>3</v>
      </c>
      <c r="F24" s="3231">
        <v>1</v>
      </c>
      <c r="G24" s="3233">
        <v>510.2</v>
      </c>
      <c r="H24" s="3231">
        <f>G24</f>
        <v>510.2</v>
      </c>
      <c r="I24" s="3234">
        <f>G24*F24</f>
        <v>510.2</v>
      </c>
      <c r="J24" s="3231">
        <f>H24*F24</f>
        <v>510.2</v>
      </c>
      <c r="K24" s="3235"/>
      <c r="L24" s="3239"/>
      <c r="M24" s="3239"/>
      <c r="N24" s="3219">
        <v>4</v>
      </c>
      <c r="O24" s="3237"/>
      <c r="P24" s="3237"/>
      <c r="Q24" s="3237"/>
      <c r="R24" s="3237"/>
      <c r="S24" s="3237"/>
      <c r="T24" s="3237"/>
      <c r="U24" s="3237"/>
    </row>
    <row r="25" spans="1:21" ht="14.25">
      <c r="A25" s="3899"/>
      <c r="B25" s="3875" t="s">
        <v>3217</v>
      </c>
      <c r="C25" s="3876"/>
      <c r="D25" s="3231"/>
      <c r="E25" s="3232"/>
      <c r="F25" s="3231">
        <f>F23+F22+F21+F20+F24</f>
        <v>8</v>
      </c>
      <c r="G25" s="3233"/>
      <c r="H25" s="3231"/>
      <c r="I25" s="3234">
        <f>SUM(I20:I24)</f>
        <v>4332.1600000000008</v>
      </c>
      <c r="J25" s="3231">
        <f>SUM(J20:J24)</f>
        <v>4332.1600000000008</v>
      </c>
      <c r="K25" s="3235"/>
      <c r="L25" s="3239"/>
      <c r="M25" s="3239"/>
      <c r="N25" s="3240">
        <f>SUM(N20:N24)</f>
        <v>32</v>
      </c>
      <c r="O25" s="3237"/>
      <c r="P25" s="3237"/>
      <c r="Q25" s="3237"/>
      <c r="R25" s="3237"/>
      <c r="S25" s="3237"/>
      <c r="T25" s="3237"/>
      <c r="U25" s="3237"/>
    </row>
    <row r="26" spans="1:21" ht="14.25">
      <c r="A26" s="3891" t="s">
        <v>3218</v>
      </c>
      <c r="B26" s="3889" t="s">
        <v>3219</v>
      </c>
      <c r="C26" s="3894" t="s">
        <v>3193</v>
      </c>
      <c r="D26" s="3241" t="s">
        <v>2997</v>
      </c>
      <c r="E26" s="3241">
        <v>4.8</v>
      </c>
      <c r="F26" s="3894">
        <v>1</v>
      </c>
      <c r="G26" s="3241">
        <v>1429.45</v>
      </c>
      <c r="H26" s="3241">
        <f>G26</f>
        <v>1429.45</v>
      </c>
      <c r="I26" s="3215">
        <f t="shared" ref="I26:J29" si="2">G26</f>
        <v>1429.45</v>
      </c>
      <c r="J26" s="3241">
        <f t="shared" si="2"/>
        <v>1429.45</v>
      </c>
      <c r="K26" s="3242"/>
      <c r="L26" s="3243">
        <f>G29+G31+G33</f>
        <v>2254.44</v>
      </c>
      <c r="M26" s="3243" t="s">
        <v>3220</v>
      </c>
      <c r="N26" s="3244"/>
      <c r="O26" s="3244"/>
      <c r="P26" s="3244"/>
      <c r="Q26" s="3245" t="s">
        <v>3220</v>
      </c>
      <c r="R26" s="3246">
        <f>I29+I31+I33</f>
        <v>3757.4</v>
      </c>
      <c r="S26" s="3247"/>
      <c r="T26" s="3247"/>
      <c r="U26" s="3244"/>
    </row>
    <row r="27" spans="1:21" ht="14.25">
      <c r="A27" s="3891"/>
      <c r="B27" s="3900"/>
      <c r="C27" s="3895"/>
      <c r="D27" s="3241" t="s">
        <v>3221</v>
      </c>
      <c r="E27" s="3241">
        <v>4.5</v>
      </c>
      <c r="F27" s="3895"/>
      <c r="G27" s="3241">
        <v>189.84</v>
      </c>
      <c r="H27" s="3241">
        <f>G27</f>
        <v>189.84</v>
      </c>
      <c r="I27" s="3215">
        <f t="shared" si="2"/>
        <v>189.84</v>
      </c>
      <c r="J27" s="3241">
        <f t="shared" si="2"/>
        <v>189.84</v>
      </c>
      <c r="K27" s="3242"/>
      <c r="L27" s="3243">
        <f>G26</f>
        <v>1429.45</v>
      </c>
      <c r="M27" s="3243" t="s">
        <v>3222</v>
      </c>
      <c r="N27" s="3244">
        <v>0</v>
      </c>
      <c r="O27" s="3244"/>
      <c r="P27" s="3244"/>
      <c r="Q27" s="3245" t="s">
        <v>3222</v>
      </c>
      <c r="R27" s="3246">
        <f>J26</f>
        <v>1429.45</v>
      </c>
      <c r="S27" s="3244"/>
      <c r="T27" s="3244"/>
      <c r="U27" s="3244"/>
    </row>
    <row r="28" spans="1:21" ht="14.25">
      <c r="A28" s="3891"/>
      <c r="B28" s="3900"/>
      <c r="C28" s="3896"/>
      <c r="D28" s="3241" t="s">
        <v>3223</v>
      </c>
      <c r="E28" s="3241">
        <v>3</v>
      </c>
      <c r="F28" s="3896"/>
      <c r="G28" s="3241">
        <v>142.69</v>
      </c>
      <c r="H28" s="3241">
        <v>0</v>
      </c>
      <c r="I28" s="3215">
        <f t="shared" si="2"/>
        <v>142.69</v>
      </c>
      <c r="J28" s="3241">
        <f t="shared" si="2"/>
        <v>0</v>
      </c>
      <c r="K28" s="3242"/>
      <c r="L28" s="3243">
        <f>G27+G28+G30+G32+G34</f>
        <v>340.93</v>
      </c>
      <c r="M28" s="3248" t="s">
        <v>3224</v>
      </c>
      <c r="N28" s="3244"/>
      <c r="O28" s="3244">
        <f>I35-J35</f>
        <v>142.69000000000051</v>
      </c>
      <c r="P28" s="3244"/>
      <c r="Q28" s="3245" t="s">
        <v>3224</v>
      </c>
      <c r="R28" s="3246">
        <f>I27+I28+I30+I32+I34</f>
        <v>346.53</v>
      </c>
      <c r="S28" s="3244"/>
      <c r="T28" s="3244"/>
      <c r="U28" s="3244"/>
    </row>
    <row r="29" spans="1:21" ht="14.25">
      <c r="A29" s="3891"/>
      <c r="B29" s="3900"/>
      <c r="C29" s="3889" t="s">
        <v>3225</v>
      </c>
      <c r="D29" s="3249" t="s">
        <v>3226</v>
      </c>
      <c r="E29" s="3889">
        <v>3</v>
      </c>
      <c r="F29" s="3889">
        <v>1</v>
      </c>
      <c r="G29" s="3249">
        <v>751.48</v>
      </c>
      <c r="H29" s="3249">
        <v>751.48</v>
      </c>
      <c r="I29" s="3227">
        <f t="shared" si="2"/>
        <v>751.48</v>
      </c>
      <c r="J29" s="3249">
        <f>H29</f>
        <v>751.48</v>
      </c>
      <c r="K29" s="3242"/>
      <c r="L29" s="3243"/>
      <c r="M29" s="3243"/>
      <c r="N29" s="3244">
        <v>6</v>
      </c>
      <c r="O29" s="3244"/>
      <c r="P29" s="3244"/>
      <c r="Q29" s="3244"/>
      <c r="R29" s="3244"/>
      <c r="S29" s="3244"/>
      <c r="T29" s="3244"/>
      <c r="U29" s="3244"/>
    </row>
    <row r="30" spans="1:21" ht="14.25">
      <c r="A30" s="3891"/>
      <c r="B30" s="3900"/>
      <c r="C30" s="3890"/>
      <c r="D30" s="3249" t="s">
        <v>3227</v>
      </c>
      <c r="E30" s="3890"/>
      <c r="F30" s="3890"/>
      <c r="G30" s="3249">
        <v>2.8</v>
      </c>
      <c r="H30" s="3249">
        <f>G30</f>
        <v>2.8</v>
      </c>
      <c r="I30" s="3227">
        <f>G30*F29</f>
        <v>2.8</v>
      </c>
      <c r="J30" s="3249">
        <f>H30*F29</f>
        <v>2.8</v>
      </c>
      <c r="K30" s="3242"/>
      <c r="L30" s="3243"/>
      <c r="M30" s="3243"/>
      <c r="N30" s="3244"/>
      <c r="O30" s="3244"/>
      <c r="P30" s="3244"/>
      <c r="Q30" s="3244"/>
      <c r="R30" s="3244"/>
      <c r="S30" s="3244"/>
      <c r="T30" s="3244"/>
      <c r="U30" s="3244"/>
    </row>
    <row r="31" spans="1:21" ht="14.25">
      <c r="A31" s="3891"/>
      <c r="B31" s="3900"/>
      <c r="C31" s="3889" t="s">
        <v>3228</v>
      </c>
      <c r="D31" s="3249" t="s">
        <v>923</v>
      </c>
      <c r="E31" s="3889">
        <v>3</v>
      </c>
      <c r="F31" s="3889">
        <v>3</v>
      </c>
      <c r="G31" s="3249">
        <v>751.48</v>
      </c>
      <c r="H31" s="3249">
        <f>G31</f>
        <v>751.48</v>
      </c>
      <c r="I31" s="3227">
        <f>F31*H31</f>
        <v>2254.44</v>
      </c>
      <c r="J31" s="3249">
        <f>F31*H31</f>
        <v>2254.44</v>
      </c>
      <c r="K31" s="3242"/>
      <c r="L31" s="3243"/>
      <c r="M31" s="3243"/>
      <c r="N31" s="3244">
        <f>F31*6</f>
        <v>18</v>
      </c>
      <c r="O31" s="3244"/>
      <c r="P31" s="3244"/>
      <c r="Q31" s="3244"/>
      <c r="R31" s="3244"/>
      <c r="S31" s="3244"/>
      <c r="T31" s="3244"/>
      <c r="U31" s="3244"/>
    </row>
    <row r="32" spans="1:21" ht="14.25">
      <c r="A32" s="3891"/>
      <c r="B32" s="3900"/>
      <c r="C32" s="3890"/>
      <c r="D32" s="3249" t="s">
        <v>3229</v>
      </c>
      <c r="E32" s="3890"/>
      <c r="F32" s="3890"/>
      <c r="G32" s="3249">
        <v>2.8</v>
      </c>
      <c r="H32" s="3249">
        <f>G32</f>
        <v>2.8</v>
      </c>
      <c r="I32" s="3227">
        <f>G32*F31</f>
        <v>8.3999999999999986</v>
      </c>
      <c r="J32" s="3249">
        <f>H32*F31</f>
        <v>8.3999999999999986</v>
      </c>
      <c r="K32" s="3242"/>
      <c r="L32" s="3243"/>
      <c r="M32" s="3243"/>
      <c r="N32" s="3244"/>
      <c r="O32" s="3244"/>
      <c r="P32" s="3244"/>
      <c r="Q32" s="3244"/>
      <c r="R32" s="3244"/>
      <c r="S32" s="3244"/>
      <c r="T32" s="3244"/>
      <c r="U32" s="3244"/>
    </row>
    <row r="33" spans="1:21" ht="14.25">
      <c r="A33" s="3891"/>
      <c r="B33" s="3900"/>
      <c r="C33" s="3889" t="s">
        <v>3230</v>
      </c>
      <c r="D33" s="3249" t="s">
        <v>923</v>
      </c>
      <c r="E33" s="3889">
        <v>3</v>
      </c>
      <c r="F33" s="3889">
        <v>1</v>
      </c>
      <c r="G33" s="3249">
        <v>751.48</v>
      </c>
      <c r="H33" s="3249">
        <v>751.48</v>
      </c>
      <c r="I33" s="3227">
        <f>G33*F33</f>
        <v>751.48</v>
      </c>
      <c r="J33" s="3249">
        <f>H33*F33</f>
        <v>751.48</v>
      </c>
      <c r="K33" s="3242"/>
      <c r="L33" s="3243"/>
      <c r="M33" s="3243"/>
      <c r="N33" s="3244">
        <v>6</v>
      </c>
      <c r="O33" s="3244"/>
      <c r="P33" s="3244"/>
      <c r="Q33" s="3244"/>
      <c r="R33" s="3244"/>
      <c r="S33" s="3244"/>
      <c r="T33" s="3244"/>
      <c r="U33" s="3244"/>
    </row>
    <row r="34" spans="1:21" ht="14.25">
      <c r="A34" s="3891"/>
      <c r="B34" s="3890"/>
      <c r="C34" s="3890"/>
      <c r="D34" s="3249" t="s">
        <v>3231</v>
      </c>
      <c r="E34" s="3890"/>
      <c r="F34" s="3890"/>
      <c r="G34" s="3249">
        <v>2.8</v>
      </c>
      <c r="H34" s="3249">
        <f>G34</f>
        <v>2.8</v>
      </c>
      <c r="I34" s="3227">
        <f>G34*F33</f>
        <v>2.8</v>
      </c>
      <c r="J34" s="3249">
        <f>H34*F33</f>
        <v>2.8</v>
      </c>
      <c r="K34" s="3242"/>
      <c r="L34" s="3243"/>
      <c r="M34" s="3243"/>
      <c r="N34" s="3244"/>
      <c r="O34" s="3244"/>
      <c r="P34" s="3244"/>
      <c r="Q34" s="3244"/>
      <c r="R34" s="3244"/>
      <c r="S34" s="3244"/>
      <c r="T34" s="3244"/>
      <c r="U34" s="3244"/>
    </row>
    <row r="35" spans="1:21" ht="14.25">
      <c r="A35" s="3891"/>
      <c r="B35" s="3891" t="s">
        <v>27</v>
      </c>
      <c r="C35" s="3891"/>
      <c r="D35" s="3249"/>
      <c r="E35" s="3249"/>
      <c r="F35" s="3249">
        <f>F33+F31+F29+F26</f>
        <v>6</v>
      </c>
      <c r="G35" s="3249"/>
      <c r="H35" s="3249"/>
      <c r="I35" s="3227">
        <f>SUM(I26:I34)</f>
        <v>5533.38</v>
      </c>
      <c r="J35" s="3249">
        <f>SUM(J26:J34)</f>
        <v>5390.69</v>
      </c>
      <c r="K35" s="3242"/>
      <c r="L35" s="3243"/>
      <c r="M35" s="3243"/>
      <c r="N35" s="3244">
        <f>SUM(N27:N34)</f>
        <v>30</v>
      </c>
      <c r="O35" s="3244"/>
      <c r="P35" s="3244"/>
      <c r="Q35" s="3244"/>
      <c r="R35" s="3244"/>
      <c r="S35" s="3244"/>
      <c r="T35" s="3244"/>
      <c r="U35" s="3244"/>
    </row>
    <row r="36" spans="1:21" ht="14.25">
      <c r="A36" s="3886" t="s">
        <v>3232</v>
      </c>
      <c r="B36" s="3886" t="s">
        <v>3233</v>
      </c>
      <c r="C36" s="3886" t="s">
        <v>3234</v>
      </c>
      <c r="D36" s="3250" t="s">
        <v>3222</v>
      </c>
      <c r="E36" s="3251">
        <v>4.8</v>
      </c>
      <c r="F36" s="3886">
        <v>1</v>
      </c>
      <c r="G36" s="3250">
        <v>563.03</v>
      </c>
      <c r="H36" s="3250">
        <f>G36</f>
        <v>563.03</v>
      </c>
      <c r="I36" s="3227">
        <f t="shared" ref="I36:J40" si="3">G36</f>
        <v>563.03</v>
      </c>
      <c r="J36" s="3250">
        <f t="shared" si="3"/>
        <v>563.03</v>
      </c>
      <c r="K36" s="3252"/>
      <c r="L36" s="3253">
        <f>I37+I39+I41+I43+I45</f>
        <v>6206.18</v>
      </c>
      <c r="M36" s="3253" t="s">
        <v>3220</v>
      </c>
      <c r="N36" s="3254"/>
      <c r="O36" s="3254"/>
      <c r="P36" s="3254"/>
      <c r="Q36" s="3246" t="s">
        <v>923</v>
      </c>
      <c r="R36" s="3246">
        <f>I37+I39+I41+I43+I45</f>
        <v>6206.18</v>
      </c>
      <c r="S36" s="3254"/>
      <c r="T36" s="3255"/>
      <c r="U36" s="3255"/>
    </row>
    <row r="37" spans="1:21" ht="14.25">
      <c r="A37" s="3888"/>
      <c r="B37" s="3888"/>
      <c r="C37" s="3888"/>
      <c r="D37" s="3250" t="s">
        <v>3220</v>
      </c>
      <c r="E37" s="3892">
        <v>3</v>
      </c>
      <c r="F37" s="3888"/>
      <c r="G37" s="3250">
        <v>914.2</v>
      </c>
      <c r="H37" s="3250">
        <v>914.2</v>
      </c>
      <c r="I37" s="3227">
        <f t="shared" si="3"/>
        <v>914.2</v>
      </c>
      <c r="J37" s="3250">
        <f t="shared" si="3"/>
        <v>914.2</v>
      </c>
      <c r="K37" s="3252"/>
      <c r="L37" s="3253">
        <f>I36+I38+I40+I42+I44+I46</f>
        <v>573.26999999999987</v>
      </c>
      <c r="M37" s="3253" t="s">
        <v>3235</v>
      </c>
      <c r="N37" s="3254"/>
      <c r="O37" s="3254"/>
      <c r="P37" s="3254"/>
      <c r="Q37" s="3246" t="s">
        <v>2997</v>
      </c>
      <c r="R37" s="3246">
        <f>I36</f>
        <v>563.03</v>
      </c>
      <c r="S37" s="3254"/>
      <c r="T37" s="3255"/>
      <c r="U37" s="3255"/>
    </row>
    <row r="38" spans="1:21" ht="14.25">
      <c r="A38" s="3888"/>
      <c r="B38" s="3888"/>
      <c r="C38" s="3887"/>
      <c r="D38" s="3250" t="s">
        <v>3236</v>
      </c>
      <c r="E38" s="3893"/>
      <c r="F38" s="3887"/>
      <c r="G38" s="3250">
        <v>1.28</v>
      </c>
      <c r="H38" s="3250">
        <f>G38</f>
        <v>1.28</v>
      </c>
      <c r="I38" s="3227">
        <f t="shared" si="3"/>
        <v>1.28</v>
      </c>
      <c r="J38" s="3250">
        <f t="shared" si="3"/>
        <v>1.28</v>
      </c>
      <c r="K38" s="3252"/>
      <c r="L38" s="3253"/>
      <c r="M38" s="3253"/>
      <c r="N38" s="3254">
        <v>6</v>
      </c>
      <c r="O38" s="3255"/>
      <c r="P38" s="3255"/>
      <c r="Q38" s="3256" t="s">
        <v>3200</v>
      </c>
      <c r="R38" s="3256">
        <f>I38+I40+I42+I44+I46</f>
        <v>10.24</v>
      </c>
      <c r="S38" s="3255"/>
      <c r="T38" s="3255"/>
      <c r="U38" s="3255"/>
    </row>
    <row r="39" spans="1:21" ht="14.25">
      <c r="A39" s="3888"/>
      <c r="B39" s="3888"/>
      <c r="C39" s="3886" t="s">
        <v>3237</v>
      </c>
      <c r="D39" s="3250" t="s">
        <v>3238</v>
      </c>
      <c r="E39" s="3886">
        <v>3</v>
      </c>
      <c r="F39" s="3886">
        <v>1</v>
      </c>
      <c r="G39" s="3250">
        <v>783.1</v>
      </c>
      <c r="H39" s="3250">
        <v>783.1</v>
      </c>
      <c r="I39" s="3227">
        <f t="shared" si="3"/>
        <v>783.1</v>
      </c>
      <c r="J39" s="3250">
        <f t="shared" si="3"/>
        <v>783.1</v>
      </c>
      <c r="K39" s="3252"/>
      <c r="L39" s="3253"/>
      <c r="M39" s="3253"/>
      <c r="N39" s="3254"/>
      <c r="O39" s="3255"/>
      <c r="P39" s="3255"/>
      <c r="Q39" s="3255"/>
      <c r="R39" s="3255"/>
      <c r="S39" s="3255"/>
      <c r="T39" s="3255"/>
      <c r="U39" s="3255"/>
    </row>
    <row r="40" spans="1:21" ht="14.25">
      <c r="A40" s="3888"/>
      <c r="B40" s="3888"/>
      <c r="C40" s="3887"/>
      <c r="D40" s="3250" t="s">
        <v>3239</v>
      </c>
      <c r="E40" s="3887"/>
      <c r="F40" s="3887"/>
      <c r="G40" s="3250">
        <v>1.28</v>
      </c>
      <c r="H40" s="3250">
        <f>G40</f>
        <v>1.28</v>
      </c>
      <c r="I40" s="3227">
        <f t="shared" si="3"/>
        <v>1.28</v>
      </c>
      <c r="J40" s="3250">
        <f t="shared" si="3"/>
        <v>1.28</v>
      </c>
      <c r="K40" s="3252"/>
      <c r="L40" s="3253"/>
      <c r="M40" s="3253"/>
      <c r="N40" s="3254">
        <v>6</v>
      </c>
      <c r="O40" s="3255"/>
      <c r="P40" s="3255"/>
      <c r="Q40" s="3255"/>
      <c r="R40" s="3255"/>
      <c r="S40" s="3255"/>
      <c r="T40" s="3255"/>
      <c r="U40" s="3255"/>
    </row>
    <row r="41" spans="1:21" ht="14.25">
      <c r="A41" s="3888"/>
      <c r="B41" s="3888"/>
      <c r="C41" s="3886" t="s">
        <v>3240</v>
      </c>
      <c r="D41" s="3250" t="s">
        <v>923</v>
      </c>
      <c r="E41" s="3886">
        <v>3</v>
      </c>
      <c r="F41" s="3886">
        <v>1</v>
      </c>
      <c r="G41" s="3250">
        <v>751.48</v>
      </c>
      <c r="H41" s="3250">
        <v>751.48</v>
      </c>
      <c r="I41" s="3227">
        <f>G41</f>
        <v>751.48</v>
      </c>
      <c r="J41" s="3250">
        <f>H41*F41</f>
        <v>751.48</v>
      </c>
      <c r="K41" s="3252"/>
      <c r="L41" s="3253"/>
      <c r="M41" s="3253"/>
      <c r="N41" s="3255"/>
      <c r="O41" s="3254"/>
      <c r="P41" s="3255"/>
      <c r="Q41" s="3255"/>
      <c r="R41" s="3255"/>
      <c r="S41" s="3255"/>
      <c r="T41" s="3255"/>
      <c r="U41" s="3255"/>
    </row>
    <row r="42" spans="1:21" ht="14.25">
      <c r="A42" s="3888"/>
      <c r="B42" s="3888"/>
      <c r="C42" s="3887"/>
      <c r="D42" s="3250" t="s">
        <v>3236</v>
      </c>
      <c r="E42" s="3887"/>
      <c r="F42" s="3887"/>
      <c r="G42" s="3250">
        <v>1.28</v>
      </c>
      <c r="H42" s="3250">
        <f>G42</f>
        <v>1.28</v>
      </c>
      <c r="I42" s="3227">
        <f>G42</f>
        <v>1.28</v>
      </c>
      <c r="J42" s="3250">
        <f>H42</f>
        <v>1.28</v>
      </c>
      <c r="K42" s="3252"/>
      <c r="L42" s="3253"/>
      <c r="M42" s="3253"/>
      <c r="N42" s="3255">
        <v>6</v>
      </c>
      <c r="O42" s="3254"/>
      <c r="P42" s="3255"/>
      <c r="Q42" s="3255"/>
      <c r="R42" s="3255"/>
      <c r="S42" s="3255"/>
      <c r="T42" s="3255"/>
      <c r="U42" s="3255"/>
    </row>
    <row r="43" spans="1:21" ht="14.25">
      <c r="A43" s="3888"/>
      <c r="B43" s="3888"/>
      <c r="C43" s="3886" t="s">
        <v>3241</v>
      </c>
      <c r="D43" s="3250" t="s">
        <v>923</v>
      </c>
      <c r="E43" s="3886">
        <v>3</v>
      </c>
      <c r="F43" s="3886">
        <v>4</v>
      </c>
      <c r="G43" s="3250">
        <v>751.48</v>
      </c>
      <c r="H43" s="3250">
        <v>751.48</v>
      </c>
      <c r="I43" s="3227">
        <f>G43*F43</f>
        <v>3005.92</v>
      </c>
      <c r="J43" s="3250">
        <f>H43*F43</f>
        <v>3005.92</v>
      </c>
      <c r="K43" s="3252"/>
      <c r="L43" s="3253"/>
      <c r="M43" s="3253"/>
      <c r="N43" s="3255"/>
      <c r="O43" s="3254"/>
      <c r="P43" s="3255"/>
      <c r="Q43" s="3255"/>
      <c r="R43" s="3255"/>
      <c r="S43" s="3255"/>
      <c r="T43" s="3255"/>
      <c r="U43" s="3255"/>
    </row>
    <row r="44" spans="1:21" ht="14.25">
      <c r="A44" s="3888"/>
      <c r="B44" s="3888"/>
      <c r="C44" s="3887"/>
      <c r="D44" s="3250" t="s">
        <v>3236</v>
      </c>
      <c r="E44" s="3887"/>
      <c r="F44" s="3887"/>
      <c r="G44" s="3250">
        <v>1.28</v>
      </c>
      <c r="H44" s="3250">
        <f>G44</f>
        <v>1.28</v>
      </c>
      <c r="I44" s="3227">
        <f>G44*F43</f>
        <v>5.12</v>
      </c>
      <c r="J44" s="3250">
        <f>H44*F43</f>
        <v>5.12</v>
      </c>
      <c r="K44" s="3252"/>
      <c r="L44" s="3253"/>
      <c r="M44" s="3253"/>
      <c r="N44" s="3255">
        <f>6*F43</f>
        <v>24</v>
      </c>
      <c r="O44" s="3254"/>
      <c r="P44" s="3255"/>
      <c r="Q44" s="3255"/>
      <c r="R44" s="3255"/>
      <c r="S44" s="3255"/>
      <c r="T44" s="3255"/>
      <c r="U44" s="3255"/>
    </row>
    <row r="45" spans="1:21" ht="14.25">
      <c r="A45" s="3888"/>
      <c r="B45" s="3888"/>
      <c r="C45" s="3886" t="s">
        <v>3242</v>
      </c>
      <c r="D45" s="3250" t="s">
        <v>923</v>
      </c>
      <c r="E45" s="3886">
        <v>3</v>
      </c>
      <c r="F45" s="3886">
        <v>1</v>
      </c>
      <c r="G45" s="3250">
        <v>751.48</v>
      </c>
      <c r="H45" s="3250">
        <v>751.48</v>
      </c>
      <c r="I45" s="3227">
        <f>G45*F45</f>
        <v>751.48</v>
      </c>
      <c r="J45" s="3250">
        <f>H45*1</f>
        <v>751.48</v>
      </c>
      <c r="K45" s="3252"/>
      <c r="L45" s="3253"/>
      <c r="M45" s="3253"/>
      <c r="N45" s="3255"/>
      <c r="O45" s="3254"/>
      <c r="P45" s="3255"/>
      <c r="Q45" s="3255"/>
      <c r="R45" s="3255"/>
      <c r="S45" s="3255"/>
      <c r="T45" s="3255"/>
      <c r="U45" s="3255"/>
    </row>
    <row r="46" spans="1:21" ht="14.25">
      <c r="A46" s="3888"/>
      <c r="B46" s="3887"/>
      <c r="C46" s="3887"/>
      <c r="D46" s="3250" t="s">
        <v>3236</v>
      </c>
      <c r="E46" s="3887"/>
      <c r="F46" s="3887"/>
      <c r="G46" s="3250">
        <v>1.28</v>
      </c>
      <c r="H46" s="3250">
        <f>G46</f>
        <v>1.28</v>
      </c>
      <c r="I46" s="3227">
        <f>G46*F45</f>
        <v>1.28</v>
      </c>
      <c r="J46" s="3250">
        <f>H46*F45</f>
        <v>1.28</v>
      </c>
      <c r="K46" s="3252"/>
      <c r="L46" s="3253"/>
      <c r="M46" s="3253"/>
      <c r="N46" s="3255">
        <v>6</v>
      </c>
      <c r="O46" s="3254"/>
      <c r="P46" s="3255"/>
      <c r="Q46" s="3255"/>
      <c r="R46" s="3255"/>
      <c r="S46" s="3255"/>
      <c r="T46" s="3255"/>
      <c r="U46" s="3255"/>
    </row>
    <row r="47" spans="1:21" ht="14.25">
      <c r="A47" s="3887"/>
      <c r="B47" s="3884" t="s">
        <v>27</v>
      </c>
      <c r="C47" s="3884"/>
      <c r="D47" s="3250"/>
      <c r="E47" s="3250"/>
      <c r="F47" s="3250">
        <f>F36+F39+F41+F43+F45</f>
        <v>8</v>
      </c>
      <c r="G47" s="3250"/>
      <c r="H47" s="3250"/>
      <c r="I47" s="3227">
        <f>SUM(I36:I46)</f>
        <v>6779.45</v>
      </c>
      <c r="J47" s="3250">
        <f>SUM(J36:J46)</f>
        <v>6779.45</v>
      </c>
      <c r="K47" s="3252"/>
      <c r="L47" s="3253"/>
      <c r="M47" s="3253"/>
      <c r="N47" s="3255">
        <f>SUM(N38:N46)</f>
        <v>48</v>
      </c>
      <c r="O47" s="3254"/>
      <c r="P47" s="3255"/>
      <c r="Q47" s="3255"/>
      <c r="R47" s="3255"/>
      <c r="S47" s="3255"/>
      <c r="T47" s="3255"/>
      <c r="U47" s="3255"/>
    </row>
    <row r="48" spans="1:21" ht="14.25">
      <c r="A48" s="3882" t="s">
        <v>3243</v>
      </c>
      <c r="B48" s="3882" t="s">
        <v>3244</v>
      </c>
      <c r="C48" s="3882" t="s">
        <v>3245</v>
      </c>
      <c r="D48" s="3257" t="s">
        <v>3246</v>
      </c>
      <c r="E48" s="3258">
        <v>4.8</v>
      </c>
      <c r="F48" s="3882">
        <v>1</v>
      </c>
      <c r="G48" s="3257">
        <v>316.02</v>
      </c>
      <c r="H48" s="3257">
        <f>G48</f>
        <v>316.02</v>
      </c>
      <c r="I48" s="3227">
        <f t="shared" ref="I48:J52" si="4">G48</f>
        <v>316.02</v>
      </c>
      <c r="J48" s="3257">
        <f t="shared" si="4"/>
        <v>316.02</v>
      </c>
      <c r="K48" s="3259"/>
      <c r="L48" s="3260">
        <f>I49+I51+I53+I55+I57</f>
        <v>6206.18</v>
      </c>
      <c r="M48" s="3260" t="s">
        <v>3247</v>
      </c>
      <c r="N48" s="3261"/>
      <c r="O48" s="3262"/>
      <c r="P48" s="3262"/>
      <c r="Q48" s="3256" t="s">
        <v>923</v>
      </c>
      <c r="R48" s="3256">
        <f>I49+I51+I53+I55+I57</f>
        <v>6206.18</v>
      </c>
      <c r="S48" s="3262"/>
      <c r="T48" s="3262"/>
      <c r="U48" s="3262"/>
    </row>
    <row r="49" spans="1:21" ht="14.25">
      <c r="A49" s="3885"/>
      <c r="B49" s="3885"/>
      <c r="C49" s="3885"/>
      <c r="D49" s="3257" t="s">
        <v>3247</v>
      </c>
      <c r="E49" s="3263">
        <v>3</v>
      </c>
      <c r="F49" s="3885"/>
      <c r="G49" s="3257">
        <v>914.2</v>
      </c>
      <c r="H49" s="3257">
        <v>914.2</v>
      </c>
      <c r="I49" s="3227">
        <f t="shared" si="4"/>
        <v>914.2</v>
      </c>
      <c r="J49" s="3257">
        <f t="shared" si="4"/>
        <v>914.2</v>
      </c>
      <c r="K49" s="3259"/>
      <c r="L49" s="3260">
        <f>I48+I50+I52+I54+I56+I58</f>
        <v>326.25999999999988</v>
      </c>
      <c r="M49" s="3260" t="s">
        <v>3246</v>
      </c>
      <c r="N49" s="3261">
        <v>6</v>
      </c>
      <c r="O49" s="3262"/>
      <c r="P49" s="3262"/>
      <c r="Q49" s="3256" t="s">
        <v>2997</v>
      </c>
      <c r="R49" s="3256">
        <f>I48</f>
        <v>316.02</v>
      </c>
      <c r="S49" s="3262"/>
      <c r="T49" s="3262"/>
      <c r="U49" s="3262"/>
    </row>
    <row r="50" spans="1:21" ht="14.25">
      <c r="A50" s="3885"/>
      <c r="B50" s="3885"/>
      <c r="C50" s="3883"/>
      <c r="D50" s="3257" t="s">
        <v>3248</v>
      </c>
      <c r="E50" s="3263"/>
      <c r="F50" s="3883"/>
      <c r="G50" s="3257">
        <v>1.28</v>
      </c>
      <c r="H50" s="3257">
        <f>G50</f>
        <v>1.28</v>
      </c>
      <c r="I50" s="3227">
        <f t="shared" si="4"/>
        <v>1.28</v>
      </c>
      <c r="J50" s="3257">
        <f t="shared" si="4"/>
        <v>1.28</v>
      </c>
      <c r="K50" s="3259"/>
      <c r="L50" s="3260"/>
      <c r="M50" s="3260"/>
      <c r="N50" s="3261"/>
      <c r="O50" s="3262"/>
      <c r="P50" s="3262"/>
      <c r="Q50" s="3256" t="s">
        <v>3200</v>
      </c>
      <c r="R50" s="3256">
        <f>I50+I52+I54+I56+I58</f>
        <v>10.24</v>
      </c>
      <c r="S50" s="3262"/>
      <c r="T50" s="3262"/>
      <c r="U50" s="3262"/>
    </row>
    <row r="51" spans="1:21" ht="14.25">
      <c r="A51" s="3885"/>
      <c r="B51" s="3885"/>
      <c r="C51" s="3882" t="s">
        <v>3249</v>
      </c>
      <c r="D51" s="3257" t="s">
        <v>3250</v>
      </c>
      <c r="E51" s="3882">
        <v>3</v>
      </c>
      <c r="F51" s="3882">
        <v>1</v>
      </c>
      <c r="G51" s="3257">
        <v>783.1</v>
      </c>
      <c r="H51" s="3257">
        <v>783.1</v>
      </c>
      <c r="I51" s="3227">
        <f t="shared" si="4"/>
        <v>783.1</v>
      </c>
      <c r="J51" s="3257">
        <f t="shared" si="4"/>
        <v>783.1</v>
      </c>
      <c r="K51" s="3259"/>
      <c r="L51" s="3260"/>
      <c r="M51" s="3260"/>
      <c r="N51" s="3261"/>
      <c r="O51" s="3262"/>
      <c r="P51" s="3262"/>
      <c r="Q51" s="3262"/>
      <c r="R51" s="3262"/>
      <c r="S51" s="3262"/>
      <c r="T51" s="3262"/>
      <c r="U51" s="3262"/>
    </row>
    <row r="52" spans="1:21" ht="14.25">
      <c r="A52" s="3885"/>
      <c r="B52" s="3885"/>
      <c r="C52" s="3883"/>
      <c r="D52" s="3257" t="s">
        <v>3248</v>
      </c>
      <c r="E52" s="3883"/>
      <c r="F52" s="3883"/>
      <c r="G52" s="3257">
        <v>1.28</v>
      </c>
      <c r="H52" s="3257">
        <f>G52</f>
        <v>1.28</v>
      </c>
      <c r="I52" s="3227">
        <f t="shared" si="4"/>
        <v>1.28</v>
      </c>
      <c r="J52" s="3257">
        <f t="shared" si="4"/>
        <v>1.28</v>
      </c>
      <c r="K52" s="3259"/>
      <c r="L52" s="3260"/>
      <c r="M52" s="3260"/>
      <c r="N52" s="3261">
        <v>6</v>
      </c>
      <c r="O52" s="3262"/>
      <c r="P52" s="3262"/>
      <c r="Q52" s="3262"/>
      <c r="R52" s="3262"/>
      <c r="S52" s="3262"/>
      <c r="T52" s="3262"/>
      <c r="U52" s="3262"/>
    </row>
    <row r="53" spans="1:21" ht="14.25">
      <c r="A53" s="3885"/>
      <c r="B53" s="3885"/>
      <c r="C53" s="3882" t="s">
        <v>3251</v>
      </c>
      <c r="D53" s="3257" t="s">
        <v>923</v>
      </c>
      <c r="E53" s="3882">
        <v>3</v>
      </c>
      <c r="F53" s="3882">
        <v>1</v>
      </c>
      <c r="G53" s="3257">
        <v>751.48</v>
      </c>
      <c r="H53" s="3257">
        <v>751.48</v>
      </c>
      <c r="I53" s="3227">
        <f>G53</f>
        <v>751.48</v>
      </c>
      <c r="J53" s="3257">
        <f>H53*F53</f>
        <v>751.48</v>
      </c>
      <c r="K53" s="3259"/>
      <c r="L53" s="3260"/>
      <c r="M53" s="3260"/>
      <c r="N53" s="3262"/>
      <c r="O53" s="3261"/>
      <c r="P53" s="3262"/>
      <c r="Q53" s="3262"/>
      <c r="R53" s="3262"/>
      <c r="S53" s="3262"/>
      <c r="T53" s="3262"/>
      <c r="U53" s="3262"/>
    </row>
    <row r="54" spans="1:21" ht="14.25">
      <c r="A54" s="3885"/>
      <c r="B54" s="3885"/>
      <c r="C54" s="3883"/>
      <c r="D54" s="3257" t="s">
        <v>3248</v>
      </c>
      <c r="E54" s="3883"/>
      <c r="F54" s="3883"/>
      <c r="G54" s="3257">
        <v>1.28</v>
      </c>
      <c r="H54" s="3257">
        <f>G54</f>
        <v>1.28</v>
      </c>
      <c r="I54" s="3227">
        <f>G54</f>
        <v>1.28</v>
      </c>
      <c r="J54" s="3257">
        <f>H54</f>
        <v>1.28</v>
      </c>
      <c r="K54" s="3259"/>
      <c r="L54" s="3260"/>
      <c r="M54" s="3260"/>
      <c r="N54" s="3262">
        <v>6</v>
      </c>
      <c r="O54" s="3261"/>
      <c r="P54" s="3262"/>
      <c r="Q54" s="3262"/>
      <c r="R54" s="3262"/>
      <c r="S54" s="3262"/>
      <c r="T54" s="3262"/>
      <c r="U54" s="3262"/>
    </row>
    <row r="55" spans="1:21" ht="14.25">
      <c r="A55" s="3885"/>
      <c r="B55" s="3885"/>
      <c r="C55" s="3882" t="s">
        <v>3252</v>
      </c>
      <c r="D55" s="3257" t="s">
        <v>923</v>
      </c>
      <c r="E55" s="3882">
        <v>3</v>
      </c>
      <c r="F55" s="3882">
        <v>4</v>
      </c>
      <c r="G55" s="3257">
        <v>751.48</v>
      </c>
      <c r="H55" s="3257">
        <v>751.48</v>
      </c>
      <c r="I55" s="3227">
        <f>G55*F55</f>
        <v>3005.92</v>
      </c>
      <c r="J55" s="3257">
        <f>H55*F55</f>
        <v>3005.92</v>
      </c>
      <c r="K55" s="3259"/>
      <c r="L55" s="3260"/>
      <c r="M55" s="3260"/>
      <c r="N55" s="3262"/>
      <c r="O55" s="3261"/>
      <c r="P55" s="3262"/>
      <c r="Q55" s="3262"/>
      <c r="R55" s="3262"/>
      <c r="S55" s="3262"/>
      <c r="T55" s="3262"/>
      <c r="U55" s="3262"/>
    </row>
    <row r="56" spans="1:21" ht="14.25">
      <c r="A56" s="3885"/>
      <c r="B56" s="3885"/>
      <c r="C56" s="3883"/>
      <c r="D56" s="3257" t="s">
        <v>3248</v>
      </c>
      <c r="E56" s="3883"/>
      <c r="F56" s="3883"/>
      <c r="G56" s="3257">
        <v>1.28</v>
      </c>
      <c r="H56" s="3257">
        <f>G56</f>
        <v>1.28</v>
      </c>
      <c r="I56" s="3227">
        <f>G56*F55</f>
        <v>5.12</v>
      </c>
      <c r="J56" s="3257">
        <f>H56*F55</f>
        <v>5.12</v>
      </c>
      <c r="K56" s="3259"/>
      <c r="L56" s="3260"/>
      <c r="M56" s="3260"/>
      <c r="N56" s="3262">
        <f>6*F55</f>
        <v>24</v>
      </c>
      <c r="O56" s="3261"/>
      <c r="P56" s="3262"/>
      <c r="Q56" s="3262"/>
      <c r="R56" s="3262"/>
      <c r="S56" s="3262"/>
      <c r="T56" s="3262"/>
      <c r="U56" s="3262"/>
    </row>
    <row r="57" spans="1:21" ht="14.25">
      <c r="A57" s="3885"/>
      <c r="B57" s="3885"/>
      <c r="C57" s="3882" t="s">
        <v>3253</v>
      </c>
      <c r="D57" s="3257" t="s">
        <v>923</v>
      </c>
      <c r="E57" s="3882">
        <v>3</v>
      </c>
      <c r="F57" s="3882">
        <v>1</v>
      </c>
      <c r="G57" s="3257">
        <v>751.48</v>
      </c>
      <c r="H57" s="3257">
        <v>751.48</v>
      </c>
      <c r="I57" s="3227">
        <f>G57*F57</f>
        <v>751.48</v>
      </c>
      <c r="J57" s="3257">
        <f>H57*1</f>
        <v>751.48</v>
      </c>
      <c r="K57" s="3259"/>
      <c r="L57" s="3260"/>
      <c r="M57" s="3260"/>
      <c r="N57" s="3262"/>
      <c r="O57" s="3261"/>
      <c r="P57" s="3262"/>
      <c r="Q57" s="3262"/>
      <c r="R57" s="3262"/>
      <c r="S57" s="3262"/>
      <c r="T57" s="3262"/>
      <c r="U57" s="3262"/>
    </row>
    <row r="58" spans="1:21" ht="14.25">
      <c r="A58" s="3885"/>
      <c r="B58" s="3883"/>
      <c r="C58" s="3883"/>
      <c r="D58" s="3257" t="s">
        <v>3248</v>
      </c>
      <c r="E58" s="3883"/>
      <c r="F58" s="3883"/>
      <c r="G58" s="3257">
        <v>1.28</v>
      </c>
      <c r="H58" s="3257">
        <f>G58</f>
        <v>1.28</v>
      </c>
      <c r="I58" s="3227">
        <f>G58*F57</f>
        <v>1.28</v>
      </c>
      <c r="J58" s="3257">
        <f>H58*F57</f>
        <v>1.28</v>
      </c>
      <c r="K58" s="3259"/>
      <c r="L58" s="3260"/>
      <c r="M58" s="3260"/>
      <c r="N58" s="3262">
        <v>6</v>
      </c>
      <c r="O58" s="3261"/>
      <c r="P58" s="3262"/>
      <c r="Q58" s="3262"/>
      <c r="R58" s="3262"/>
      <c r="S58" s="3262"/>
      <c r="T58" s="3262"/>
      <c r="U58" s="3262"/>
    </row>
    <row r="59" spans="1:21" ht="14.25">
      <c r="A59" s="3883"/>
      <c r="B59" s="3879" t="s">
        <v>27</v>
      </c>
      <c r="C59" s="3879"/>
      <c r="D59" s="3257"/>
      <c r="E59" s="3257"/>
      <c r="F59" s="3257">
        <f>F48+F51+F53+F55+F57</f>
        <v>8</v>
      </c>
      <c r="G59" s="3257"/>
      <c r="H59" s="3257"/>
      <c r="I59" s="3227">
        <f>SUM(I48:I58)</f>
        <v>6532.44</v>
      </c>
      <c r="J59" s="3257">
        <f>SUM(J48:J58)</f>
        <v>6532.44</v>
      </c>
      <c r="K59" s="3259"/>
      <c r="L59" s="3260"/>
      <c r="M59" s="3260"/>
      <c r="N59" s="3262">
        <f>SUM(N49:N58)</f>
        <v>48</v>
      </c>
      <c r="O59" s="3261"/>
      <c r="P59" s="3262"/>
      <c r="Q59" s="3262"/>
      <c r="R59" s="3262"/>
      <c r="S59" s="3262"/>
      <c r="T59" s="3262"/>
      <c r="U59" s="3262"/>
    </row>
    <row r="60" spans="1:21" ht="14.25">
      <c r="A60" s="3863" t="s">
        <v>3254</v>
      </c>
      <c r="B60" s="3872" t="s">
        <v>3255</v>
      </c>
      <c r="C60" s="3231" t="s">
        <v>3256</v>
      </c>
      <c r="D60" s="3231" t="s">
        <v>3250</v>
      </c>
      <c r="E60" s="3232">
        <v>3</v>
      </c>
      <c r="F60" s="3231">
        <v>1</v>
      </c>
      <c r="G60" s="3233">
        <v>658.64</v>
      </c>
      <c r="H60" s="3231">
        <f>G60</f>
        <v>658.64</v>
      </c>
      <c r="I60" s="3234">
        <f>G60</f>
        <v>658.64</v>
      </c>
      <c r="J60" s="3231">
        <f>H60</f>
        <v>658.64</v>
      </c>
      <c r="K60" s="3216"/>
      <c r="L60" s="3217">
        <f>I65</f>
        <v>4332.1600000000008</v>
      </c>
      <c r="M60" s="3218" t="s">
        <v>3250</v>
      </c>
      <c r="N60" s="3219">
        <v>4</v>
      </c>
      <c r="O60" s="3237"/>
      <c r="P60" s="3237"/>
      <c r="Q60" s="3238" t="s">
        <v>923</v>
      </c>
      <c r="R60" s="3238">
        <f>I60+I61+I62+I63+I64</f>
        <v>4332.1600000000008</v>
      </c>
      <c r="S60" s="3237"/>
      <c r="T60" s="3237"/>
      <c r="U60" s="3237"/>
    </row>
    <row r="61" spans="1:21" ht="14.25">
      <c r="A61" s="3864"/>
      <c r="B61" s="3873"/>
      <c r="C61" s="3231" t="s">
        <v>3249</v>
      </c>
      <c r="D61" s="3231" t="s">
        <v>3250</v>
      </c>
      <c r="E61" s="3231">
        <v>3</v>
      </c>
      <c r="F61" s="3231">
        <v>1</v>
      </c>
      <c r="G61" s="3233">
        <v>546.72</v>
      </c>
      <c r="H61" s="3231">
        <f>G61</f>
        <v>546.72</v>
      </c>
      <c r="I61" s="3234">
        <f>G61</f>
        <v>546.72</v>
      </c>
      <c r="J61" s="3231">
        <f>H61</f>
        <v>546.72</v>
      </c>
      <c r="K61" s="3216"/>
      <c r="L61" s="3218"/>
      <c r="M61" s="3218" t="s">
        <v>3257</v>
      </c>
      <c r="N61" s="3219">
        <v>4</v>
      </c>
      <c r="O61" s="3237"/>
      <c r="P61" s="3237"/>
      <c r="Q61" s="3238" t="s">
        <v>2997</v>
      </c>
      <c r="R61" s="3238">
        <v>0</v>
      </c>
      <c r="S61" s="3237"/>
      <c r="T61" s="3237"/>
      <c r="U61" s="3237"/>
    </row>
    <row r="62" spans="1:21" ht="14.25">
      <c r="A62" s="3864"/>
      <c r="B62" s="3873"/>
      <c r="C62" s="3231" t="s">
        <v>3251</v>
      </c>
      <c r="D62" s="3231" t="s">
        <v>923</v>
      </c>
      <c r="E62" s="3231">
        <v>3</v>
      </c>
      <c r="F62" s="3231">
        <v>1</v>
      </c>
      <c r="G62" s="3233">
        <v>523.32000000000005</v>
      </c>
      <c r="H62" s="3231">
        <f>G62</f>
        <v>523.32000000000005</v>
      </c>
      <c r="I62" s="3234">
        <f>G62*F62</f>
        <v>523.32000000000005</v>
      </c>
      <c r="J62" s="3231">
        <f>H62*F62</f>
        <v>523.32000000000005</v>
      </c>
      <c r="K62" s="3216"/>
      <c r="L62" s="3218"/>
      <c r="M62" s="3218"/>
      <c r="N62" s="3219">
        <v>4</v>
      </c>
      <c r="O62" s="3237"/>
      <c r="P62" s="3237"/>
      <c r="Q62" s="3238" t="s">
        <v>3200</v>
      </c>
      <c r="R62" s="3238">
        <v>0</v>
      </c>
      <c r="S62" s="3237"/>
      <c r="T62" s="3237"/>
      <c r="U62" s="3237"/>
    </row>
    <row r="63" spans="1:21" ht="14.25">
      <c r="A63" s="3864"/>
      <c r="B63" s="3873"/>
      <c r="C63" s="3231" t="s">
        <v>3252</v>
      </c>
      <c r="D63" s="3231" t="s">
        <v>923</v>
      </c>
      <c r="E63" s="3231">
        <v>3</v>
      </c>
      <c r="F63" s="3231">
        <v>4</v>
      </c>
      <c r="G63" s="3233">
        <v>523.32000000000005</v>
      </c>
      <c r="H63" s="3231">
        <f>G63</f>
        <v>523.32000000000005</v>
      </c>
      <c r="I63" s="3234">
        <f>G63*F63</f>
        <v>2093.2800000000002</v>
      </c>
      <c r="J63" s="3231">
        <f>H63*F63</f>
        <v>2093.2800000000002</v>
      </c>
      <c r="K63" s="3216"/>
      <c r="L63" s="3218"/>
      <c r="M63" s="3218"/>
      <c r="N63" s="3219">
        <f>4*F63</f>
        <v>16</v>
      </c>
      <c r="O63" s="3237"/>
      <c r="P63" s="3237"/>
      <c r="Q63" s="3237"/>
      <c r="R63" s="3237"/>
      <c r="S63" s="3237"/>
      <c r="T63" s="3237"/>
      <c r="U63" s="3237"/>
    </row>
    <row r="64" spans="1:21" ht="14.25">
      <c r="A64" s="3864"/>
      <c r="B64" s="3874"/>
      <c r="C64" s="3231" t="s">
        <v>3253</v>
      </c>
      <c r="D64" s="3231" t="s">
        <v>923</v>
      </c>
      <c r="E64" s="3231">
        <v>3</v>
      </c>
      <c r="F64" s="3231">
        <v>1</v>
      </c>
      <c r="G64" s="3233">
        <v>510.2</v>
      </c>
      <c r="H64" s="3231">
        <f>G64</f>
        <v>510.2</v>
      </c>
      <c r="I64" s="3234">
        <f>G64*F64</f>
        <v>510.2</v>
      </c>
      <c r="J64" s="3231">
        <f>H64*F64</f>
        <v>510.2</v>
      </c>
      <c r="K64" s="3216"/>
      <c r="L64" s="3218"/>
      <c r="M64" s="3218"/>
      <c r="N64" s="3219">
        <v>4</v>
      </c>
      <c r="O64" s="3237"/>
      <c r="P64" s="3237"/>
      <c r="Q64" s="3237"/>
      <c r="R64" s="3237"/>
      <c r="S64" s="3237"/>
      <c r="T64" s="3237"/>
      <c r="U64" s="3237"/>
    </row>
    <row r="65" spans="1:21" ht="14.25">
      <c r="A65" s="3865"/>
      <c r="B65" s="3875" t="s">
        <v>3258</v>
      </c>
      <c r="C65" s="3876"/>
      <c r="D65" s="3231"/>
      <c r="E65" s="3232"/>
      <c r="F65" s="3231">
        <f>F63+F62+F61+F60+F64</f>
        <v>8</v>
      </c>
      <c r="G65" s="3233"/>
      <c r="H65" s="3231"/>
      <c r="I65" s="3234">
        <f>SUM(I60:I64)</f>
        <v>4332.1600000000008</v>
      </c>
      <c r="J65" s="3231">
        <f>SUM(J60:J64)</f>
        <v>4332.1600000000008</v>
      </c>
      <c r="K65" s="3216"/>
      <c r="L65" s="3218"/>
      <c r="M65" s="3218"/>
      <c r="N65" s="3240">
        <f>SUM(N60:N64)</f>
        <v>32</v>
      </c>
      <c r="O65" s="3237"/>
      <c r="P65" s="3237"/>
      <c r="Q65" s="3237"/>
      <c r="R65" s="3237"/>
      <c r="S65" s="3237"/>
      <c r="T65" s="3237"/>
      <c r="U65" s="3237"/>
    </row>
    <row r="66" spans="1:21" ht="14.25">
      <c r="A66" s="3882" t="s">
        <v>3259</v>
      </c>
      <c r="B66" s="3882" t="s">
        <v>3255</v>
      </c>
      <c r="C66" s="3882" t="s">
        <v>3256</v>
      </c>
      <c r="D66" s="3257" t="s">
        <v>3257</v>
      </c>
      <c r="E66" s="3258">
        <v>4.8</v>
      </c>
      <c r="F66" s="3882">
        <v>1</v>
      </c>
      <c r="G66" s="3257">
        <v>451.96</v>
      </c>
      <c r="H66" s="3257">
        <f>G66</f>
        <v>451.96</v>
      </c>
      <c r="I66" s="3227">
        <f t="shared" ref="I66:J69" si="5">G66</f>
        <v>451.96</v>
      </c>
      <c r="J66" s="3257">
        <f t="shared" si="5"/>
        <v>451.96</v>
      </c>
      <c r="K66" s="3259"/>
      <c r="L66" s="3260">
        <f>I67+I68+I70+I72+I74</f>
        <v>6206.18</v>
      </c>
      <c r="M66" s="3260" t="s">
        <v>3250</v>
      </c>
      <c r="N66" s="3261"/>
      <c r="O66" s="3262"/>
      <c r="P66" s="3262"/>
      <c r="Q66" s="3256" t="s">
        <v>923</v>
      </c>
      <c r="R66" s="3256">
        <f>I67+I68+I70+I72+I74</f>
        <v>6206.18</v>
      </c>
      <c r="S66" s="3262"/>
      <c r="T66" s="3262"/>
      <c r="U66" s="3262"/>
    </row>
    <row r="67" spans="1:21" ht="14.25">
      <c r="A67" s="3885"/>
      <c r="B67" s="3885"/>
      <c r="C67" s="3885"/>
      <c r="D67" s="3257" t="s">
        <v>3250</v>
      </c>
      <c r="E67" s="3263">
        <v>3</v>
      </c>
      <c r="F67" s="3885"/>
      <c r="G67" s="3257">
        <v>914.2</v>
      </c>
      <c r="H67" s="3257">
        <v>914.2</v>
      </c>
      <c r="I67" s="3227">
        <f t="shared" si="5"/>
        <v>914.2</v>
      </c>
      <c r="J67" s="3257">
        <f t="shared" si="5"/>
        <v>914.2</v>
      </c>
      <c r="K67" s="3259"/>
      <c r="L67" s="3260">
        <f>I66+I69+I71+I73+I75</f>
        <v>460.9199999999999</v>
      </c>
      <c r="M67" s="3260" t="s">
        <v>3257</v>
      </c>
      <c r="N67" s="3261">
        <v>6</v>
      </c>
      <c r="O67" s="3262"/>
      <c r="P67" s="3262"/>
      <c r="Q67" s="3256" t="s">
        <v>2997</v>
      </c>
      <c r="R67" s="3256">
        <f>I66</f>
        <v>451.96</v>
      </c>
      <c r="S67" s="3262"/>
      <c r="T67" s="3262"/>
      <c r="U67" s="3262"/>
    </row>
    <row r="68" spans="1:21" ht="14.25">
      <c r="A68" s="3885"/>
      <c r="B68" s="3885"/>
      <c r="C68" s="3882" t="s">
        <v>3249</v>
      </c>
      <c r="D68" s="3257" t="s">
        <v>3250</v>
      </c>
      <c r="E68" s="3882">
        <v>3</v>
      </c>
      <c r="F68" s="3882">
        <v>1</v>
      </c>
      <c r="G68" s="3257">
        <v>783.1</v>
      </c>
      <c r="H68" s="3257">
        <v>783.1</v>
      </c>
      <c r="I68" s="3227">
        <f t="shared" si="5"/>
        <v>783.1</v>
      </c>
      <c r="J68" s="3257">
        <f t="shared" si="5"/>
        <v>783.1</v>
      </c>
      <c r="K68" s="3259"/>
      <c r="L68" s="3260"/>
      <c r="M68" s="3260"/>
      <c r="N68" s="3261"/>
      <c r="O68" s="3262"/>
      <c r="P68" s="3262"/>
      <c r="Q68" s="3256" t="s">
        <v>3200</v>
      </c>
      <c r="R68" s="3256">
        <f>I69+I71+I73+I75</f>
        <v>8.9599999999999991</v>
      </c>
      <c r="S68" s="3262"/>
      <c r="T68" s="3262"/>
      <c r="U68" s="3262"/>
    </row>
    <row r="69" spans="1:21" ht="14.25">
      <c r="A69" s="3885"/>
      <c r="B69" s="3885"/>
      <c r="C69" s="3883"/>
      <c r="D69" s="3257" t="s">
        <v>3248</v>
      </c>
      <c r="E69" s="3883"/>
      <c r="F69" s="3883"/>
      <c r="G69" s="3257">
        <v>1.28</v>
      </c>
      <c r="H69" s="3257">
        <f>G69</f>
        <v>1.28</v>
      </c>
      <c r="I69" s="3227">
        <f t="shared" si="5"/>
        <v>1.28</v>
      </c>
      <c r="J69" s="3257">
        <f t="shared" si="5"/>
        <v>1.28</v>
      </c>
      <c r="K69" s="3259"/>
      <c r="L69" s="3260"/>
      <c r="M69" s="3260"/>
      <c r="N69" s="3261">
        <v>6</v>
      </c>
      <c r="O69" s="3262"/>
      <c r="P69" s="3262"/>
      <c r="Q69" s="3262"/>
      <c r="R69" s="3262"/>
      <c r="S69" s="3262"/>
      <c r="T69" s="3262"/>
      <c r="U69" s="3262"/>
    </row>
    <row r="70" spans="1:21" ht="14.25">
      <c r="A70" s="3885"/>
      <c r="B70" s="3885"/>
      <c r="C70" s="3882" t="s">
        <v>3251</v>
      </c>
      <c r="D70" s="3257" t="s">
        <v>923</v>
      </c>
      <c r="E70" s="3882">
        <v>3</v>
      </c>
      <c r="F70" s="3882">
        <v>1</v>
      </c>
      <c r="G70" s="3257">
        <v>751.48</v>
      </c>
      <c r="H70" s="3257">
        <v>751.48</v>
      </c>
      <c r="I70" s="3227">
        <f>G70</f>
        <v>751.48</v>
      </c>
      <c r="J70" s="3257">
        <f>H70*F70</f>
        <v>751.48</v>
      </c>
      <c r="K70" s="3259"/>
      <c r="L70" s="3260"/>
      <c r="M70" s="3260"/>
      <c r="N70" s="3262"/>
      <c r="O70" s="3261"/>
      <c r="P70" s="3262"/>
      <c r="Q70" s="3262"/>
      <c r="R70" s="3262"/>
      <c r="S70" s="3262"/>
      <c r="T70" s="3262"/>
      <c r="U70" s="3262"/>
    </row>
    <row r="71" spans="1:21" ht="14.25">
      <c r="A71" s="3885"/>
      <c r="B71" s="3885"/>
      <c r="C71" s="3883"/>
      <c r="D71" s="3257" t="s">
        <v>3248</v>
      </c>
      <c r="E71" s="3883"/>
      <c r="F71" s="3883"/>
      <c r="G71" s="3257">
        <v>1.28</v>
      </c>
      <c r="H71" s="3257">
        <f>G71</f>
        <v>1.28</v>
      </c>
      <c r="I71" s="3227">
        <f>G71</f>
        <v>1.28</v>
      </c>
      <c r="J71" s="3257">
        <f>H71</f>
        <v>1.28</v>
      </c>
      <c r="K71" s="3259"/>
      <c r="L71" s="3260"/>
      <c r="M71" s="3260"/>
      <c r="N71" s="3262">
        <v>6</v>
      </c>
      <c r="O71" s="3261"/>
      <c r="P71" s="3262"/>
      <c r="Q71" s="3262"/>
      <c r="R71" s="3262"/>
      <c r="S71" s="3262"/>
      <c r="T71" s="3262"/>
      <c r="U71" s="3262"/>
    </row>
    <row r="72" spans="1:21" ht="14.25">
      <c r="A72" s="3885"/>
      <c r="B72" s="3885"/>
      <c r="C72" s="3882" t="s">
        <v>3252</v>
      </c>
      <c r="D72" s="3257" t="s">
        <v>923</v>
      </c>
      <c r="E72" s="3882">
        <v>3</v>
      </c>
      <c r="F72" s="3882">
        <v>4</v>
      </c>
      <c r="G72" s="3257">
        <v>751.48</v>
      </c>
      <c r="H72" s="3257">
        <v>751.48</v>
      </c>
      <c r="I72" s="3227">
        <f>G72*F72</f>
        <v>3005.92</v>
      </c>
      <c r="J72" s="3257">
        <f>H72*F72</f>
        <v>3005.92</v>
      </c>
      <c r="K72" s="3259"/>
      <c r="L72" s="3260"/>
      <c r="M72" s="3260"/>
      <c r="N72" s="3262"/>
      <c r="O72" s="3261"/>
      <c r="P72" s="3262"/>
      <c r="Q72" s="3262"/>
      <c r="R72" s="3262"/>
      <c r="S72" s="3262"/>
      <c r="T72" s="3262"/>
      <c r="U72" s="3262"/>
    </row>
    <row r="73" spans="1:21" ht="14.25">
      <c r="A73" s="3885"/>
      <c r="B73" s="3885"/>
      <c r="C73" s="3883"/>
      <c r="D73" s="3257" t="s">
        <v>3248</v>
      </c>
      <c r="E73" s="3883"/>
      <c r="F73" s="3883"/>
      <c r="G73" s="3257">
        <v>1.28</v>
      </c>
      <c r="H73" s="3257">
        <f>G73</f>
        <v>1.28</v>
      </c>
      <c r="I73" s="3227">
        <f>G73*F72</f>
        <v>5.12</v>
      </c>
      <c r="J73" s="3257">
        <f>H73*F72</f>
        <v>5.12</v>
      </c>
      <c r="K73" s="3259"/>
      <c r="L73" s="3260"/>
      <c r="M73" s="3260"/>
      <c r="N73" s="3262">
        <f>6*F72</f>
        <v>24</v>
      </c>
      <c r="O73" s="3261"/>
      <c r="P73" s="3262"/>
      <c r="Q73" s="3262"/>
      <c r="R73" s="3262"/>
      <c r="S73" s="3262"/>
      <c r="T73" s="3262"/>
      <c r="U73" s="3262"/>
    </row>
    <row r="74" spans="1:21" ht="14.25">
      <c r="A74" s="3885"/>
      <c r="B74" s="3885"/>
      <c r="C74" s="3882" t="s">
        <v>3253</v>
      </c>
      <c r="D74" s="3257" t="s">
        <v>923</v>
      </c>
      <c r="E74" s="3882">
        <v>3</v>
      </c>
      <c r="F74" s="3882">
        <v>1</v>
      </c>
      <c r="G74" s="3257">
        <v>751.48</v>
      </c>
      <c r="H74" s="3257">
        <v>751.48</v>
      </c>
      <c r="I74" s="3227">
        <f>G74*F74</f>
        <v>751.48</v>
      </c>
      <c r="J74" s="3257">
        <f>H74*1</f>
        <v>751.48</v>
      </c>
      <c r="K74" s="3259"/>
      <c r="L74" s="3260"/>
      <c r="M74" s="3260"/>
      <c r="N74" s="3262"/>
      <c r="O74" s="3261"/>
      <c r="P74" s="3262"/>
      <c r="Q74" s="3262"/>
      <c r="R74" s="3262"/>
      <c r="S74" s="3262"/>
      <c r="T74" s="3262"/>
      <c r="U74" s="3262"/>
    </row>
    <row r="75" spans="1:21" ht="14.25">
      <c r="A75" s="3885"/>
      <c r="B75" s="3883"/>
      <c r="C75" s="3883"/>
      <c r="D75" s="3257" t="s">
        <v>3248</v>
      </c>
      <c r="E75" s="3883"/>
      <c r="F75" s="3883"/>
      <c r="G75" s="3257">
        <v>1.28</v>
      </c>
      <c r="H75" s="3257">
        <f>G75</f>
        <v>1.28</v>
      </c>
      <c r="I75" s="3227">
        <f>G75*F74</f>
        <v>1.28</v>
      </c>
      <c r="J75" s="3257">
        <f>H75*F74</f>
        <v>1.28</v>
      </c>
      <c r="K75" s="3259"/>
      <c r="L75" s="3260"/>
      <c r="M75" s="3260"/>
      <c r="N75" s="3262">
        <v>6</v>
      </c>
      <c r="O75" s="3261"/>
      <c r="P75" s="3262"/>
      <c r="Q75" s="3262"/>
      <c r="R75" s="3262"/>
      <c r="S75" s="3262"/>
      <c r="T75" s="3262"/>
      <c r="U75" s="3262"/>
    </row>
    <row r="76" spans="1:21" ht="14.25">
      <c r="A76" s="3883"/>
      <c r="B76" s="3879" t="s">
        <v>27</v>
      </c>
      <c r="C76" s="3879"/>
      <c r="D76" s="3257"/>
      <c r="E76" s="3257"/>
      <c r="F76" s="3257">
        <f>F66+F68+F70+F72+F74</f>
        <v>8</v>
      </c>
      <c r="G76" s="3257"/>
      <c r="H76" s="3257"/>
      <c r="I76" s="3227">
        <f>SUM(I66:I75)</f>
        <v>6667.1000000000013</v>
      </c>
      <c r="J76" s="3257">
        <f>SUM(J66:J75)</f>
        <v>6667.1000000000013</v>
      </c>
      <c r="K76" s="3259"/>
      <c r="L76" s="3260"/>
      <c r="M76" s="3260"/>
      <c r="N76" s="3262">
        <f>SUM(N67:N75)</f>
        <v>48</v>
      </c>
      <c r="O76" s="3261"/>
      <c r="P76" s="3262"/>
      <c r="Q76" s="3262"/>
      <c r="R76" s="3262"/>
      <c r="S76" s="3262"/>
      <c r="T76" s="3262"/>
      <c r="U76" s="3262"/>
    </row>
    <row r="77" spans="1:21" ht="14.25">
      <c r="A77" s="3886" t="s">
        <v>3260</v>
      </c>
      <c r="B77" s="3886" t="s">
        <v>3255</v>
      </c>
      <c r="C77" s="3886" t="s">
        <v>3256</v>
      </c>
      <c r="D77" s="3250" t="s">
        <v>3257</v>
      </c>
      <c r="E77" s="3251">
        <v>4.8</v>
      </c>
      <c r="F77" s="3886">
        <v>1</v>
      </c>
      <c r="G77" s="3250">
        <v>368.29</v>
      </c>
      <c r="H77" s="3250">
        <f>G77</f>
        <v>368.29</v>
      </c>
      <c r="I77" s="3227">
        <f t="shared" ref="I77:J81" si="6">G77</f>
        <v>368.29</v>
      </c>
      <c r="J77" s="3250">
        <f t="shared" si="6"/>
        <v>368.29</v>
      </c>
      <c r="K77" s="3252"/>
      <c r="L77" s="3253">
        <f>I78+I80+I82+I84+I86</f>
        <v>6206.18</v>
      </c>
      <c r="M77" s="3253" t="s">
        <v>3250</v>
      </c>
      <c r="N77" s="3254"/>
      <c r="O77" s="3255"/>
      <c r="P77" s="3255"/>
      <c r="Q77" s="3256" t="s">
        <v>923</v>
      </c>
      <c r="R77" s="3256">
        <f>I78+I80+I82+I84+I86</f>
        <v>6206.18</v>
      </c>
      <c r="S77" s="3255"/>
      <c r="T77" s="3255"/>
      <c r="U77" s="3255"/>
    </row>
    <row r="78" spans="1:21" ht="14.25">
      <c r="A78" s="3888"/>
      <c r="B78" s="3888"/>
      <c r="C78" s="3888"/>
      <c r="D78" s="3250" t="s">
        <v>3250</v>
      </c>
      <c r="E78" s="3264">
        <v>3</v>
      </c>
      <c r="F78" s="3888"/>
      <c r="G78" s="3250">
        <v>914.2</v>
      </c>
      <c r="H78" s="3250">
        <v>914.2</v>
      </c>
      <c r="I78" s="3227">
        <f t="shared" si="6"/>
        <v>914.2</v>
      </c>
      <c r="J78" s="3250">
        <f t="shared" si="6"/>
        <v>914.2</v>
      </c>
      <c r="K78" s="3252"/>
      <c r="L78" s="3253">
        <f>I77+I79+I81+I83+I85+I87</f>
        <v>378.52999999999992</v>
      </c>
      <c r="M78" s="3253" t="s">
        <v>3257</v>
      </c>
      <c r="N78" s="3254">
        <v>6</v>
      </c>
      <c r="O78" s="3255"/>
      <c r="P78" s="3255"/>
      <c r="Q78" s="3256" t="s">
        <v>2997</v>
      </c>
      <c r="R78" s="3256">
        <f>I77</f>
        <v>368.29</v>
      </c>
      <c r="S78" s="3255"/>
      <c r="T78" s="3255"/>
      <c r="U78" s="3255"/>
    </row>
    <row r="79" spans="1:21" ht="14.25">
      <c r="A79" s="3888"/>
      <c r="B79" s="3888"/>
      <c r="C79" s="3887"/>
      <c r="D79" s="3250" t="s">
        <v>3248</v>
      </c>
      <c r="E79" s="3264"/>
      <c r="F79" s="3887"/>
      <c r="G79" s="3250">
        <v>1.28</v>
      </c>
      <c r="H79" s="3250">
        <f>G79</f>
        <v>1.28</v>
      </c>
      <c r="I79" s="3227">
        <f t="shared" si="6"/>
        <v>1.28</v>
      </c>
      <c r="J79" s="3250">
        <f t="shared" si="6"/>
        <v>1.28</v>
      </c>
      <c r="K79" s="3252"/>
      <c r="L79" s="3253"/>
      <c r="M79" s="3253"/>
      <c r="N79" s="3254"/>
      <c r="O79" s="3255"/>
      <c r="P79" s="3255"/>
      <c r="Q79" s="3256" t="s">
        <v>3200</v>
      </c>
      <c r="R79" s="3256">
        <f>I79+I81+I83+I85+I87</f>
        <v>10.24</v>
      </c>
      <c r="S79" s="3255"/>
      <c r="T79" s="3255"/>
      <c r="U79" s="3255"/>
    </row>
    <row r="80" spans="1:21" ht="14.25">
      <c r="A80" s="3888"/>
      <c r="B80" s="3888"/>
      <c r="C80" s="3886" t="s">
        <v>3249</v>
      </c>
      <c r="D80" s="3250" t="s">
        <v>3250</v>
      </c>
      <c r="E80" s="3886">
        <v>3</v>
      </c>
      <c r="F80" s="3886">
        <v>1</v>
      </c>
      <c r="G80" s="3250">
        <v>783.1</v>
      </c>
      <c r="H80" s="3250">
        <v>783.1</v>
      </c>
      <c r="I80" s="3227">
        <f t="shared" si="6"/>
        <v>783.1</v>
      </c>
      <c r="J80" s="3250">
        <f t="shared" si="6"/>
        <v>783.1</v>
      </c>
      <c r="K80" s="3252"/>
      <c r="L80" s="3253"/>
      <c r="M80" s="3253"/>
      <c r="N80" s="3254"/>
      <c r="O80" s="3255"/>
      <c r="P80" s="3255"/>
      <c r="Q80" s="3255"/>
      <c r="R80" s="3255"/>
      <c r="S80" s="3255"/>
      <c r="T80" s="3255"/>
      <c r="U80" s="3255"/>
    </row>
    <row r="81" spans="1:21" ht="14.25">
      <c r="A81" s="3888"/>
      <c r="B81" s="3888"/>
      <c r="C81" s="3887"/>
      <c r="D81" s="3250" t="s">
        <v>3248</v>
      </c>
      <c r="E81" s="3887"/>
      <c r="F81" s="3887"/>
      <c r="G81" s="3250">
        <v>1.28</v>
      </c>
      <c r="H81" s="3250">
        <f>G81</f>
        <v>1.28</v>
      </c>
      <c r="I81" s="3227">
        <f t="shared" si="6"/>
        <v>1.28</v>
      </c>
      <c r="J81" s="3250">
        <f t="shared" si="6"/>
        <v>1.28</v>
      </c>
      <c r="K81" s="3252"/>
      <c r="L81" s="3253"/>
      <c r="M81" s="3253"/>
      <c r="N81" s="3254">
        <v>6</v>
      </c>
      <c r="O81" s="3255"/>
      <c r="P81" s="3255"/>
      <c r="Q81" s="3255"/>
      <c r="R81" s="3255"/>
      <c r="S81" s="3255"/>
      <c r="T81" s="3255"/>
      <c r="U81" s="3255"/>
    </row>
    <row r="82" spans="1:21" ht="14.25">
      <c r="A82" s="3888"/>
      <c r="B82" s="3888"/>
      <c r="C82" s="3886" t="s">
        <v>3251</v>
      </c>
      <c r="D82" s="3250" t="s">
        <v>923</v>
      </c>
      <c r="E82" s="3886">
        <v>3</v>
      </c>
      <c r="F82" s="3886">
        <v>1</v>
      </c>
      <c r="G82" s="3250">
        <v>751.48</v>
      </c>
      <c r="H82" s="3250">
        <v>751.48</v>
      </c>
      <c r="I82" s="3227">
        <f>G82</f>
        <v>751.48</v>
      </c>
      <c r="J82" s="3250">
        <f>H82*F82</f>
        <v>751.48</v>
      </c>
      <c r="K82" s="3252"/>
      <c r="L82" s="3253"/>
      <c r="M82" s="3253"/>
      <c r="N82" s="3255"/>
      <c r="O82" s="3254"/>
      <c r="P82" s="3255"/>
      <c r="Q82" s="3255"/>
      <c r="R82" s="3255"/>
      <c r="S82" s="3255"/>
      <c r="T82" s="3255"/>
      <c r="U82" s="3255"/>
    </row>
    <row r="83" spans="1:21" ht="14.25">
      <c r="A83" s="3888"/>
      <c r="B83" s="3888"/>
      <c r="C83" s="3887"/>
      <c r="D83" s="3250" t="s">
        <v>3248</v>
      </c>
      <c r="E83" s="3887"/>
      <c r="F83" s="3887"/>
      <c r="G83" s="3250">
        <v>1.28</v>
      </c>
      <c r="H83" s="3250">
        <f>G83</f>
        <v>1.28</v>
      </c>
      <c r="I83" s="3227">
        <f>G83</f>
        <v>1.28</v>
      </c>
      <c r="J83" s="3250">
        <f>H83</f>
        <v>1.28</v>
      </c>
      <c r="K83" s="3252"/>
      <c r="L83" s="3253"/>
      <c r="M83" s="3253"/>
      <c r="N83" s="3255">
        <v>6</v>
      </c>
      <c r="O83" s="3254"/>
      <c r="P83" s="3255"/>
      <c r="Q83" s="3255"/>
      <c r="R83" s="3255"/>
      <c r="S83" s="3255"/>
      <c r="T83" s="3255"/>
      <c r="U83" s="3255"/>
    </row>
    <row r="84" spans="1:21" ht="14.25">
      <c r="A84" s="3888"/>
      <c r="B84" s="3888"/>
      <c r="C84" s="3886" t="s">
        <v>3252</v>
      </c>
      <c r="D84" s="3250" t="s">
        <v>923</v>
      </c>
      <c r="E84" s="3886">
        <v>3</v>
      </c>
      <c r="F84" s="3886">
        <v>4</v>
      </c>
      <c r="G84" s="3250">
        <v>751.48</v>
      </c>
      <c r="H84" s="3250">
        <v>751.48</v>
      </c>
      <c r="I84" s="3227">
        <f>G84*F84</f>
        <v>3005.92</v>
      </c>
      <c r="J84" s="3250">
        <f>H84*F84</f>
        <v>3005.92</v>
      </c>
      <c r="K84" s="3252"/>
      <c r="L84" s="3253"/>
      <c r="M84" s="3253"/>
      <c r="N84" s="3255"/>
      <c r="O84" s="3254"/>
      <c r="P84" s="3255"/>
      <c r="Q84" s="3255"/>
      <c r="R84" s="3255"/>
      <c r="S84" s="3255"/>
      <c r="T84" s="3255"/>
      <c r="U84" s="3255"/>
    </row>
    <row r="85" spans="1:21" ht="14.25">
      <c r="A85" s="3888"/>
      <c r="B85" s="3888"/>
      <c r="C85" s="3887"/>
      <c r="D85" s="3250" t="s">
        <v>3248</v>
      </c>
      <c r="E85" s="3887"/>
      <c r="F85" s="3887"/>
      <c r="G85" s="3250">
        <v>1.28</v>
      </c>
      <c r="H85" s="3250">
        <f>G85</f>
        <v>1.28</v>
      </c>
      <c r="I85" s="3227">
        <f>G85*F84</f>
        <v>5.12</v>
      </c>
      <c r="J85" s="3250">
        <f>H85*F84</f>
        <v>5.12</v>
      </c>
      <c r="K85" s="3252"/>
      <c r="L85" s="3253"/>
      <c r="M85" s="3253"/>
      <c r="N85" s="3255">
        <f>6*F84</f>
        <v>24</v>
      </c>
      <c r="O85" s="3254"/>
      <c r="P85" s="3255"/>
      <c r="Q85" s="3255"/>
      <c r="R85" s="3255"/>
      <c r="S85" s="3255"/>
      <c r="T85" s="3255"/>
      <c r="U85" s="3255"/>
    </row>
    <row r="86" spans="1:21" ht="14.25">
      <c r="A86" s="3888"/>
      <c r="B86" s="3888"/>
      <c r="C86" s="3886" t="s">
        <v>3253</v>
      </c>
      <c r="D86" s="3250" t="s">
        <v>923</v>
      </c>
      <c r="E86" s="3886">
        <v>3</v>
      </c>
      <c r="F86" s="3886">
        <v>1</v>
      </c>
      <c r="G86" s="3250">
        <v>751.48</v>
      </c>
      <c r="H86" s="3250">
        <v>751.48</v>
      </c>
      <c r="I86" s="3227">
        <f>G86*F86</f>
        <v>751.48</v>
      </c>
      <c r="J86" s="3250">
        <f>H86*1</f>
        <v>751.48</v>
      </c>
      <c r="K86" s="3252"/>
      <c r="L86" s="3253"/>
      <c r="M86" s="3253"/>
      <c r="N86" s="3255"/>
      <c r="O86" s="3254"/>
      <c r="P86" s="3255"/>
      <c r="Q86" s="3255"/>
      <c r="R86" s="3255"/>
      <c r="S86" s="3255"/>
      <c r="T86" s="3255"/>
      <c r="U86" s="3255"/>
    </row>
    <row r="87" spans="1:21" ht="14.25">
      <c r="A87" s="3888"/>
      <c r="B87" s="3887"/>
      <c r="C87" s="3887"/>
      <c r="D87" s="3250" t="s">
        <v>3248</v>
      </c>
      <c r="E87" s="3887"/>
      <c r="F87" s="3887"/>
      <c r="G87" s="3250">
        <v>1.28</v>
      </c>
      <c r="H87" s="3250">
        <f>G87</f>
        <v>1.28</v>
      </c>
      <c r="I87" s="3227">
        <f>G87*F86</f>
        <v>1.28</v>
      </c>
      <c r="J87" s="3250">
        <f>H87*F86</f>
        <v>1.28</v>
      </c>
      <c r="K87" s="3252"/>
      <c r="L87" s="3253"/>
      <c r="M87" s="3253"/>
      <c r="N87" s="3255">
        <v>6</v>
      </c>
      <c r="O87" s="3254"/>
      <c r="P87" s="3255"/>
      <c r="Q87" s="3255"/>
      <c r="R87" s="3255"/>
      <c r="S87" s="3255"/>
      <c r="T87" s="3255"/>
      <c r="U87" s="3255"/>
    </row>
    <row r="88" spans="1:21" ht="14.25">
      <c r="A88" s="3887"/>
      <c r="B88" s="3884" t="s">
        <v>27</v>
      </c>
      <c r="C88" s="3884"/>
      <c r="D88" s="3250"/>
      <c r="E88" s="3250"/>
      <c r="F88" s="3250">
        <f>F77+F80+F82+F84+F86</f>
        <v>8</v>
      </c>
      <c r="G88" s="3250"/>
      <c r="H88" s="3250"/>
      <c r="I88" s="3227">
        <f>SUM(I77:I87)</f>
        <v>6584.71</v>
      </c>
      <c r="J88" s="3250">
        <f>SUM(J77:J87)</f>
        <v>6584.71</v>
      </c>
      <c r="K88" s="3252"/>
      <c r="L88" s="3253"/>
      <c r="M88" s="3253"/>
      <c r="N88" s="3255">
        <f>SUM(N78:N87)</f>
        <v>48</v>
      </c>
      <c r="O88" s="3254"/>
      <c r="P88" s="3255"/>
      <c r="Q88" s="3255"/>
      <c r="R88" s="3255"/>
      <c r="S88" s="3255"/>
      <c r="T88" s="3255"/>
      <c r="U88" s="3255"/>
    </row>
    <row r="89" spans="1:21" ht="14.25">
      <c r="A89" s="3863" t="s">
        <v>3261</v>
      </c>
      <c r="B89" s="3872" t="s">
        <v>3255</v>
      </c>
      <c r="C89" s="3231" t="s">
        <v>3256</v>
      </c>
      <c r="D89" s="3231" t="s">
        <v>3250</v>
      </c>
      <c r="E89" s="3232">
        <v>3</v>
      </c>
      <c r="F89" s="3231">
        <v>1</v>
      </c>
      <c r="G89" s="3233">
        <v>658.64</v>
      </c>
      <c r="H89" s="3231">
        <f>G89</f>
        <v>658.64</v>
      </c>
      <c r="I89" s="3234">
        <f>G89</f>
        <v>658.64</v>
      </c>
      <c r="J89" s="3231">
        <f>H89</f>
        <v>658.64</v>
      </c>
      <c r="K89" s="3216"/>
      <c r="L89" s="3217">
        <f>I94</f>
        <v>4332.1600000000008</v>
      </c>
      <c r="M89" s="3218" t="s">
        <v>3250</v>
      </c>
      <c r="N89" s="3219">
        <v>4</v>
      </c>
      <c r="O89" s="3237"/>
      <c r="P89" s="3237"/>
      <c r="Q89" s="3238" t="s">
        <v>923</v>
      </c>
      <c r="R89" s="3238">
        <f>I94</f>
        <v>4332.1600000000008</v>
      </c>
      <c r="S89" s="3237"/>
      <c r="T89" s="3237"/>
      <c r="U89" s="3237"/>
    </row>
    <row r="90" spans="1:21" ht="14.25">
      <c r="A90" s="3864"/>
      <c r="B90" s="3873"/>
      <c r="C90" s="3231" t="s">
        <v>3249</v>
      </c>
      <c r="D90" s="3231" t="s">
        <v>3250</v>
      </c>
      <c r="E90" s="3231">
        <v>3</v>
      </c>
      <c r="F90" s="3231">
        <v>1</v>
      </c>
      <c r="G90" s="3233">
        <v>546.72</v>
      </c>
      <c r="H90" s="3231">
        <f>G90</f>
        <v>546.72</v>
      </c>
      <c r="I90" s="3234">
        <f>G90</f>
        <v>546.72</v>
      </c>
      <c r="J90" s="3231">
        <f>H90</f>
        <v>546.72</v>
      </c>
      <c r="K90" s="3216"/>
      <c r="L90" s="3218"/>
      <c r="M90" s="3218" t="s">
        <v>3257</v>
      </c>
      <c r="N90" s="3219">
        <v>4</v>
      </c>
      <c r="O90" s="3237"/>
      <c r="P90" s="3237"/>
      <c r="Q90" s="3238" t="s">
        <v>2997</v>
      </c>
      <c r="R90" s="3238">
        <v>0</v>
      </c>
      <c r="S90" s="3237"/>
      <c r="T90" s="3237"/>
      <c r="U90" s="3237"/>
    </row>
    <row r="91" spans="1:21" ht="14.25">
      <c r="A91" s="3864"/>
      <c r="B91" s="3873"/>
      <c r="C91" s="3231" t="s">
        <v>3251</v>
      </c>
      <c r="D91" s="3231" t="s">
        <v>923</v>
      </c>
      <c r="E91" s="3231">
        <v>3</v>
      </c>
      <c r="F91" s="3231">
        <v>1</v>
      </c>
      <c r="G91" s="3233">
        <v>523.32000000000005</v>
      </c>
      <c r="H91" s="3231">
        <f>G91</f>
        <v>523.32000000000005</v>
      </c>
      <c r="I91" s="3234">
        <f>G91*F91</f>
        <v>523.32000000000005</v>
      </c>
      <c r="J91" s="3231">
        <f>H91*F91</f>
        <v>523.32000000000005</v>
      </c>
      <c r="K91" s="3216"/>
      <c r="L91" s="3218"/>
      <c r="M91" s="3218"/>
      <c r="N91" s="3219">
        <v>4</v>
      </c>
      <c r="O91" s="3237"/>
      <c r="P91" s="3237"/>
      <c r="Q91" s="3238" t="s">
        <v>3200</v>
      </c>
      <c r="R91" s="3238">
        <v>0</v>
      </c>
      <c r="S91" s="3237"/>
      <c r="T91" s="3237"/>
      <c r="U91" s="3237"/>
    </row>
    <row r="92" spans="1:21" ht="14.25">
      <c r="A92" s="3864"/>
      <c r="B92" s="3873"/>
      <c r="C92" s="3231" t="s">
        <v>3252</v>
      </c>
      <c r="D92" s="3231" t="s">
        <v>923</v>
      </c>
      <c r="E92" s="3231">
        <v>3</v>
      </c>
      <c r="F92" s="3231">
        <v>4</v>
      </c>
      <c r="G92" s="3233">
        <v>523.32000000000005</v>
      </c>
      <c r="H92" s="3231">
        <f>G92</f>
        <v>523.32000000000005</v>
      </c>
      <c r="I92" s="3234">
        <f>G92*F92</f>
        <v>2093.2800000000002</v>
      </c>
      <c r="J92" s="3231">
        <f>H92*F92</f>
        <v>2093.2800000000002</v>
      </c>
      <c r="K92" s="3216"/>
      <c r="L92" s="3218"/>
      <c r="M92" s="3218"/>
      <c r="N92" s="3219">
        <f>4*F92</f>
        <v>16</v>
      </c>
      <c r="O92" s="3237"/>
      <c r="P92" s="3237"/>
      <c r="Q92" s="3237"/>
      <c r="R92" s="3237"/>
      <c r="S92" s="3237"/>
      <c r="T92" s="3237"/>
      <c r="U92" s="3237"/>
    </row>
    <row r="93" spans="1:21" ht="14.25">
      <c r="A93" s="3864"/>
      <c r="B93" s="3874"/>
      <c r="C93" s="3231" t="s">
        <v>3253</v>
      </c>
      <c r="D93" s="3231" t="s">
        <v>923</v>
      </c>
      <c r="E93" s="3231">
        <v>3</v>
      </c>
      <c r="F93" s="3231">
        <v>1</v>
      </c>
      <c r="G93" s="3233">
        <v>510.2</v>
      </c>
      <c r="H93" s="3231">
        <f>G93</f>
        <v>510.2</v>
      </c>
      <c r="I93" s="3234">
        <f>G93*F93</f>
        <v>510.2</v>
      </c>
      <c r="J93" s="3231">
        <f>H93*F93</f>
        <v>510.2</v>
      </c>
      <c r="K93" s="3216"/>
      <c r="L93" s="3218"/>
      <c r="M93" s="3218"/>
      <c r="N93" s="3219">
        <v>4</v>
      </c>
      <c r="O93" s="3237"/>
      <c r="P93" s="3237"/>
      <c r="Q93" s="3237"/>
      <c r="R93" s="3237"/>
      <c r="S93" s="3237"/>
      <c r="T93" s="3237"/>
      <c r="U93" s="3237"/>
    </row>
    <row r="94" spans="1:21" ht="14.25">
      <c r="A94" s="3865"/>
      <c r="B94" s="3875" t="s">
        <v>3258</v>
      </c>
      <c r="C94" s="3876"/>
      <c r="D94" s="3231"/>
      <c r="E94" s="3232"/>
      <c r="F94" s="3231">
        <f>F92+F91+F90+F89+F93</f>
        <v>8</v>
      </c>
      <c r="G94" s="3233"/>
      <c r="H94" s="3231"/>
      <c r="I94" s="3234">
        <f>SUM(I89:I93)</f>
        <v>4332.1600000000008</v>
      </c>
      <c r="J94" s="3231">
        <f>SUM(J89:J93)</f>
        <v>4332.1600000000008</v>
      </c>
      <c r="K94" s="3216"/>
      <c r="L94" s="3218"/>
      <c r="M94" s="3218"/>
      <c r="N94" s="3240">
        <f>SUM(N89:N93)</f>
        <v>32</v>
      </c>
      <c r="O94" s="3237"/>
      <c r="P94" s="3237"/>
      <c r="Q94" s="3237"/>
      <c r="R94" s="3237"/>
      <c r="S94" s="3237"/>
      <c r="T94" s="3237"/>
      <c r="U94" s="3237"/>
    </row>
    <row r="95" spans="1:21" ht="14.25">
      <c r="A95" s="3863" t="s">
        <v>3262</v>
      </c>
      <c r="B95" s="3872" t="s">
        <v>3255</v>
      </c>
      <c r="C95" s="3231" t="s">
        <v>3256</v>
      </c>
      <c r="D95" s="3231" t="s">
        <v>3250</v>
      </c>
      <c r="E95" s="3232">
        <v>3</v>
      </c>
      <c r="F95" s="3231">
        <v>1</v>
      </c>
      <c r="G95" s="3233">
        <v>658.64</v>
      </c>
      <c r="H95" s="3231">
        <f>G95</f>
        <v>658.64</v>
      </c>
      <c r="I95" s="3234">
        <f>G95</f>
        <v>658.64</v>
      </c>
      <c r="J95" s="3231">
        <f>H95</f>
        <v>658.64</v>
      </c>
      <c r="K95" s="3216"/>
      <c r="L95" s="3217">
        <f>I100</f>
        <v>4332.1600000000008</v>
      </c>
      <c r="M95" s="3218" t="s">
        <v>3250</v>
      </c>
      <c r="N95" s="3219">
        <v>4</v>
      </c>
      <c r="O95" s="3237"/>
      <c r="P95" s="3237"/>
      <c r="Q95" s="3238" t="s">
        <v>923</v>
      </c>
      <c r="R95" s="3238">
        <f>I100</f>
        <v>4332.1600000000008</v>
      </c>
      <c r="S95" s="3237"/>
      <c r="T95" s="3237"/>
      <c r="U95" s="3237"/>
    </row>
    <row r="96" spans="1:21" ht="14.25">
      <c r="A96" s="3864"/>
      <c r="B96" s="3873"/>
      <c r="C96" s="3231" t="s">
        <v>3249</v>
      </c>
      <c r="D96" s="3231" t="s">
        <v>3250</v>
      </c>
      <c r="E96" s="3231">
        <v>3</v>
      </c>
      <c r="F96" s="3231">
        <v>1</v>
      </c>
      <c r="G96" s="3233">
        <v>546.72</v>
      </c>
      <c r="H96" s="3231">
        <f>G96</f>
        <v>546.72</v>
      </c>
      <c r="I96" s="3234">
        <f>G96</f>
        <v>546.72</v>
      </c>
      <c r="J96" s="3231">
        <f>H96</f>
        <v>546.72</v>
      </c>
      <c r="K96" s="3216"/>
      <c r="L96" s="3218"/>
      <c r="M96" s="3218" t="s">
        <v>3257</v>
      </c>
      <c r="N96" s="3219">
        <v>4</v>
      </c>
      <c r="O96" s="3237"/>
      <c r="P96" s="3237"/>
      <c r="Q96" s="3238" t="s">
        <v>2997</v>
      </c>
      <c r="R96" s="3238">
        <v>0</v>
      </c>
      <c r="S96" s="3237"/>
      <c r="T96" s="3237"/>
      <c r="U96" s="3237"/>
    </row>
    <row r="97" spans="1:21" ht="14.25">
      <c r="A97" s="3864"/>
      <c r="B97" s="3873"/>
      <c r="C97" s="3231" t="s">
        <v>3251</v>
      </c>
      <c r="D97" s="3231" t="s">
        <v>923</v>
      </c>
      <c r="E97" s="3231">
        <v>3</v>
      </c>
      <c r="F97" s="3231">
        <v>1</v>
      </c>
      <c r="G97" s="3233">
        <v>523.32000000000005</v>
      </c>
      <c r="H97" s="3231">
        <f>G97</f>
        <v>523.32000000000005</v>
      </c>
      <c r="I97" s="3234">
        <f>G97*F97</f>
        <v>523.32000000000005</v>
      </c>
      <c r="J97" s="3231">
        <f>H97*F97</f>
        <v>523.32000000000005</v>
      </c>
      <c r="K97" s="3216"/>
      <c r="L97" s="3218"/>
      <c r="M97" s="3218"/>
      <c r="N97" s="3219">
        <v>4</v>
      </c>
      <c r="O97" s="3237"/>
      <c r="P97" s="3237"/>
      <c r="Q97" s="3238" t="s">
        <v>3200</v>
      </c>
      <c r="R97" s="3238">
        <v>0</v>
      </c>
      <c r="S97" s="3237"/>
      <c r="T97" s="3237"/>
      <c r="U97" s="3237"/>
    </row>
    <row r="98" spans="1:21" ht="14.25">
      <c r="A98" s="3864"/>
      <c r="B98" s="3873"/>
      <c r="C98" s="3231" t="s">
        <v>3252</v>
      </c>
      <c r="D98" s="3231" t="s">
        <v>923</v>
      </c>
      <c r="E98" s="3231">
        <v>3</v>
      </c>
      <c r="F98" s="3231">
        <v>4</v>
      </c>
      <c r="G98" s="3233">
        <v>523.32000000000005</v>
      </c>
      <c r="H98" s="3231">
        <f>G98</f>
        <v>523.32000000000005</v>
      </c>
      <c r="I98" s="3234">
        <f>G98*F98</f>
        <v>2093.2800000000002</v>
      </c>
      <c r="J98" s="3231">
        <f>H98*F98</f>
        <v>2093.2800000000002</v>
      </c>
      <c r="K98" s="3216"/>
      <c r="L98" s="3218"/>
      <c r="M98" s="3218"/>
      <c r="N98" s="3219">
        <f>4*F98</f>
        <v>16</v>
      </c>
      <c r="O98" s="3237"/>
      <c r="P98" s="3237"/>
      <c r="Q98" s="3237"/>
      <c r="R98" s="3237"/>
      <c r="S98" s="3237"/>
      <c r="T98" s="3237"/>
      <c r="U98" s="3237"/>
    </row>
    <row r="99" spans="1:21" ht="14.25">
      <c r="A99" s="3864"/>
      <c r="B99" s="3874"/>
      <c r="C99" s="3231" t="s">
        <v>3253</v>
      </c>
      <c r="D99" s="3231" t="s">
        <v>923</v>
      </c>
      <c r="E99" s="3231">
        <v>3</v>
      </c>
      <c r="F99" s="3231">
        <v>1</v>
      </c>
      <c r="G99" s="3233">
        <v>510.2</v>
      </c>
      <c r="H99" s="3231">
        <f>G99</f>
        <v>510.2</v>
      </c>
      <c r="I99" s="3234">
        <f>G99*F99</f>
        <v>510.2</v>
      </c>
      <c r="J99" s="3231">
        <f>H99*F99</f>
        <v>510.2</v>
      </c>
      <c r="K99" s="3216"/>
      <c r="L99" s="3218"/>
      <c r="M99" s="3218"/>
      <c r="N99" s="3219">
        <v>4</v>
      </c>
      <c r="O99" s="3237"/>
      <c r="P99" s="3237"/>
      <c r="Q99" s="3237"/>
      <c r="R99" s="3237"/>
      <c r="S99" s="3237"/>
      <c r="T99" s="3237"/>
      <c r="U99" s="3237"/>
    </row>
    <row r="100" spans="1:21" ht="14.25">
      <c r="A100" s="3865"/>
      <c r="B100" s="3875" t="s">
        <v>3258</v>
      </c>
      <c r="C100" s="3876"/>
      <c r="D100" s="3231"/>
      <c r="E100" s="3232"/>
      <c r="F100" s="3231">
        <f>F98+F97+F96+F95+F99</f>
        <v>8</v>
      </c>
      <c r="G100" s="3233"/>
      <c r="H100" s="3231"/>
      <c r="I100" s="3234">
        <f>SUM(I95:I99)</f>
        <v>4332.1600000000008</v>
      </c>
      <c r="J100" s="3231">
        <f>SUM(J95:J99)</f>
        <v>4332.1600000000008</v>
      </c>
      <c r="K100" s="3216"/>
      <c r="L100" s="3218"/>
      <c r="M100" s="3218"/>
      <c r="N100" s="3240">
        <f>SUM(N95:N99)</f>
        <v>32</v>
      </c>
      <c r="O100" s="3237"/>
      <c r="P100" s="3237"/>
      <c r="Q100" s="3237"/>
      <c r="R100" s="3237"/>
      <c r="S100" s="3237"/>
      <c r="T100" s="3237"/>
      <c r="U100" s="3237"/>
    </row>
    <row r="101" spans="1:21" ht="14.25">
      <c r="A101" s="3886" t="s">
        <v>3263</v>
      </c>
      <c r="B101" s="3886" t="s">
        <v>3255</v>
      </c>
      <c r="C101" s="3886" t="s">
        <v>3256</v>
      </c>
      <c r="D101" s="3250" t="s">
        <v>3257</v>
      </c>
      <c r="E101" s="3251">
        <v>4.8</v>
      </c>
      <c r="F101" s="3886">
        <v>1</v>
      </c>
      <c r="G101" s="3250">
        <v>572.5</v>
      </c>
      <c r="H101" s="3250">
        <f>G101</f>
        <v>572.5</v>
      </c>
      <c r="I101" s="3227">
        <f t="shared" ref="I101:J105" si="7">G101</f>
        <v>572.5</v>
      </c>
      <c r="J101" s="3250">
        <f t="shared" si="7"/>
        <v>572.5</v>
      </c>
      <c r="K101" s="3252"/>
      <c r="L101" s="3253">
        <f>I102+I104+I106+I108+I110</f>
        <v>6206.18</v>
      </c>
      <c r="M101" s="3253" t="s">
        <v>3250</v>
      </c>
      <c r="N101" s="3254"/>
      <c r="O101" s="3255"/>
      <c r="P101" s="3255"/>
      <c r="Q101" s="3256" t="s">
        <v>923</v>
      </c>
      <c r="R101" s="3256">
        <f>I102+I104+I106+I108+I110</f>
        <v>6206.18</v>
      </c>
      <c r="S101" s="3255"/>
      <c r="T101" s="3255"/>
      <c r="U101" s="3255"/>
    </row>
    <row r="102" spans="1:21" ht="14.25">
      <c r="A102" s="3888"/>
      <c r="B102" s="3888"/>
      <c r="C102" s="3888"/>
      <c r="D102" s="3250" t="s">
        <v>3250</v>
      </c>
      <c r="E102" s="3264">
        <v>3</v>
      </c>
      <c r="F102" s="3888"/>
      <c r="G102" s="3250">
        <v>914.2</v>
      </c>
      <c r="H102" s="3250">
        <v>914.2</v>
      </c>
      <c r="I102" s="3227">
        <f t="shared" si="7"/>
        <v>914.2</v>
      </c>
      <c r="J102" s="3250">
        <f t="shared" si="7"/>
        <v>914.2</v>
      </c>
      <c r="K102" s="3252"/>
      <c r="L102" s="3253">
        <f>I101+I103+I105+I107+I109+I111</f>
        <v>582.7399999999999</v>
      </c>
      <c r="M102" s="3253" t="s">
        <v>3257</v>
      </c>
      <c r="N102" s="3254">
        <v>6</v>
      </c>
      <c r="O102" s="3255"/>
      <c r="P102" s="3255"/>
      <c r="Q102" s="3256" t="s">
        <v>2997</v>
      </c>
      <c r="R102" s="3256">
        <f>I101</f>
        <v>572.5</v>
      </c>
      <c r="S102" s="3255"/>
      <c r="T102" s="3255"/>
      <c r="U102" s="3255"/>
    </row>
    <row r="103" spans="1:21" ht="14.25">
      <c r="A103" s="3888"/>
      <c r="B103" s="3888"/>
      <c r="C103" s="3887"/>
      <c r="D103" s="3250" t="s">
        <v>3248</v>
      </c>
      <c r="E103" s="3264"/>
      <c r="F103" s="3887"/>
      <c r="G103" s="3250">
        <v>1.28</v>
      </c>
      <c r="H103" s="3250">
        <f>G103</f>
        <v>1.28</v>
      </c>
      <c r="I103" s="3227">
        <f t="shared" si="7"/>
        <v>1.28</v>
      </c>
      <c r="J103" s="3250">
        <f t="shared" si="7"/>
        <v>1.28</v>
      </c>
      <c r="K103" s="3252"/>
      <c r="L103" s="3253"/>
      <c r="M103" s="3253"/>
      <c r="N103" s="3254"/>
      <c r="O103" s="3255"/>
      <c r="P103" s="3255"/>
      <c r="Q103" s="3256" t="s">
        <v>3200</v>
      </c>
      <c r="R103" s="3256">
        <f>I103+I105+I107+I109+I111</f>
        <v>10.24</v>
      </c>
      <c r="S103" s="3255"/>
      <c r="T103" s="3255"/>
      <c r="U103" s="3255"/>
    </row>
    <row r="104" spans="1:21" ht="14.25">
      <c r="A104" s="3888"/>
      <c r="B104" s="3888"/>
      <c r="C104" s="3886" t="s">
        <v>3249</v>
      </c>
      <c r="D104" s="3250" t="s">
        <v>3250</v>
      </c>
      <c r="E104" s="3886">
        <v>3</v>
      </c>
      <c r="F104" s="3886">
        <v>1</v>
      </c>
      <c r="G104" s="3250">
        <v>783.1</v>
      </c>
      <c r="H104" s="3250">
        <v>783.1</v>
      </c>
      <c r="I104" s="3227">
        <f t="shared" si="7"/>
        <v>783.1</v>
      </c>
      <c r="J104" s="3250">
        <f t="shared" si="7"/>
        <v>783.1</v>
      </c>
      <c r="K104" s="3252"/>
      <c r="L104" s="3253"/>
      <c r="M104" s="3253"/>
      <c r="N104" s="3254"/>
      <c r="O104" s="3255"/>
      <c r="P104" s="3255"/>
      <c r="Q104" s="3255"/>
      <c r="R104" s="3255"/>
      <c r="S104" s="3255"/>
      <c r="T104" s="3255"/>
      <c r="U104" s="3255"/>
    </row>
    <row r="105" spans="1:21" ht="14.25">
      <c r="A105" s="3888"/>
      <c r="B105" s="3888"/>
      <c r="C105" s="3887"/>
      <c r="D105" s="3250" t="s">
        <v>3248</v>
      </c>
      <c r="E105" s="3887"/>
      <c r="F105" s="3887"/>
      <c r="G105" s="3250">
        <v>1.28</v>
      </c>
      <c r="H105" s="3250">
        <f>G105</f>
        <v>1.28</v>
      </c>
      <c r="I105" s="3227">
        <f t="shared" si="7"/>
        <v>1.28</v>
      </c>
      <c r="J105" s="3250">
        <f t="shared" si="7"/>
        <v>1.28</v>
      </c>
      <c r="K105" s="3252"/>
      <c r="L105" s="3253"/>
      <c r="M105" s="3253"/>
      <c r="N105" s="3254">
        <v>6</v>
      </c>
      <c r="O105" s="3255"/>
      <c r="P105" s="3255"/>
      <c r="Q105" s="3255"/>
      <c r="R105" s="3255"/>
      <c r="S105" s="3255"/>
      <c r="T105" s="3255"/>
      <c r="U105" s="3255"/>
    </row>
    <row r="106" spans="1:21" ht="14.25">
      <c r="A106" s="3888"/>
      <c r="B106" s="3888"/>
      <c r="C106" s="3886" t="s">
        <v>3251</v>
      </c>
      <c r="D106" s="3250" t="s">
        <v>923</v>
      </c>
      <c r="E106" s="3886">
        <v>3</v>
      </c>
      <c r="F106" s="3886">
        <v>1</v>
      </c>
      <c r="G106" s="3250">
        <v>751.48</v>
      </c>
      <c r="H106" s="3250">
        <v>751.48</v>
      </c>
      <c r="I106" s="3227">
        <f>G106</f>
        <v>751.48</v>
      </c>
      <c r="J106" s="3250">
        <f>H106*F106</f>
        <v>751.48</v>
      </c>
      <c r="K106" s="3252"/>
      <c r="L106" s="3253"/>
      <c r="M106" s="3253"/>
      <c r="N106" s="3255"/>
      <c r="O106" s="3254"/>
      <c r="P106" s="3255"/>
      <c r="Q106" s="3255"/>
      <c r="R106" s="3255"/>
      <c r="S106" s="3255"/>
      <c r="T106" s="3255"/>
      <c r="U106" s="3255"/>
    </row>
    <row r="107" spans="1:21" ht="14.25">
      <c r="A107" s="3888"/>
      <c r="B107" s="3888"/>
      <c r="C107" s="3887"/>
      <c r="D107" s="3250" t="s">
        <v>3248</v>
      </c>
      <c r="E107" s="3887"/>
      <c r="F107" s="3887"/>
      <c r="G107" s="3250">
        <v>1.28</v>
      </c>
      <c r="H107" s="3250">
        <f>G107</f>
        <v>1.28</v>
      </c>
      <c r="I107" s="3227">
        <f>G107</f>
        <v>1.28</v>
      </c>
      <c r="J107" s="3250">
        <f>H107</f>
        <v>1.28</v>
      </c>
      <c r="K107" s="3252"/>
      <c r="L107" s="3253"/>
      <c r="M107" s="3253"/>
      <c r="N107" s="3255">
        <v>6</v>
      </c>
      <c r="O107" s="3254"/>
      <c r="P107" s="3255"/>
      <c r="Q107" s="3255"/>
      <c r="R107" s="3255"/>
      <c r="S107" s="3255"/>
      <c r="T107" s="3255"/>
      <c r="U107" s="3255"/>
    </row>
    <row r="108" spans="1:21" ht="14.25">
      <c r="A108" s="3888"/>
      <c r="B108" s="3888"/>
      <c r="C108" s="3886" t="s">
        <v>3252</v>
      </c>
      <c r="D108" s="3250" t="s">
        <v>923</v>
      </c>
      <c r="E108" s="3886">
        <v>3</v>
      </c>
      <c r="F108" s="3886">
        <v>4</v>
      </c>
      <c r="G108" s="3250">
        <v>751.48</v>
      </c>
      <c r="H108" s="3250">
        <v>751.48</v>
      </c>
      <c r="I108" s="3227">
        <f>G108*F108</f>
        <v>3005.92</v>
      </c>
      <c r="J108" s="3250">
        <f>H108*F108</f>
        <v>3005.92</v>
      </c>
      <c r="K108" s="3252"/>
      <c r="L108" s="3253"/>
      <c r="M108" s="3253"/>
      <c r="N108" s="3255"/>
      <c r="O108" s="3254"/>
      <c r="P108" s="3255"/>
      <c r="Q108" s="3255"/>
      <c r="R108" s="3255"/>
      <c r="S108" s="3255"/>
      <c r="T108" s="3255"/>
      <c r="U108" s="3255"/>
    </row>
    <row r="109" spans="1:21" ht="14.25">
      <c r="A109" s="3888"/>
      <c r="B109" s="3888"/>
      <c r="C109" s="3887"/>
      <c r="D109" s="3250" t="s">
        <v>3248</v>
      </c>
      <c r="E109" s="3887"/>
      <c r="F109" s="3887"/>
      <c r="G109" s="3250">
        <v>1.28</v>
      </c>
      <c r="H109" s="3250">
        <f>G109</f>
        <v>1.28</v>
      </c>
      <c r="I109" s="3227">
        <f>G109*F108</f>
        <v>5.12</v>
      </c>
      <c r="J109" s="3250">
        <f>H109*F108</f>
        <v>5.12</v>
      </c>
      <c r="K109" s="3252"/>
      <c r="L109" s="3253"/>
      <c r="M109" s="3253"/>
      <c r="N109" s="3255">
        <f>6*F108</f>
        <v>24</v>
      </c>
      <c r="O109" s="3254"/>
      <c r="P109" s="3255"/>
      <c r="Q109" s="3255"/>
      <c r="R109" s="3255"/>
      <c r="S109" s="3255"/>
      <c r="T109" s="3255"/>
      <c r="U109" s="3255"/>
    </row>
    <row r="110" spans="1:21" ht="14.25">
      <c r="A110" s="3888"/>
      <c r="B110" s="3888"/>
      <c r="C110" s="3886" t="s">
        <v>3253</v>
      </c>
      <c r="D110" s="3250" t="s">
        <v>923</v>
      </c>
      <c r="E110" s="3886">
        <v>3</v>
      </c>
      <c r="F110" s="3886">
        <v>1</v>
      </c>
      <c r="G110" s="3250">
        <v>751.48</v>
      </c>
      <c r="H110" s="3250">
        <v>751.48</v>
      </c>
      <c r="I110" s="3227">
        <f>G110*F110</f>
        <v>751.48</v>
      </c>
      <c r="J110" s="3250">
        <f>H110*1</f>
        <v>751.48</v>
      </c>
      <c r="K110" s="3252"/>
      <c r="L110" s="3253"/>
      <c r="M110" s="3253"/>
      <c r="N110" s="3255"/>
      <c r="O110" s="3254"/>
      <c r="P110" s="3255"/>
      <c r="Q110" s="3255"/>
      <c r="R110" s="3255"/>
      <c r="S110" s="3255"/>
      <c r="T110" s="3255"/>
      <c r="U110" s="3255"/>
    </row>
    <row r="111" spans="1:21" ht="14.25">
      <c r="A111" s="3888"/>
      <c r="B111" s="3887"/>
      <c r="C111" s="3887"/>
      <c r="D111" s="3250" t="s">
        <v>3248</v>
      </c>
      <c r="E111" s="3887"/>
      <c r="F111" s="3887"/>
      <c r="G111" s="3250">
        <v>1.28</v>
      </c>
      <c r="H111" s="3250">
        <f>G111</f>
        <v>1.28</v>
      </c>
      <c r="I111" s="3227">
        <f>G111*F110</f>
        <v>1.28</v>
      </c>
      <c r="J111" s="3250">
        <f>H111*F110</f>
        <v>1.28</v>
      </c>
      <c r="K111" s="3252"/>
      <c r="L111" s="3253"/>
      <c r="M111" s="3253"/>
      <c r="N111" s="3255">
        <v>6</v>
      </c>
      <c r="O111" s="3254"/>
      <c r="P111" s="3255"/>
      <c r="Q111" s="3255"/>
      <c r="R111" s="3255"/>
      <c r="S111" s="3255"/>
      <c r="T111" s="3255"/>
      <c r="U111" s="3255"/>
    </row>
    <row r="112" spans="1:21" ht="14.25">
      <c r="A112" s="3887"/>
      <c r="B112" s="3884" t="s">
        <v>27</v>
      </c>
      <c r="C112" s="3884"/>
      <c r="D112" s="3250"/>
      <c r="E112" s="3250"/>
      <c r="F112" s="3250">
        <f>F101+F104+F106+F108+F110</f>
        <v>8</v>
      </c>
      <c r="G112" s="3250"/>
      <c r="H112" s="3250"/>
      <c r="I112" s="3227">
        <f>SUM(I101:I111)</f>
        <v>6788.920000000001</v>
      </c>
      <c r="J112" s="3250">
        <f>SUM(J101:J111)</f>
        <v>6788.920000000001</v>
      </c>
      <c r="K112" s="3252"/>
      <c r="L112" s="3253"/>
      <c r="M112" s="3253"/>
      <c r="N112" s="3255">
        <f>SUM(N102:N111)</f>
        <v>48</v>
      </c>
      <c r="O112" s="3254"/>
      <c r="P112" s="3255"/>
      <c r="Q112" s="3255"/>
      <c r="R112" s="3255"/>
      <c r="S112" s="3255"/>
      <c r="T112" s="3255"/>
      <c r="U112" s="3255"/>
    </row>
    <row r="113" spans="1:21" ht="14.25">
      <c r="A113" s="3882" t="s">
        <v>3264</v>
      </c>
      <c r="B113" s="3882" t="s">
        <v>3255</v>
      </c>
      <c r="C113" s="3882" t="s">
        <v>3256</v>
      </c>
      <c r="D113" s="3257" t="s">
        <v>3257</v>
      </c>
      <c r="E113" s="3258">
        <v>4.8</v>
      </c>
      <c r="F113" s="3882">
        <v>1</v>
      </c>
      <c r="G113" s="3257">
        <v>1357.1</v>
      </c>
      <c r="H113" s="3257">
        <f>G113</f>
        <v>1357.1</v>
      </c>
      <c r="I113" s="3227">
        <f t="shared" ref="I113:J116" si="8">G113</f>
        <v>1357.1</v>
      </c>
      <c r="J113" s="3257">
        <f t="shared" si="8"/>
        <v>1357.1</v>
      </c>
      <c r="K113" s="3259"/>
      <c r="L113" s="3260">
        <f>I114+I116+I118+I120+I122</f>
        <v>4730.34</v>
      </c>
      <c r="M113" s="3260" t="s">
        <v>3250</v>
      </c>
      <c r="N113" s="3261"/>
      <c r="O113" s="3262"/>
      <c r="P113" s="3262"/>
      <c r="Q113" s="3256" t="s">
        <v>923</v>
      </c>
      <c r="R113" s="3256">
        <f>I116+I118+I120+I122</f>
        <v>4540.5</v>
      </c>
      <c r="S113" s="3262"/>
      <c r="T113" s="3262"/>
      <c r="U113" s="3262"/>
    </row>
    <row r="114" spans="1:21" ht="14.25">
      <c r="A114" s="3885"/>
      <c r="B114" s="3885"/>
      <c r="C114" s="3885"/>
      <c r="D114" s="3257" t="s">
        <v>3265</v>
      </c>
      <c r="E114" s="3263">
        <v>3</v>
      </c>
      <c r="F114" s="3885"/>
      <c r="G114" s="3257">
        <v>189.84</v>
      </c>
      <c r="H114" s="3257">
        <f>G114</f>
        <v>189.84</v>
      </c>
      <c r="I114" s="3227">
        <f t="shared" si="8"/>
        <v>189.84</v>
      </c>
      <c r="J114" s="3257">
        <f t="shared" si="8"/>
        <v>189.84</v>
      </c>
      <c r="K114" s="3259"/>
      <c r="L114" s="3260">
        <f>I113+I117+I119+I121+I123</f>
        <v>1364.7799999999997</v>
      </c>
      <c r="M114" s="3260" t="s">
        <v>3257</v>
      </c>
      <c r="N114" s="3261">
        <v>0</v>
      </c>
      <c r="O114" s="3262"/>
      <c r="P114" s="3262"/>
      <c r="Q114" s="3256" t="s">
        <v>2997</v>
      </c>
      <c r="R114" s="3256">
        <f>I113</f>
        <v>1357.1</v>
      </c>
      <c r="S114" s="3262"/>
      <c r="T114" s="3262"/>
      <c r="U114" s="3262"/>
    </row>
    <row r="115" spans="1:21" ht="14.25">
      <c r="A115" s="3885"/>
      <c r="B115" s="3885"/>
      <c r="C115" s="3883"/>
      <c r="D115" s="3257" t="s">
        <v>3266</v>
      </c>
      <c r="E115" s="3263">
        <v>3</v>
      </c>
      <c r="F115" s="3883"/>
      <c r="G115" s="3257">
        <v>141.87</v>
      </c>
      <c r="H115" s="3257">
        <v>0</v>
      </c>
      <c r="I115" s="3227">
        <f t="shared" si="8"/>
        <v>141.87</v>
      </c>
      <c r="J115" s="3257">
        <f t="shared" si="8"/>
        <v>0</v>
      </c>
      <c r="K115" s="3259"/>
      <c r="L115" s="3260">
        <f>I115</f>
        <v>141.87</v>
      </c>
      <c r="M115" s="3265" t="s">
        <v>3267</v>
      </c>
      <c r="N115" s="3261"/>
      <c r="O115" s="3262">
        <f>I124-J124</f>
        <v>141.8700000000008</v>
      </c>
      <c r="P115" s="3262"/>
      <c r="Q115" s="3256" t="s">
        <v>3200</v>
      </c>
      <c r="R115" s="3256">
        <f>I114+I115+I117+I119+I121+I123</f>
        <v>339.38999999999993</v>
      </c>
      <c r="S115" s="3262"/>
      <c r="T115" s="3262"/>
      <c r="U115" s="3262"/>
    </row>
    <row r="116" spans="1:21" ht="14.25">
      <c r="A116" s="3885"/>
      <c r="B116" s="3885"/>
      <c r="C116" s="3882" t="s">
        <v>3249</v>
      </c>
      <c r="D116" s="3257" t="s">
        <v>3250</v>
      </c>
      <c r="E116" s="3882">
        <v>3</v>
      </c>
      <c r="F116" s="3882">
        <v>1</v>
      </c>
      <c r="G116" s="3257">
        <v>783.1</v>
      </c>
      <c r="H116" s="3257">
        <v>783.1</v>
      </c>
      <c r="I116" s="3227">
        <f t="shared" si="8"/>
        <v>783.1</v>
      </c>
      <c r="J116" s="3257">
        <f t="shared" si="8"/>
        <v>783.1</v>
      </c>
      <c r="K116" s="3259"/>
      <c r="L116" s="3260"/>
      <c r="M116" s="3260"/>
      <c r="N116" s="3261"/>
      <c r="O116" s="3262"/>
      <c r="P116" s="3262"/>
      <c r="Q116" s="3262"/>
      <c r="R116" s="3262"/>
      <c r="S116" s="3262"/>
      <c r="T116" s="3262"/>
      <c r="U116" s="3262"/>
    </row>
    <row r="117" spans="1:21" ht="14.25">
      <c r="A117" s="3885"/>
      <c r="B117" s="3885"/>
      <c r="C117" s="3883"/>
      <c r="D117" s="3257" t="s">
        <v>3248</v>
      </c>
      <c r="E117" s="3883"/>
      <c r="F117" s="3883"/>
      <c r="G117" s="3257">
        <v>1.28</v>
      </c>
      <c r="H117" s="3257">
        <f>G117</f>
        <v>1.28</v>
      </c>
      <c r="I117" s="3227">
        <f>G117*F116</f>
        <v>1.28</v>
      </c>
      <c r="J117" s="3257">
        <f>H117*F116</f>
        <v>1.28</v>
      </c>
      <c r="K117" s="3259"/>
      <c r="L117" s="3260"/>
      <c r="M117" s="3260"/>
      <c r="N117" s="3261">
        <v>6</v>
      </c>
      <c r="O117" s="3262"/>
      <c r="P117" s="3262"/>
      <c r="Q117" s="3262"/>
      <c r="R117" s="3262"/>
      <c r="S117" s="3262"/>
      <c r="T117" s="3262"/>
      <c r="U117" s="3262"/>
    </row>
    <row r="118" spans="1:21" ht="14.25">
      <c r="A118" s="3885"/>
      <c r="B118" s="3885"/>
      <c r="C118" s="3882" t="s">
        <v>3251</v>
      </c>
      <c r="D118" s="3257" t="s">
        <v>923</v>
      </c>
      <c r="E118" s="3882">
        <v>3</v>
      </c>
      <c r="F118" s="3882">
        <v>1</v>
      </c>
      <c r="G118" s="3257">
        <v>751.48</v>
      </c>
      <c r="H118" s="3257">
        <v>751.48</v>
      </c>
      <c r="I118" s="3227">
        <f>G118</f>
        <v>751.48</v>
      </c>
      <c r="J118" s="3257">
        <f>H118*F118</f>
        <v>751.48</v>
      </c>
      <c r="K118" s="3259"/>
      <c r="L118" s="3260"/>
      <c r="M118" s="3260"/>
      <c r="N118" s="3262"/>
      <c r="O118" s="3261"/>
      <c r="P118" s="3262"/>
      <c r="Q118" s="3262"/>
      <c r="R118" s="3262"/>
      <c r="S118" s="3262"/>
      <c r="T118" s="3262"/>
      <c r="U118" s="3262"/>
    </row>
    <row r="119" spans="1:21" ht="14.25">
      <c r="A119" s="3885"/>
      <c r="B119" s="3885"/>
      <c r="C119" s="3883"/>
      <c r="D119" s="3257" t="s">
        <v>3248</v>
      </c>
      <c r="E119" s="3883"/>
      <c r="F119" s="3883"/>
      <c r="G119" s="3257">
        <v>1.28</v>
      </c>
      <c r="H119" s="3257">
        <f>G119</f>
        <v>1.28</v>
      </c>
      <c r="I119" s="3227">
        <f>G119</f>
        <v>1.28</v>
      </c>
      <c r="J119" s="3257">
        <f>H119</f>
        <v>1.28</v>
      </c>
      <c r="K119" s="3259"/>
      <c r="L119" s="3260"/>
      <c r="M119" s="3260"/>
      <c r="N119" s="3262">
        <v>6</v>
      </c>
      <c r="O119" s="3261"/>
      <c r="P119" s="3262"/>
      <c r="Q119" s="3262"/>
      <c r="R119" s="3262"/>
      <c r="S119" s="3262"/>
      <c r="T119" s="3262"/>
      <c r="U119" s="3262"/>
    </row>
    <row r="120" spans="1:21" ht="14.25">
      <c r="A120" s="3885"/>
      <c r="B120" s="3885"/>
      <c r="C120" s="3882" t="s">
        <v>3268</v>
      </c>
      <c r="D120" s="3257" t="s">
        <v>923</v>
      </c>
      <c r="E120" s="3882">
        <v>3</v>
      </c>
      <c r="F120" s="3882">
        <v>3</v>
      </c>
      <c r="G120" s="3257">
        <v>751.48</v>
      </c>
      <c r="H120" s="3257">
        <v>751.48</v>
      </c>
      <c r="I120" s="3227">
        <f>G120*F120</f>
        <v>2254.44</v>
      </c>
      <c r="J120" s="3257">
        <f>H120*F120</f>
        <v>2254.44</v>
      </c>
      <c r="K120" s="3259"/>
      <c r="L120" s="3260"/>
      <c r="M120" s="3260"/>
      <c r="N120" s="3262"/>
      <c r="O120" s="3261"/>
      <c r="P120" s="3262"/>
      <c r="Q120" s="3262"/>
      <c r="R120" s="3262"/>
      <c r="S120" s="3262"/>
      <c r="T120" s="3262"/>
      <c r="U120" s="3262"/>
    </row>
    <row r="121" spans="1:21" ht="14.25">
      <c r="A121" s="3885"/>
      <c r="B121" s="3885"/>
      <c r="C121" s="3883"/>
      <c r="D121" s="3257" t="s">
        <v>3248</v>
      </c>
      <c r="E121" s="3883"/>
      <c r="F121" s="3883"/>
      <c r="G121" s="3257">
        <v>1.28</v>
      </c>
      <c r="H121" s="3257">
        <f>G121</f>
        <v>1.28</v>
      </c>
      <c r="I121" s="3227">
        <f>G121*F120</f>
        <v>3.84</v>
      </c>
      <c r="J121" s="3257">
        <f>H121*F120</f>
        <v>3.84</v>
      </c>
      <c r="K121" s="3259"/>
      <c r="L121" s="3260"/>
      <c r="M121" s="3260"/>
      <c r="N121" s="3262">
        <f>6*F120</f>
        <v>18</v>
      </c>
      <c r="O121" s="3261"/>
      <c r="P121" s="3262"/>
      <c r="Q121" s="3262"/>
      <c r="R121" s="3262"/>
      <c r="S121" s="3262"/>
      <c r="T121" s="3262"/>
      <c r="U121" s="3262"/>
    </row>
    <row r="122" spans="1:21" ht="14.25">
      <c r="A122" s="3885"/>
      <c r="B122" s="3885"/>
      <c r="C122" s="3882" t="s">
        <v>3269</v>
      </c>
      <c r="D122" s="3257" t="s">
        <v>923</v>
      </c>
      <c r="E122" s="3882">
        <v>3</v>
      </c>
      <c r="F122" s="3882">
        <v>1</v>
      </c>
      <c r="G122" s="3257">
        <v>751.48</v>
      </c>
      <c r="H122" s="3257">
        <v>751.48</v>
      </c>
      <c r="I122" s="3227">
        <f>G122*F122</f>
        <v>751.48</v>
      </c>
      <c r="J122" s="3257">
        <f>H122*1</f>
        <v>751.48</v>
      </c>
      <c r="K122" s="3259"/>
      <c r="L122" s="3260"/>
      <c r="M122" s="3260"/>
      <c r="N122" s="3262"/>
      <c r="O122" s="3261"/>
      <c r="P122" s="3262"/>
      <c r="Q122" s="3262"/>
      <c r="R122" s="3262"/>
      <c r="S122" s="3262"/>
      <c r="T122" s="3262"/>
      <c r="U122" s="3262"/>
    </row>
    <row r="123" spans="1:21" ht="14.25">
      <c r="A123" s="3885"/>
      <c r="B123" s="3883"/>
      <c r="C123" s="3883"/>
      <c r="D123" s="3257" t="s">
        <v>3248</v>
      </c>
      <c r="E123" s="3883"/>
      <c r="F123" s="3883"/>
      <c r="G123" s="3257">
        <v>1.28</v>
      </c>
      <c r="H123" s="3257">
        <f>G123</f>
        <v>1.28</v>
      </c>
      <c r="I123" s="3227">
        <f>G123*F122</f>
        <v>1.28</v>
      </c>
      <c r="J123" s="3257">
        <f>H123*F122</f>
        <v>1.28</v>
      </c>
      <c r="K123" s="3259"/>
      <c r="L123" s="3260"/>
      <c r="M123" s="3260"/>
      <c r="N123" s="3262">
        <v>6</v>
      </c>
      <c r="O123" s="3261"/>
      <c r="P123" s="3262"/>
      <c r="Q123" s="3262"/>
      <c r="R123" s="3262"/>
      <c r="S123" s="3262"/>
      <c r="T123" s="3262"/>
      <c r="U123" s="3262"/>
    </row>
    <row r="124" spans="1:21" ht="14.25">
      <c r="A124" s="3883"/>
      <c r="B124" s="3879" t="s">
        <v>27</v>
      </c>
      <c r="C124" s="3879"/>
      <c r="D124" s="3257"/>
      <c r="E124" s="3257"/>
      <c r="F124" s="3257">
        <f>F113+F116+F118+F120+F122</f>
        <v>7</v>
      </c>
      <c r="G124" s="3257"/>
      <c r="H124" s="3257"/>
      <c r="I124" s="3227">
        <f>SUM(I113:I123)</f>
        <v>6236.9900000000007</v>
      </c>
      <c r="J124" s="3257">
        <f>SUM(J113:J123)</f>
        <v>6095.12</v>
      </c>
      <c r="K124" s="3259"/>
      <c r="L124" s="3260"/>
      <c r="M124" s="3260"/>
      <c r="N124" s="3262">
        <f>SUM(N114:N123)</f>
        <v>36</v>
      </c>
      <c r="O124" s="3261"/>
      <c r="P124" s="3262"/>
      <c r="Q124" s="3262"/>
      <c r="R124" s="3262"/>
      <c r="S124" s="3262"/>
      <c r="T124" s="3262"/>
      <c r="U124" s="3262"/>
    </row>
    <row r="125" spans="1:21" ht="14.25">
      <c r="A125" s="3863" t="s">
        <v>3270</v>
      </c>
      <c r="B125" s="3866" t="s">
        <v>3255</v>
      </c>
      <c r="C125" s="3857" t="s">
        <v>3256</v>
      </c>
      <c r="D125" s="3225" t="s">
        <v>3257</v>
      </c>
      <c r="E125" s="3266">
        <v>4.8</v>
      </c>
      <c r="F125" s="3866">
        <v>1</v>
      </c>
      <c r="G125" s="3226">
        <v>945.54</v>
      </c>
      <c r="H125" s="3225">
        <f>G125</f>
        <v>945.54</v>
      </c>
      <c r="I125" s="3227">
        <f t="shared" ref="I125:J129" si="9">G125</f>
        <v>945.54</v>
      </c>
      <c r="J125" s="3225">
        <f t="shared" si="9"/>
        <v>945.54</v>
      </c>
      <c r="K125" s="3216"/>
      <c r="L125" s="3217">
        <f>I127+I128+I130+I132+I134</f>
        <v>3656.58</v>
      </c>
      <c r="M125" s="3218" t="s">
        <v>3250</v>
      </c>
      <c r="N125" s="3219"/>
      <c r="O125" s="3237"/>
      <c r="P125" s="3237"/>
      <c r="Q125" s="3238" t="s">
        <v>923</v>
      </c>
      <c r="R125" s="3238">
        <f>I128+I130+I132+I134</f>
        <v>3529.8999999999996</v>
      </c>
      <c r="S125" s="3237"/>
      <c r="T125" s="3237"/>
      <c r="U125" s="3237"/>
    </row>
    <row r="126" spans="1:21" ht="14.25">
      <c r="A126" s="3864"/>
      <c r="B126" s="3871"/>
      <c r="C126" s="3857"/>
      <c r="D126" s="3225" t="s">
        <v>3266</v>
      </c>
      <c r="E126" s="3266">
        <v>6</v>
      </c>
      <c r="F126" s="3871"/>
      <c r="G126" s="3226">
        <v>97.49</v>
      </c>
      <c r="H126" s="3225">
        <v>0</v>
      </c>
      <c r="I126" s="3227">
        <f t="shared" si="9"/>
        <v>97.49</v>
      </c>
      <c r="J126" s="3225">
        <f t="shared" si="9"/>
        <v>0</v>
      </c>
      <c r="K126" s="3216"/>
      <c r="L126" s="3218">
        <f>I125+I129+I131+I133+I135</f>
        <v>954.49999999999989</v>
      </c>
      <c r="M126" s="3218" t="s">
        <v>3257</v>
      </c>
      <c r="N126" s="3219"/>
      <c r="O126" s="3237">
        <f>I136-J136</f>
        <v>97.489999999999782</v>
      </c>
      <c r="P126" s="3237"/>
      <c r="Q126" s="3238" t="s">
        <v>2997</v>
      </c>
      <c r="R126" s="3238">
        <f>I125</f>
        <v>945.54</v>
      </c>
      <c r="S126" s="3237"/>
      <c r="T126" s="3237"/>
      <c r="U126" s="3237"/>
    </row>
    <row r="127" spans="1:21" ht="14.25">
      <c r="A127" s="3864"/>
      <c r="B127" s="3871"/>
      <c r="C127" s="3857"/>
      <c r="D127" s="3225" t="s">
        <v>3265</v>
      </c>
      <c r="E127" s="3266">
        <v>3</v>
      </c>
      <c r="F127" s="3871"/>
      <c r="G127" s="3226">
        <v>126.68</v>
      </c>
      <c r="H127" s="3225">
        <f>G127</f>
        <v>126.68</v>
      </c>
      <c r="I127" s="3227">
        <f t="shared" si="9"/>
        <v>126.68</v>
      </c>
      <c r="J127" s="3225">
        <f t="shared" si="9"/>
        <v>126.68</v>
      </c>
      <c r="K127" s="3216"/>
      <c r="L127" s="3218">
        <f>I126</f>
        <v>97.49</v>
      </c>
      <c r="M127" s="3267" t="s">
        <v>3267</v>
      </c>
      <c r="N127" s="3219">
        <v>0</v>
      </c>
      <c r="O127" s="3237"/>
      <c r="P127" s="3237"/>
      <c r="Q127" s="3238" t="s">
        <v>3200</v>
      </c>
      <c r="R127" s="3238">
        <f>I126+I127+I129+I131+I133+I135</f>
        <v>233.13000000000002</v>
      </c>
      <c r="S127" s="3237"/>
      <c r="T127" s="3237"/>
      <c r="U127" s="3237"/>
    </row>
    <row r="128" spans="1:21" ht="14.25">
      <c r="A128" s="3864"/>
      <c r="B128" s="3871"/>
      <c r="C128" s="3871" t="s">
        <v>3249</v>
      </c>
      <c r="D128" s="3225" t="s">
        <v>3250</v>
      </c>
      <c r="E128" s="3880">
        <v>3</v>
      </c>
      <c r="F128" s="3871">
        <v>1</v>
      </c>
      <c r="G128" s="3226">
        <v>522.34</v>
      </c>
      <c r="H128" s="3225">
        <v>522.34</v>
      </c>
      <c r="I128" s="3227">
        <f t="shared" si="9"/>
        <v>522.34</v>
      </c>
      <c r="J128" s="3225">
        <f t="shared" si="9"/>
        <v>522.34</v>
      </c>
      <c r="K128" s="3216"/>
      <c r="L128" s="3218"/>
      <c r="M128" s="3218"/>
      <c r="N128" s="3219"/>
      <c r="O128" s="3237"/>
      <c r="P128" s="3237"/>
      <c r="Q128" s="3237"/>
      <c r="R128" s="3237"/>
      <c r="S128" s="3237"/>
      <c r="T128" s="3237"/>
      <c r="U128" s="3237"/>
    </row>
    <row r="129" spans="1:21" ht="14.25">
      <c r="A129" s="3864"/>
      <c r="B129" s="3871"/>
      <c r="C129" s="3867"/>
      <c r="D129" s="3225" t="s">
        <v>3248</v>
      </c>
      <c r="E129" s="3881"/>
      <c r="F129" s="3867"/>
      <c r="G129" s="3226">
        <v>1.28</v>
      </c>
      <c r="H129" s="3225">
        <v>1.28</v>
      </c>
      <c r="I129" s="3227">
        <f t="shared" si="9"/>
        <v>1.28</v>
      </c>
      <c r="J129" s="3225">
        <f t="shared" si="9"/>
        <v>1.28</v>
      </c>
      <c r="K129" s="3216"/>
      <c r="L129" s="3218"/>
      <c r="M129" s="3218"/>
      <c r="N129" s="3219">
        <v>4</v>
      </c>
      <c r="O129" s="3237"/>
      <c r="P129" s="3237"/>
      <c r="Q129" s="3237"/>
      <c r="R129" s="3237"/>
      <c r="S129" s="3237"/>
      <c r="T129" s="3237"/>
      <c r="U129" s="3237"/>
    </row>
    <row r="130" spans="1:21" ht="14.25">
      <c r="A130" s="3864"/>
      <c r="B130" s="3871"/>
      <c r="C130" s="3866" t="s">
        <v>3251</v>
      </c>
      <c r="D130" s="3225" t="s">
        <v>923</v>
      </c>
      <c r="E130" s="3866">
        <v>3</v>
      </c>
      <c r="F130" s="3866">
        <v>1</v>
      </c>
      <c r="G130" s="3226">
        <v>501.26</v>
      </c>
      <c r="H130" s="3225">
        <v>501.26</v>
      </c>
      <c r="I130" s="3227">
        <f>G130</f>
        <v>501.26</v>
      </c>
      <c r="J130" s="3225">
        <f>H130*F130</f>
        <v>501.26</v>
      </c>
      <c r="K130" s="3216"/>
      <c r="L130" s="3218"/>
      <c r="M130" s="3218"/>
      <c r="N130" s="3237"/>
      <c r="O130" s="3219"/>
      <c r="P130" s="3237"/>
      <c r="Q130" s="3237"/>
      <c r="R130" s="3237"/>
      <c r="S130" s="3237"/>
      <c r="T130" s="3237"/>
      <c r="U130" s="3237"/>
    </row>
    <row r="131" spans="1:21" ht="14.25">
      <c r="A131" s="3864"/>
      <c r="B131" s="3871"/>
      <c r="C131" s="3867"/>
      <c r="D131" s="3225" t="s">
        <v>3248</v>
      </c>
      <c r="E131" s="3867"/>
      <c r="F131" s="3867"/>
      <c r="G131" s="3226">
        <v>1.28</v>
      </c>
      <c r="H131" s="3225">
        <f>G131</f>
        <v>1.28</v>
      </c>
      <c r="I131" s="3227">
        <f>G131</f>
        <v>1.28</v>
      </c>
      <c r="J131" s="3225">
        <f>H131</f>
        <v>1.28</v>
      </c>
      <c r="K131" s="3216"/>
      <c r="L131" s="3218"/>
      <c r="M131" s="3218"/>
      <c r="N131" s="3237">
        <v>4</v>
      </c>
      <c r="O131" s="3219"/>
      <c r="P131" s="3237"/>
      <c r="Q131" s="3237"/>
      <c r="R131" s="3237"/>
      <c r="S131" s="3237"/>
      <c r="T131" s="3237"/>
      <c r="U131" s="3237"/>
    </row>
    <row r="132" spans="1:21" ht="14.25">
      <c r="A132" s="3864"/>
      <c r="B132" s="3871"/>
      <c r="C132" s="3866" t="s">
        <v>3252</v>
      </c>
      <c r="D132" s="3225" t="s">
        <v>923</v>
      </c>
      <c r="E132" s="3866">
        <v>3</v>
      </c>
      <c r="F132" s="3866">
        <v>4</v>
      </c>
      <c r="G132" s="3226">
        <v>501.26</v>
      </c>
      <c r="H132" s="3225">
        <v>501.26</v>
      </c>
      <c r="I132" s="3227">
        <f>G132*F132</f>
        <v>2005.04</v>
      </c>
      <c r="J132" s="3225">
        <f>H132*F132</f>
        <v>2005.04</v>
      </c>
      <c r="K132" s="3216"/>
      <c r="L132" s="3218"/>
      <c r="M132" s="3218"/>
      <c r="N132" s="3237"/>
      <c r="O132" s="3219"/>
      <c r="P132" s="3237"/>
      <c r="Q132" s="3237"/>
      <c r="R132" s="3237"/>
      <c r="S132" s="3237"/>
      <c r="T132" s="3237"/>
      <c r="U132" s="3237"/>
    </row>
    <row r="133" spans="1:21" ht="14.25">
      <c r="A133" s="3864"/>
      <c r="B133" s="3871"/>
      <c r="C133" s="3867"/>
      <c r="D133" s="3225" t="s">
        <v>3248</v>
      </c>
      <c r="E133" s="3867"/>
      <c r="F133" s="3867"/>
      <c r="G133" s="3226">
        <v>1.28</v>
      </c>
      <c r="H133" s="3225">
        <f>G133</f>
        <v>1.28</v>
      </c>
      <c r="I133" s="3227">
        <f>G133*F132</f>
        <v>5.12</v>
      </c>
      <c r="J133" s="3225">
        <f>H133*F132</f>
        <v>5.12</v>
      </c>
      <c r="K133" s="3216"/>
      <c r="L133" s="3218"/>
      <c r="M133" s="3218"/>
      <c r="N133" s="3237">
        <f>4*F132</f>
        <v>16</v>
      </c>
      <c r="O133" s="3219"/>
      <c r="P133" s="3268"/>
      <c r="Q133" s="3237"/>
      <c r="R133" s="3237"/>
      <c r="S133" s="3237"/>
      <c r="T133" s="3237"/>
      <c r="U133" s="3237"/>
    </row>
    <row r="134" spans="1:21" ht="14.25">
      <c r="A134" s="3864"/>
      <c r="B134" s="3871"/>
      <c r="C134" s="3866" t="s">
        <v>3253</v>
      </c>
      <c r="D134" s="3225" t="s">
        <v>923</v>
      </c>
      <c r="E134" s="3866">
        <v>3</v>
      </c>
      <c r="F134" s="3866">
        <v>1</v>
      </c>
      <c r="G134" s="3226">
        <v>501.26</v>
      </c>
      <c r="H134" s="3225">
        <v>501.26</v>
      </c>
      <c r="I134" s="3227">
        <f>G134*F134</f>
        <v>501.26</v>
      </c>
      <c r="J134" s="3225">
        <f>H134*1</f>
        <v>501.26</v>
      </c>
      <c r="K134" s="3216"/>
      <c r="L134" s="3218"/>
      <c r="M134" s="3218"/>
      <c r="N134" s="3237"/>
      <c r="O134" s="3219"/>
      <c r="P134" s="3268"/>
      <c r="Q134" s="3237"/>
      <c r="R134" s="3237"/>
      <c r="S134" s="3237"/>
      <c r="T134" s="3237"/>
      <c r="U134" s="3237"/>
    </row>
    <row r="135" spans="1:21" ht="14.25">
      <c r="A135" s="3864"/>
      <c r="B135" s="3867"/>
      <c r="C135" s="3867"/>
      <c r="D135" s="3225" t="s">
        <v>3248</v>
      </c>
      <c r="E135" s="3867"/>
      <c r="F135" s="3867"/>
      <c r="G135" s="3226">
        <v>1.28</v>
      </c>
      <c r="H135" s="3225">
        <f>G135</f>
        <v>1.28</v>
      </c>
      <c r="I135" s="3227">
        <f>G135*F134</f>
        <v>1.28</v>
      </c>
      <c r="J135" s="3225">
        <f>H135*F134</f>
        <v>1.28</v>
      </c>
      <c r="K135" s="3216"/>
      <c r="L135" s="3218"/>
      <c r="M135" s="3218"/>
      <c r="N135" s="3237">
        <v>4</v>
      </c>
      <c r="O135" s="3219"/>
      <c r="P135" s="3268"/>
      <c r="Q135" s="3237"/>
      <c r="R135" s="3237"/>
      <c r="S135" s="3237"/>
      <c r="T135" s="3237"/>
      <c r="U135" s="3237"/>
    </row>
    <row r="136" spans="1:21" ht="14.25">
      <c r="A136" s="3865"/>
      <c r="B136" s="3857" t="s">
        <v>3258</v>
      </c>
      <c r="C136" s="3857"/>
      <c r="D136" s="3225"/>
      <c r="E136" s="3225"/>
      <c r="F136" s="3225">
        <f>F125+F128+F130+F132+F134</f>
        <v>8</v>
      </c>
      <c r="G136" s="3226"/>
      <c r="H136" s="3225"/>
      <c r="I136" s="3227">
        <f>SUM(I125:I135)</f>
        <v>4708.57</v>
      </c>
      <c r="J136" s="3225">
        <f>SUM(J125:J135)</f>
        <v>4611.08</v>
      </c>
      <c r="K136" s="3216"/>
      <c r="L136" s="3218"/>
      <c r="M136" s="3218"/>
      <c r="N136" s="3240">
        <f>SUM(N127:N135)</f>
        <v>28</v>
      </c>
      <c r="O136" s="3246"/>
      <c r="P136" s="3268"/>
      <c r="Q136" s="3237"/>
      <c r="R136" s="3237"/>
      <c r="S136" s="3237"/>
      <c r="T136" s="3237"/>
      <c r="U136" s="3237"/>
    </row>
    <row r="137" spans="1:21" ht="14.25">
      <c r="A137" s="3863" t="s">
        <v>3271</v>
      </c>
      <c r="B137" s="3866" t="s">
        <v>3272</v>
      </c>
      <c r="C137" s="3225" t="s">
        <v>3256</v>
      </c>
      <c r="D137" s="3225" t="s">
        <v>3273</v>
      </c>
      <c r="E137" s="3225">
        <v>3.7</v>
      </c>
      <c r="F137" s="3225">
        <v>1</v>
      </c>
      <c r="G137" s="3226">
        <v>1907.68</v>
      </c>
      <c r="H137" s="3225">
        <f>G137</f>
        <v>1907.68</v>
      </c>
      <c r="I137" s="3227">
        <f>G137</f>
        <v>1907.68</v>
      </c>
      <c r="J137" s="3225">
        <f>G137</f>
        <v>1907.68</v>
      </c>
      <c r="K137" s="3216"/>
      <c r="L137" s="3218"/>
      <c r="M137" s="3218"/>
      <c r="N137" s="3240"/>
      <c r="O137" s="3246"/>
      <c r="P137" s="3268"/>
      <c r="Q137" s="3269" t="s">
        <v>3272</v>
      </c>
      <c r="R137" s="3238">
        <f>I140</f>
        <v>5400.9</v>
      </c>
      <c r="S137" s="3237"/>
      <c r="T137" s="3237"/>
      <c r="U137" s="3237"/>
    </row>
    <row r="138" spans="1:21" ht="14.25">
      <c r="A138" s="3864"/>
      <c r="B138" s="3871"/>
      <c r="C138" s="3225" t="s">
        <v>3249</v>
      </c>
      <c r="D138" s="3225" t="s">
        <v>3273</v>
      </c>
      <c r="E138" s="3225">
        <v>3.7</v>
      </c>
      <c r="F138" s="3225">
        <v>1</v>
      </c>
      <c r="G138" s="3226">
        <v>1746.61</v>
      </c>
      <c r="H138" s="3225">
        <f>G138</f>
        <v>1746.61</v>
      </c>
      <c r="I138" s="3227">
        <f>G138</f>
        <v>1746.61</v>
      </c>
      <c r="J138" s="3225">
        <f>G138</f>
        <v>1746.61</v>
      </c>
      <c r="K138" s="3216"/>
      <c r="L138" s="3218"/>
      <c r="M138" s="3218"/>
      <c r="N138" s="3240"/>
      <c r="O138" s="3246"/>
      <c r="P138" s="3268"/>
      <c r="Q138" s="3238"/>
      <c r="R138" s="3237"/>
      <c r="S138" s="3237"/>
      <c r="T138" s="3237"/>
      <c r="U138" s="3237"/>
    </row>
    <row r="139" spans="1:21" ht="14.25">
      <c r="A139" s="3864"/>
      <c r="B139" s="3867"/>
      <c r="C139" s="3225" t="s">
        <v>3251</v>
      </c>
      <c r="D139" s="3225" t="s">
        <v>3273</v>
      </c>
      <c r="E139" s="3225">
        <v>3.7</v>
      </c>
      <c r="F139" s="3225">
        <v>1</v>
      </c>
      <c r="G139" s="3226">
        <v>1746.61</v>
      </c>
      <c r="H139" s="3225">
        <f>G139</f>
        <v>1746.61</v>
      </c>
      <c r="I139" s="3227">
        <f>G139</f>
        <v>1746.61</v>
      </c>
      <c r="J139" s="3225">
        <f>G139</f>
        <v>1746.61</v>
      </c>
      <c r="K139" s="3216"/>
      <c r="L139" s="3218"/>
      <c r="M139" s="3218"/>
      <c r="N139" s="3240"/>
      <c r="O139" s="3246"/>
      <c r="P139" s="3268"/>
      <c r="Q139" s="3238"/>
      <c r="R139" s="3237"/>
      <c r="S139" s="3237"/>
      <c r="T139" s="3237"/>
      <c r="U139" s="3237"/>
    </row>
    <row r="140" spans="1:21" ht="14.25">
      <c r="A140" s="3865"/>
      <c r="B140" s="3877" t="s">
        <v>3258</v>
      </c>
      <c r="C140" s="3878"/>
      <c r="D140" s="3225"/>
      <c r="E140" s="3225"/>
      <c r="F140" s="3225">
        <f>F137+F138+F139</f>
        <v>3</v>
      </c>
      <c r="G140" s="3226"/>
      <c r="H140" s="3225"/>
      <c r="I140" s="3227">
        <f>SUM(I137:I139)</f>
        <v>5400.9</v>
      </c>
      <c r="J140" s="3225">
        <f>SUM(J137:J139)</f>
        <v>5400.9</v>
      </c>
      <c r="K140" s="3216"/>
      <c r="L140" s="3218"/>
      <c r="M140" s="3218"/>
      <c r="N140" s="3240"/>
      <c r="O140" s="3246"/>
      <c r="P140" s="3268"/>
      <c r="Q140" s="3237"/>
      <c r="R140" s="3237"/>
      <c r="S140" s="3237"/>
      <c r="T140" s="3237"/>
      <c r="U140" s="3237"/>
    </row>
    <row r="141" spans="1:21" ht="14.25">
      <c r="A141" s="3863" t="s">
        <v>3274</v>
      </c>
      <c r="B141" s="3872" t="s">
        <v>3255</v>
      </c>
      <c r="C141" s="3231" t="s">
        <v>3256</v>
      </c>
      <c r="D141" s="3231" t="s">
        <v>3250</v>
      </c>
      <c r="E141" s="3232">
        <v>3</v>
      </c>
      <c r="F141" s="3231">
        <v>1</v>
      </c>
      <c r="G141" s="3233">
        <v>658.64</v>
      </c>
      <c r="H141" s="3231">
        <f>G141</f>
        <v>658.64</v>
      </c>
      <c r="I141" s="3234">
        <f>G141</f>
        <v>658.64</v>
      </c>
      <c r="J141" s="3231">
        <f>H141</f>
        <v>658.64</v>
      </c>
      <c r="K141" s="3216"/>
      <c r="L141" s="3217">
        <f>I146</f>
        <v>4332.1600000000008</v>
      </c>
      <c r="M141" s="3218" t="s">
        <v>3250</v>
      </c>
      <c r="N141" s="3219">
        <v>4</v>
      </c>
      <c r="O141" s="3237"/>
      <c r="P141" s="3268"/>
      <c r="Q141" s="3238" t="s">
        <v>923</v>
      </c>
      <c r="R141" s="3238">
        <f>I146</f>
        <v>4332.1600000000008</v>
      </c>
      <c r="S141" s="3237"/>
      <c r="T141" s="3237"/>
      <c r="U141" s="3237"/>
    </row>
    <row r="142" spans="1:21" ht="14.25">
      <c r="A142" s="3864"/>
      <c r="B142" s="3873"/>
      <c r="C142" s="3231" t="s">
        <v>3249</v>
      </c>
      <c r="D142" s="3231" t="s">
        <v>3250</v>
      </c>
      <c r="E142" s="3231">
        <v>3</v>
      </c>
      <c r="F142" s="3231">
        <v>1</v>
      </c>
      <c r="G142" s="3233">
        <v>546.72</v>
      </c>
      <c r="H142" s="3231">
        <f>G142</f>
        <v>546.72</v>
      </c>
      <c r="I142" s="3234">
        <f>G142</f>
        <v>546.72</v>
      </c>
      <c r="J142" s="3231">
        <f>H142</f>
        <v>546.72</v>
      </c>
      <c r="K142" s="3216"/>
      <c r="L142" s="3218"/>
      <c r="M142" s="3218"/>
      <c r="N142" s="3219">
        <v>4</v>
      </c>
      <c r="O142" s="3237"/>
      <c r="P142" s="3237"/>
      <c r="Q142" s="3238" t="s">
        <v>2997</v>
      </c>
      <c r="R142" s="3238">
        <v>0</v>
      </c>
      <c r="S142" s="3237"/>
      <c r="T142" s="3237"/>
      <c r="U142" s="3237"/>
    </row>
    <row r="143" spans="1:21" ht="14.25">
      <c r="A143" s="3864"/>
      <c r="B143" s="3873"/>
      <c r="C143" s="3231" t="s">
        <v>3275</v>
      </c>
      <c r="D143" s="3231" t="s">
        <v>923</v>
      </c>
      <c r="E143" s="3231">
        <v>3</v>
      </c>
      <c r="F143" s="3231">
        <v>1</v>
      </c>
      <c r="G143" s="3233">
        <v>523.32000000000005</v>
      </c>
      <c r="H143" s="3231">
        <f>G143</f>
        <v>523.32000000000005</v>
      </c>
      <c r="I143" s="3234">
        <f>G143*F143</f>
        <v>523.32000000000005</v>
      </c>
      <c r="J143" s="3231">
        <f>H143*F143</f>
        <v>523.32000000000005</v>
      </c>
      <c r="K143" s="3216"/>
      <c r="L143" s="3218"/>
      <c r="M143" s="3218"/>
      <c r="N143" s="3219">
        <v>4</v>
      </c>
      <c r="O143" s="3237"/>
      <c r="P143" s="3237"/>
      <c r="Q143" s="3238" t="s">
        <v>3200</v>
      </c>
      <c r="R143" s="3238">
        <v>0</v>
      </c>
      <c r="S143" s="3237"/>
      <c r="T143" s="3237"/>
      <c r="U143" s="3237"/>
    </row>
    <row r="144" spans="1:21" ht="14.25">
      <c r="A144" s="3864"/>
      <c r="B144" s="3873"/>
      <c r="C144" s="3231" t="s">
        <v>3252</v>
      </c>
      <c r="D144" s="3231" t="s">
        <v>923</v>
      </c>
      <c r="E144" s="3231">
        <v>3</v>
      </c>
      <c r="F144" s="3231">
        <v>4</v>
      </c>
      <c r="G144" s="3233">
        <v>523.32000000000005</v>
      </c>
      <c r="H144" s="3231">
        <f>G144</f>
        <v>523.32000000000005</v>
      </c>
      <c r="I144" s="3234">
        <f>G144*F144</f>
        <v>2093.2800000000002</v>
      </c>
      <c r="J144" s="3231">
        <f>H144*F144</f>
        <v>2093.2800000000002</v>
      </c>
      <c r="K144" s="3216"/>
      <c r="L144" s="3218"/>
      <c r="M144" s="3218"/>
      <c r="N144" s="3219">
        <f>4*F144</f>
        <v>16</v>
      </c>
      <c r="O144" s="3237"/>
      <c r="P144" s="3237"/>
      <c r="Q144" s="3237"/>
      <c r="R144" s="3237"/>
      <c r="S144" s="3237"/>
      <c r="T144" s="3237"/>
      <c r="U144" s="3237"/>
    </row>
    <row r="145" spans="1:21" ht="14.25">
      <c r="A145" s="3864"/>
      <c r="B145" s="3874"/>
      <c r="C145" s="3231" t="s">
        <v>3253</v>
      </c>
      <c r="D145" s="3231" t="s">
        <v>923</v>
      </c>
      <c r="E145" s="3231">
        <v>3</v>
      </c>
      <c r="F145" s="3231">
        <v>1</v>
      </c>
      <c r="G145" s="3233">
        <v>510.2</v>
      </c>
      <c r="H145" s="3231">
        <f>G145</f>
        <v>510.2</v>
      </c>
      <c r="I145" s="3234">
        <f>G145*F145</f>
        <v>510.2</v>
      </c>
      <c r="J145" s="3231">
        <f>H145*F145</f>
        <v>510.2</v>
      </c>
      <c r="K145" s="3216"/>
      <c r="L145" s="3218"/>
      <c r="M145" s="3218"/>
      <c r="N145" s="3219">
        <v>4</v>
      </c>
      <c r="O145" s="3237"/>
      <c r="P145" s="3237"/>
      <c r="Q145" s="3237"/>
      <c r="R145" s="3237"/>
      <c r="S145" s="3237"/>
      <c r="T145" s="3237"/>
      <c r="U145" s="3237"/>
    </row>
    <row r="146" spans="1:21" ht="14.25">
      <c r="A146" s="3865"/>
      <c r="B146" s="3875" t="s">
        <v>3258</v>
      </c>
      <c r="C146" s="3876"/>
      <c r="D146" s="3231"/>
      <c r="E146" s="3232"/>
      <c r="F146" s="3231">
        <f>F144+F143+F142+F141+F145</f>
        <v>8</v>
      </c>
      <c r="G146" s="3233"/>
      <c r="H146" s="3231"/>
      <c r="I146" s="3234">
        <f>SUM(I141:I145)</f>
        <v>4332.1600000000008</v>
      </c>
      <c r="J146" s="3231">
        <f>SUM(J141:J145)</f>
        <v>4332.1600000000008</v>
      </c>
      <c r="K146" s="3216"/>
      <c r="L146" s="3218"/>
      <c r="M146" s="3218"/>
      <c r="N146" s="3240">
        <f>SUM(N141:N145)</f>
        <v>32</v>
      </c>
      <c r="O146" s="3237"/>
      <c r="P146" s="3237"/>
      <c r="Q146" s="3237"/>
      <c r="R146" s="3237"/>
      <c r="S146" s="3237"/>
      <c r="T146" s="3237"/>
      <c r="U146" s="3237"/>
    </row>
    <row r="147" spans="1:21" ht="14.25">
      <c r="A147" s="3863" t="s">
        <v>3276</v>
      </c>
      <c r="B147" s="3872" t="s">
        <v>3255</v>
      </c>
      <c r="C147" s="3231" t="s">
        <v>3256</v>
      </c>
      <c r="D147" s="3231" t="s">
        <v>3250</v>
      </c>
      <c r="E147" s="3232">
        <v>3</v>
      </c>
      <c r="F147" s="3231">
        <v>1</v>
      </c>
      <c r="G147" s="3233">
        <v>658.64</v>
      </c>
      <c r="H147" s="3231">
        <f>G147</f>
        <v>658.64</v>
      </c>
      <c r="I147" s="3234">
        <f>G147</f>
        <v>658.64</v>
      </c>
      <c r="J147" s="3231">
        <f>H147</f>
        <v>658.64</v>
      </c>
      <c r="K147" s="3216"/>
      <c r="L147" s="3217">
        <f>I152</f>
        <v>4332.1600000000008</v>
      </c>
      <c r="M147" s="3218" t="s">
        <v>3250</v>
      </c>
      <c r="N147" s="3219">
        <v>4</v>
      </c>
      <c r="O147" s="3237"/>
      <c r="P147" s="3237"/>
      <c r="Q147" s="3238" t="s">
        <v>923</v>
      </c>
      <c r="R147" s="3238">
        <f>I152</f>
        <v>4332.1600000000008</v>
      </c>
      <c r="S147" s="3237"/>
      <c r="T147" s="3237"/>
      <c r="U147" s="3237"/>
    </row>
    <row r="148" spans="1:21" ht="14.25">
      <c r="A148" s="3864"/>
      <c r="B148" s="3873"/>
      <c r="C148" s="3231" t="s">
        <v>3249</v>
      </c>
      <c r="D148" s="3231" t="s">
        <v>3250</v>
      </c>
      <c r="E148" s="3231">
        <v>3</v>
      </c>
      <c r="F148" s="3231">
        <v>1</v>
      </c>
      <c r="G148" s="3233">
        <v>546.72</v>
      </c>
      <c r="H148" s="3231">
        <f>G148</f>
        <v>546.72</v>
      </c>
      <c r="I148" s="3234">
        <f>G148</f>
        <v>546.72</v>
      </c>
      <c r="J148" s="3231">
        <f>H148</f>
        <v>546.72</v>
      </c>
      <c r="K148" s="3216"/>
      <c r="L148" s="3218"/>
      <c r="M148" s="3218"/>
      <c r="N148" s="3219">
        <v>4</v>
      </c>
      <c r="O148" s="3237"/>
      <c r="P148" s="3237"/>
      <c r="Q148" s="3238" t="s">
        <v>2997</v>
      </c>
      <c r="R148" s="3238">
        <v>0</v>
      </c>
      <c r="S148" s="3237"/>
      <c r="T148" s="3237"/>
      <c r="U148" s="3237"/>
    </row>
    <row r="149" spans="1:21" ht="14.25">
      <c r="A149" s="3864"/>
      <c r="B149" s="3873"/>
      <c r="C149" s="3231" t="s">
        <v>3251</v>
      </c>
      <c r="D149" s="3231" t="s">
        <v>923</v>
      </c>
      <c r="E149" s="3231">
        <v>3</v>
      </c>
      <c r="F149" s="3231">
        <v>1</v>
      </c>
      <c r="G149" s="3233">
        <v>523.32000000000005</v>
      </c>
      <c r="H149" s="3231">
        <f>G149</f>
        <v>523.32000000000005</v>
      </c>
      <c r="I149" s="3234">
        <f>G149*F149</f>
        <v>523.32000000000005</v>
      </c>
      <c r="J149" s="3231">
        <f>H149*F149</f>
        <v>523.32000000000005</v>
      </c>
      <c r="K149" s="3216"/>
      <c r="L149" s="3218"/>
      <c r="M149" s="3218"/>
      <c r="N149" s="3219">
        <v>4</v>
      </c>
      <c r="O149" s="3237"/>
      <c r="P149" s="3237"/>
      <c r="Q149" s="3238" t="s">
        <v>3200</v>
      </c>
      <c r="R149" s="3238">
        <v>0</v>
      </c>
      <c r="S149" s="3237"/>
      <c r="T149" s="3237"/>
      <c r="U149" s="3237"/>
    </row>
    <row r="150" spans="1:21" ht="14.25">
      <c r="A150" s="3864"/>
      <c r="B150" s="3873"/>
      <c r="C150" s="3231" t="s">
        <v>3252</v>
      </c>
      <c r="D150" s="3231" t="s">
        <v>923</v>
      </c>
      <c r="E150" s="3231">
        <v>3</v>
      </c>
      <c r="F150" s="3231">
        <v>4</v>
      </c>
      <c r="G150" s="3233">
        <v>523.32000000000005</v>
      </c>
      <c r="H150" s="3231">
        <f>G150</f>
        <v>523.32000000000005</v>
      </c>
      <c r="I150" s="3234">
        <f>G150*F150</f>
        <v>2093.2800000000002</v>
      </c>
      <c r="J150" s="3231">
        <f>H150*F150</f>
        <v>2093.2800000000002</v>
      </c>
      <c r="K150" s="3216"/>
      <c r="L150" s="3218"/>
      <c r="M150" s="3218"/>
      <c r="N150" s="3219">
        <f>4*F150</f>
        <v>16</v>
      </c>
      <c r="O150" s="3237"/>
      <c r="P150" s="3237"/>
      <c r="Q150" s="3237"/>
      <c r="R150" s="3237"/>
      <c r="S150" s="3237"/>
      <c r="T150" s="3237"/>
      <c r="U150" s="3237"/>
    </row>
    <row r="151" spans="1:21" ht="14.25">
      <c r="A151" s="3864"/>
      <c r="B151" s="3874"/>
      <c r="C151" s="3231" t="s">
        <v>3253</v>
      </c>
      <c r="D151" s="3231" t="s">
        <v>923</v>
      </c>
      <c r="E151" s="3231">
        <v>3</v>
      </c>
      <c r="F151" s="3231">
        <v>1</v>
      </c>
      <c r="G151" s="3233">
        <v>510.2</v>
      </c>
      <c r="H151" s="3231">
        <f>G151</f>
        <v>510.2</v>
      </c>
      <c r="I151" s="3234">
        <f>G151*F151</f>
        <v>510.2</v>
      </c>
      <c r="J151" s="3231">
        <f>H151*F151</f>
        <v>510.2</v>
      </c>
      <c r="K151" s="3216"/>
      <c r="L151" s="3218"/>
      <c r="M151" s="3218"/>
      <c r="N151" s="3219">
        <v>4</v>
      </c>
      <c r="O151" s="3237"/>
      <c r="P151" s="3237"/>
      <c r="Q151" s="3237"/>
      <c r="R151" s="3237"/>
      <c r="S151" s="3237"/>
      <c r="T151" s="3237"/>
      <c r="U151" s="3237"/>
    </row>
    <row r="152" spans="1:21" ht="14.25">
      <c r="A152" s="3865"/>
      <c r="B152" s="3875" t="s">
        <v>3258</v>
      </c>
      <c r="C152" s="3876"/>
      <c r="D152" s="3231"/>
      <c r="E152" s="3232"/>
      <c r="F152" s="3231">
        <f>F150+F149+F148+F147+F151</f>
        <v>8</v>
      </c>
      <c r="G152" s="3233"/>
      <c r="H152" s="3231"/>
      <c r="I152" s="3234">
        <f>SUM(I147:I151)</f>
        <v>4332.1600000000008</v>
      </c>
      <c r="J152" s="3231">
        <f>SUM(J147:J151)</f>
        <v>4332.1600000000008</v>
      </c>
      <c r="K152" s="3216"/>
      <c r="L152" s="3218"/>
      <c r="M152" s="3218"/>
      <c r="N152" s="3240">
        <f>SUM(N147:N151)</f>
        <v>32</v>
      </c>
      <c r="O152" s="3237"/>
      <c r="P152" s="3237"/>
      <c r="Q152" s="3237"/>
      <c r="R152" s="3237"/>
      <c r="S152" s="3237"/>
      <c r="T152" s="3237"/>
      <c r="U152" s="3237"/>
    </row>
    <row r="153" spans="1:21" ht="14.25">
      <c r="A153" s="3863" t="s">
        <v>3277</v>
      </c>
      <c r="B153" s="3872" t="s">
        <v>3255</v>
      </c>
      <c r="C153" s="3231" t="s">
        <v>3256</v>
      </c>
      <c r="D153" s="3231" t="s">
        <v>3250</v>
      </c>
      <c r="E153" s="3232">
        <v>3</v>
      </c>
      <c r="F153" s="3231">
        <v>1</v>
      </c>
      <c r="G153" s="3233">
        <v>658.64</v>
      </c>
      <c r="H153" s="3231">
        <f>G153</f>
        <v>658.64</v>
      </c>
      <c r="I153" s="3234">
        <f>G153</f>
        <v>658.64</v>
      </c>
      <c r="J153" s="3231">
        <f>H153</f>
        <v>658.64</v>
      </c>
      <c r="K153" s="3216"/>
      <c r="L153" s="3217">
        <f>I158</f>
        <v>4332.1600000000008</v>
      </c>
      <c r="M153" s="3218" t="s">
        <v>3250</v>
      </c>
      <c r="N153" s="3219">
        <v>4</v>
      </c>
      <c r="O153" s="3237"/>
      <c r="P153" s="3237"/>
      <c r="Q153" s="3238" t="s">
        <v>923</v>
      </c>
      <c r="R153" s="3238">
        <f>I158</f>
        <v>4332.1600000000008</v>
      </c>
      <c r="S153" s="3237"/>
      <c r="T153" s="3237"/>
      <c r="U153" s="3237"/>
    </row>
    <row r="154" spans="1:21" ht="14.25">
      <c r="A154" s="3864"/>
      <c r="B154" s="3873"/>
      <c r="C154" s="3231" t="s">
        <v>3249</v>
      </c>
      <c r="D154" s="3231" t="s">
        <v>3250</v>
      </c>
      <c r="E154" s="3231">
        <v>3</v>
      </c>
      <c r="F154" s="3231">
        <v>1</v>
      </c>
      <c r="G154" s="3233">
        <v>546.72</v>
      </c>
      <c r="H154" s="3231">
        <f>G154</f>
        <v>546.72</v>
      </c>
      <c r="I154" s="3234">
        <f>G154</f>
        <v>546.72</v>
      </c>
      <c r="J154" s="3231">
        <f>H154</f>
        <v>546.72</v>
      </c>
      <c r="K154" s="3216"/>
      <c r="L154" s="3218"/>
      <c r="M154" s="3218"/>
      <c r="N154" s="3219">
        <v>4</v>
      </c>
      <c r="O154" s="3237"/>
      <c r="P154" s="3237"/>
      <c r="Q154" s="3238" t="s">
        <v>2997</v>
      </c>
      <c r="R154" s="3238">
        <v>0</v>
      </c>
      <c r="S154" s="3237"/>
      <c r="T154" s="3237"/>
      <c r="U154" s="3237"/>
    </row>
    <row r="155" spans="1:21" ht="14.25">
      <c r="A155" s="3864"/>
      <c r="B155" s="3873"/>
      <c r="C155" s="3231" t="s">
        <v>3251</v>
      </c>
      <c r="D155" s="3231" t="s">
        <v>923</v>
      </c>
      <c r="E155" s="3231">
        <v>3</v>
      </c>
      <c r="F155" s="3231">
        <v>1</v>
      </c>
      <c r="G155" s="3233">
        <v>523.32000000000005</v>
      </c>
      <c r="H155" s="3231">
        <f>G155</f>
        <v>523.32000000000005</v>
      </c>
      <c r="I155" s="3234">
        <f>G155*F155</f>
        <v>523.32000000000005</v>
      </c>
      <c r="J155" s="3231">
        <f>H155*F155</f>
        <v>523.32000000000005</v>
      </c>
      <c r="K155" s="3216"/>
      <c r="L155" s="3218"/>
      <c r="M155" s="3218"/>
      <c r="N155" s="3219">
        <v>4</v>
      </c>
      <c r="O155" s="3237"/>
      <c r="P155" s="3237"/>
      <c r="Q155" s="3238" t="s">
        <v>3200</v>
      </c>
      <c r="R155" s="3238">
        <v>0</v>
      </c>
      <c r="S155" s="3237"/>
      <c r="T155" s="3237"/>
      <c r="U155" s="3237"/>
    </row>
    <row r="156" spans="1:21" ht="14.25">
      <c r="A156" s="3864"/>
      <c r="B156" s="3873"/>
      <c r="C156" s="3231" t="s">
        <v>3252</v>
      </c>
      <c r="D156" s="3231" t="s">
        <v>923</v>
      </c>
      <c r="E156" s="3231">
        <v>3</v>
      </c>
      <c r="F156" s="3231">
        <v>4</v>
      </c>
      <c r="G156" s="3233">
        <v>523.32000000000005</v>
      </c>
      <c r="H156" s="3231">
        <f>G156</f>
        <v>523.32000000000005</v>
      </c>
      <c r="I156" s="3234">
        <f>G156*F156</f>
        <v>2093.2800000000002</v>
      </c>
      <c r="J156" s="3231">
        <f>H156*F156</f>
        <v>2093.2800000000002</v>
      </c>
      <c r="K156" s="3216"/>
      <c r="L156" s="3218"/>
      <c r="M156" s="3218"/>
      <c r="N156" s="3219">
        <f>4*F156</f>
        <v>16</v>
      </c>
      <c r="O156" s="3237"/>
      <c r="P156" s="3237"/>
      <c r="Q156" s="3237"/>
      <c r="R156" s="3237"/>
      <c r="S156" s="3237"/>
      <c r="T156" s="3237"/>
      <c r="U156" s="3237"/>
    </row>
    <row r="157" spans="1:21" ht="14.25">
      <c r="A157" s="3864"/>
      <c r="B157" s="3874"/>
      <c r="C157" s="3231" t="s">
        <v>3253</v>
      </c>
      <c r="D157" s="3231" t="s">
        <v>923</v>
      </c>
      <c r="E157" s="3231">
        <v>3</v>
      </c>
      <c r="F157" s="3231">
        <v>1</v>
      </c>
      <c r="G157" s="3233">
        <v>510.2</v>
      </c>
      <c r="H157" s="3231">
        <f>G157</f>
        <v>510.2</v>
      </c>
      <c r="I157" s="3234">
        <f>G157*F157</f>
        <v>510.2</v>
      </c>
      <c r="J157" s="3231">
        <f>H157*F157</f>
        <v>510.2</v>
      </c>
      <c r="K157" s="3216"/>
      <c r="L157" s="3218"/>
      <c r="M157" s="3218"/>
      <c r="N157" s="3219">
        <v>4</v>
      </c>
      <c r="O157" s="3237"/>
      <c r="P157" s="3237"/>
      <c r="Q157" s="3237"/>
      <c r="R157" s="3237"/>
      <c r="S157" s="3237"/>
      <c r="T157" s="3237"/>
      <c r="U157" s="3237"/>
    </row>
    <row r="158" spans="1:21" ht="14.25">
      <c r="A158" s="3865"/>
      <c r="B158" s="3875" t="s">
        <v>3258</v>
      </c>
      <c r="C158" s="3876"/>
      <c r="D158" s="3231"/>
      <c r="E158" s="3232"/>
      <c r="F158" s="3231">
        <f>F156+F155+F154+F153+F157</f>
        <v>8</v>
      </c>
      <c r="G158" s="3233"/>
      <c r="H158" s="3231"/>
      <c r="I158" s="3234">
        <f>SUM(I153:I157)</f>
        <v>4332.1600000000008</v>
      </c>
      <c r="J158" s="3231">
        <f>SUM(J153:J157)</f>
        <v>4332.1600000000008</v>
      </c>
      <c r="K158" s="3216"/>
      <c r="L158" s="3218"/>
      <c r="M158" s="3218"/>
      <c r="N158" s="3240">
        <f>SUM(N153:N157)</f>
        <v>32</v>
      </c>
      <c r="O158" s="3237"/>
      <c r="P158" s="3237"/>
      <c r="Q158" s="3237"/>
      <c r="R158" s="3237"/>
      <c r="S158" s="3237"/>
      <c r="T158" s="3237"/>
      <c r="U158" s="3237"/>
    </row>
    <row r="159" spans="1:21" ht="14.25">
      <c r="A159" s="3863" t="s">
        <v>3278</v>
      </c>
      <c r="B159" s="3866" t="s">
        <v>3255</v>
      </c>
      <c r="C159" s="3866" t="s">
        <v>3256</v>
      </c>
      <c r="D159" s="3225" t="s">
        <v>3257</v>
      </c>
      <c r="E159" s="3213">
        <v>4.8</v>
      </c>
      <c r="F159" s="3866">
        <v>1</v>
      </c>
      <c r="G159" s="3226">
        <v>942.62</v>
      </c>
      <c r="H159" s="3225">
        <f>G159</f>
        <v>942.62</v>
      </c>
      <c r="I159" s="3227">
        <f t="shared" ref="I159:J164" si="10">G159</f>
        <v>942.62</v>
      </c>
      <c r="J159" s="3225">
        <f t="shared" si="10"/>
        <v>942.62</v>
      </c>
      <c r="K159" s="3216"/>
      <c r="L159" s="3217">
        <f>I160+I163+I165+I167+I169</f>
        <v>3362.34</v>
      </c>
      <c r="M159" s="3218" t="s">
        <v>3250</v>
      </c>
      <c r="N159" s="3219"/>
      <c r="O159" s="3237"/>
      <c r="P159" s="3237"/>
      <c r="Q159" s="3238" t="s">
        <v>923</v>
      </c>
      <c r="R159" s="3238">
        <f>I163+I165+I167+I169</f>
        <v>3201.57</v>
      </c>
      <c r="S159" s="3237"/>
      <c r="T159" s="3237"/>
      <c r="U159" s="3237"/>
    </row>
    <row r="160" spans="1:21" ht="14.25">
      <c r="A160" s="3864"/>
      <c r="B160" s="3871"/>
      <c r="C160" s="3871"/>
      <c r="D160" s="3225" t="s">
        <v>3265</v>
      </c>
      <c r="E160" s="3266">
        <v>3</v>
      </c>
      <c r="F160" s="3871"/>
      <c r="G160" s="3226">
        <v>160.77000000000001</v>
      </c>
      <c r="H160" s="3225">
        <v>160.77000000000001</v>
      </c>
      <c r="I160" s="3227">
        <f t="shared" si="10"/>
        <v>160.77000000000001</v>
      </c>
      <c r="J160" s="3225">
        <f t="shared" si="10"/>
        <v>160.77000000000001</v>
      </c>
      <c r="K160" s="3216"/>
      <c r="L160" s="3218">
        <f>I159+I161+I164+I166+I168+I170</f>
        <v>960.80000000000007</v>
      </c>
      <c r="M160" s="3218" t="s">
        <v>3257</v>
      </c>
      <c r="N160" s="3219">
        <v>0</v>
      </c>
      <c r="O160" s="3237"/>
      <c r="P160" s="3237"/>
      <c r="Q160" s="3238" t="s">
        <v>2997</v>
      </c>
      <c r="R160" s="3238">
        <f>I159</f>
        <v>942.62</v>
      </c>
      <c r="S160" s="3237"/>
      <c r="T160" s="3237"/>
      <c r="U160" s="3237"/>
    </row>
    <row r="161" spans="1:21" ht="14.25">
      <c r="A161" s="3864"/>
      <c r="B161" s="3871"/>
      <c r="C161" s="3871"/>
      <c r="D161" s="3225" t="s">
        <v>3248</v>
      </c>
      <c r="E161" s="3266">
        <v>3</v>
      </c>
      <c r="F161" s="3871"/>
      <c r="G161" s="3226">
        <v>2.16</v>
      </c>
      <c r="H161" s="3225">
        <f>G161</f>
        <v>2.16</v>
      </c>
      <c r="I161" s="3227">
        <f t="shared" si="10"/>
        <v>2.16</v>
      </c>
      <c r="J161" s="3225">
        <f t="shared" si="10"/>
        <v>2.16</v>
      </c>
      <c r="K161" s="3216"/>
      <c r="L161" s="3218">
        <f>I162</f>
        <v>42.55</v>
      </c>
      <c r="M161" s="3267" t="s">
        <v>3267</v>
      </c>
      <c r="N161" s="3219"/>
      <c r="O161" s="3237"/>
      <c r="P161" s="3237"/>
      <c r="Q161" s="3238" t="s">
        <v>3200</v>
      </c>
      <c r="R161" s="3238">
        <f>I160+I161+I162+I164+I166+I168+I170</f>
        <v>221.50000000000003</v>
      </c>
      <c r="S161" s="3237"/>
      <c r="T161" s="3237"/>
      <c r="U161" s="3237"/>
    </row>
    <row r="162" spans="1:21" ht="14.25">
      <c r="A162" s="3864"/>
      <c r="B162" s="3871"/>
      <c r="C162" s="3867"/>
      <c r="D162" s="3225" t="s">
        <v>3266</v>
      </c>
      <c r="E162" s="3266">
        <v>6</v>
      </c>
      <c r="F162" s="3867"/>
      <c r="G162" s="3226">
        <v>42.55</v>
      </c>
      <c r="H162" s="3225">
        <v>0</v>
      </c>
      <c r="I162" s="3227">
        <f>G162</f>
        <v>42.55</v>
      </c>
      <c r="J162" s="3225">
        <v>0</v>
      </c>
      <c r="K162" s="3216"/>
      <c r="L162" s="3218"/>
      <c r="M162" s="3218"/>
      <c r="N162" s="3219"/>
      <c r="O162" s="3237">
        <f>I171-J171</f>
        <v>42.549999999999272</v>
      </c>
      <c r="P162" s="3237"/>
      <c r="Q162" s="3237"/>
      <c r="R162" s="3237"/>
      <c r="S162" s="3237"/>
      <c r="T162" s="3237"/>
      <c r="U162" s="3237"/>
    </row>
    <row r="163" spans="1:21" ht="14.25">
      <c r="A163" s="3864"/>
      <c r="B163" s="3871"/>
      <c r="C163" s="3866" t="s">
        <v>3249</v>
      </c>
      <c r="D163" s="3225" t="s">
        <v>3250</v>
      </c>
      <c r="E163" s="3866">
        <v>3</v>
      </c>
      <c r="F163" s="3866">
        <v>1</v>
      </c>
      <c r="G163" s="3226">
        <v>74.77</v>
      </c>
      <c r="H163" s="3225">
        <v>74.77</v>
      </c>
      <c r="I163" s="3227">
        <f t="shared" si="10"/>
        <v>74.77</v>
      </c>
      <c r="J163" s="3225">
        <f t="shared" si="10"/>
        <v>74.77</v>
      </c>
      <c r="K163" s="3216"/>
      <c r="L163" s="3218"/>
      <c r="M163" s="3218"/>
      <c r="N163" s="3219"/>
      <c r="O163" s="3237"/>
      <c r="P163" s="3237"/>
      <c r="Q163" s="3237"/>
      <c r="R163" s="3237"/>
      <c r="S163" s="3237"/>
      <c r="T163" s="3237"/>
      <c r="U163" s="3237"/>
    </row>
    <row r="164" spans="1:21" ht="14.25">
      <c r="A164" s="3864"/>
      <c r="B164" s="3871"/>
      <c r="C164" s="3867"/>
      <c r="D164" s="3225" t="s">
        <v>3248</v>
      </c>
      <c r="E164" s="3867"/>
      <c r="F164" s="3867"/>
      <c r="G164" s="3226">
        <v>1.98</v>
      </c>
      <c r="H164" s="3225">
        <f t="shared" ref="H164:H170" si="11">G164</f>
        <v>1.98</v>
      </c>
      <c r="I164" s="3227">
        <f t="shared" si="10"/>
        <v>1.98</v>
      </c>
      <c r="J164" s="3225">
        <f t="shared" si="10"/>
        <v>1.98</v>
      </c>
      <c r="K164" s="3216"/>
      <c r="L164" s="3218"/>
      <c r="M164" s="3218"/>
      <c r="N164" s="3219">
        <v>0</v>
      </c>
      <c r="O164" s="3237"/>
      <c r="P164" s="3237"/>
      <c r="Q164" s="3237"/>
      <c r="R164" s="3237"/>
      <c r="S164" s="3237"/>
      <c r="T164" s="3237"/>
      <c r="U164" s="3237"/>
    </row>
    <row r="165" spans="1:21" ht="14.25">
      <c r="A165" s="3864"/>
      <c r="B165" s="3871"/>
      <c r="C165" s="3866" t="s">
        <v>3251</v>
      </c>
      <c r="D165" s="3225" t="s">
        <v>923</v>
      </c>
      <c r="E165" s="3866">
        <v>3</v>
      </c>
      <c r="F165" s="3866">
        <v>1</v>
      </c>
      <c r="G165" s="3226">
        <v>523.32000000000005</v>
      </c>
      <c r="H165" s="3225">
        <f t="shared" si="11"/>
        <v>523.32000000000005</v>
      </c>
      <c r="I165" s="3227">
        <f>G165</f>
        <v>523.32000000000005</v>
      </c>
      <c r="J165" s="3225">
        <f>H165*F165</f>
        <v>523.32000000000005</v>
      </c>
      <c r="K165" s="3216"/>
      <c r="L165" s="3218"/>
      <c r="M165" s="3218"/>
      <c r="N165" s="3237"/>
      <c r="O165" s="3219"/>
      <c r="P165" s="3237"/>
      <c r="Q165" s="3237"/>
      <c r="R165" s="3237"/>
      <c r="S165" s="3237"/>
      <c r="T165" s="3237"/>
      <c r="U165" s="3237"/>
    </row>
    <row r="166" spans="1:21" ht="14.25">
      <c r="A166" s="3864"/>
      <c r="B166" s="3871"/>
      <c r="C166" s="3867"/>
      <c r="D166" s="3225" t="s">
        <v>3248</v>
      </c>
      <c r="E166" s="3867"/>
      <c r="F166" s="3867"/>
      <c r="G166" s="3226">
        <v>2.34</v>
      </c>
      <c r="H166" s="3225">
        <f t="shared" si="11"/>
        <v>2.34</v>
      </c>
      <c r="I166" s="3227">
        <f>G166</f>
        <v>2.34</v>
      </c>
      <c r="J166" s="3225">
        <f>H166</f>
        <v>2.34</v>
      </c>
      <c r="K166" s="3216"/>
      <c r="L166" s="3218"/>
      <c r="M166" s="3218"/>
      <c r="N166" s="3237">
        <v>4</v>
      </c>
      <c r="O166" s="3219"/>
      <c r="P166" s="3237"/>
      <c r="Q166" s="3237"/>
      <c r="R166" s="3237"/>
      <c r="S166" s="3237"/>
      <c r="T166" s="3237"/>
      <c r="U166" s="3237"/>
    </row>
    <row r="167" spans="1:21" ht="14.25">
      <c r="A167" s="3864"/>
      <c r="B167" s="3871"/>
      <c r="C167" s="3866" t="s">
        <v>3252</v>
      </c>
      <c r="D167" s="3225" t="s">
        <v>923</v>
      </c>
      <c r="E167" s="3866">
        <v>3</v>
      </c>
      <c r="F167" s="3866">
        <v>4</v>
      </c>
      <c r="G167" s="3226">
        <v>523.32000000000005</v>
      </c>
      <c r="H167" s="3225">
        <f t="shared" si="11"/>
        <v>523.32000000000005</v>
      </c>
      <c r="I167" s="3227">
        <f>G167*F167</f>
        <v>2093.2800000000002</v>
      </c>
      <c r="J167" s="3225">
        <f>H167*F167</f>
        <v>2093.2800000000002</v>
      </c>
      <c r="K167" s="3216"/>
      <c r="L167" s="3218"/>
      <c r="M167" s="3218"/>
      <c r="N167" s="3237"/>
      <c r="O167" s="3219"/>
      <c r="P167" s="3237"/>
      <c r="Q167" s="3237"/>
      <c r="R167" s="3237"/>
      <c r="S167" s="3237"/>
      <c r="T167" s="3237"/>
      <c r="U167" s="3237"/>
    </row>
    <row r="168" spans="1:21" ht="14.25">
      <c r="A168" s="3864"/>
      <c r="B168" s="3871"/>
      <c r="C168" s="3867"/>
      <c r="D168" s="3225" t="s">
        <v>3248</v>
      </c>
      <c r="E168" s="3867"/>
      <c r="F168" s="3867"/>
      <c r="G168" s="3226">
        <v>2.34</v>
      </c>
      <c r="H168" s="3225">
        <f t="shared" si="11"/>
        <v>2.34</v>
      </c>
      <c r="I168" s="3227">
        <f>G168*F167</f>
        <v>9.36</v>
      </c>
      <c r="J168" s="3225">
        <f>H168*F167</f>
        <v>9.36</v>
      </c>
      <c r="K168" s="3216"/>
      <c r="L168" s="3218"/>
      <c r="M168" s="3218"/>
      <c r="N168" s="3237">
        <f>4*F167</f>
        <v>16</v>
      </c>
      <c r="O168" s="3219"/>
      <c r="P168" s="3237"/>
      <c r="Q168" s="3237"/>
      <c r="R168" s="3237"/>
      <c r="S168" s="3237"/>
      <c r="T168" s="3237"/>
      <c r="U168" s="3237"/>
    </row>
    <row r="169" spans="1:21" ht="14.25">
      <c r="A169" s="3864"/>
      <c r="B169" s="3871"/>
      <c r="C169" s="3866" t="s">
        <v>3253</v>
      </c>
      <c r="D169" s="3225" t="s">
        <v>923</v>
      </c>
      <c r="E169" s="3866">
        <v>3</v>
      </c>
      <c r="F169" s="3866">
        <v>1</v>
      </c>
      <c r="G169" s="3226">
        <v>510.2</v>
      </c>
      <c r="H169" s="3225">
        <f t="shared" si="11"/>
        <v>510.2</v>
      </c>
      <c r="I169" s="3227">
        <f>G169*F169</f>
        <v>510.2</v>
      </c>
      <c r="J169" s="3225">
        <f>H169*1</f>
        <v>510.2</v>
      </c>
      <c r="K169" s="3216"/>
      <c r="L169" s="3218"/>
      <c r="M169" s="3218"/>
      <c r="N169" s="3237"/>
      <c r="O169" s="3219"/>
      <c r="P169" s="3237"/>
      <c r="Q169" s="3237"/>
      <c r="R169" s="3237"/>
      <c r="S169" s="3237"/>
      <c r="T169" s="3237"/>
      <c r="U169" s="3237"/>
    </row>
    <row r="170" spans="1:21" ht="14.25">
      <c r="A170" s="3864"/>
      <c r="B170" s="3867"/>
      <c r="C170" s="3867"/>
      <c r="D170" s="3225" t="s">
        <v>3248</v>
      </c>
      <c r="E170" s="3867"/>
      <c r="F170" s="3867"/>
      <c r="G170" s="3226">
        <v>2.34</v>
      </c>
      <c r="H170" s="3225">
        <f t="shared" si="11"/>
        <v>2.34</v>
      </c>
      <c r="I170" s="3227">
        <f>G170*F169</f>
        <v>2.34</v>
      </c>
      <c r="J170" s="3225">
        <f>H170*F169</f>
        <v>2.34</v>
      </c>
      <c r="K170" s="3216"/>
      <c r="L170" s="3218"/>
      <c r="M170" s="3218"/>
      <c r="N170" s="3237">
        <v>4</v>
      </c>
      <c r="O170" s="3219"/>
      <c r="P170" s="3237"/>
      <c r="Q170" s="3237"/>
      <c r="R170" s="3237"/>
      <c r="S170" s="3237"/>
      <c r="T170" s="3237"/>
      <c r="U170" s="3237"/>
    </row>
    <row r="171" spans="1:21" ht="14.25">
      <c r="A171" s="3865"/>
      <c r="B171" s="3857" t="s">
        <v>27</v>
      </c>
      <c r="C171" s="3857"/>
      <c r="D171" s="3225"/>
      <c r="E171" s="3225"/>
      <c r="F171" s="3225">
        <f>F159+F163+F165+F167+F169</f>
        <v>8</v>
      </c>
      <c r="G171" s="3226"/>
      <c r="H171" s="3225"/>
      <c r="I171" s="3227">
        <f>SUM(I159:I170)</f>
        <v>4365.6900000000005</v>
      </c>
      <c r="J171" s="3225">
        <f>SUM(J159:J170)</f>
        <v>4323.1400000000012</v>
      </c>
      <c r="K171" s="3216"/>
      <c r="L171" s="3218"/>
      <c r="M171" s="3218"/>
      <c r="N171" s="3240">
        <f>SUM(N160:N170)</f>
        <v>24</v>
      </c>
      <c r="O171" s="3219"/>
      <c r="P171" s="3237"/>
      <c r="Q171" s="3237"/>
      <c r="R171" s="3237"/>
      <c r="S171" s="3237"/>
      <c r="T171" s="3237"/>
      <c r="U171" s="3237"/>
    </row>
    <row r="172" spans="1:21" ht="14.25">
      <c r="A172" s="3863" t="s">
        <v>3279</v>
      </c>
      <c r="B172" s="3863" t="s">
        <v>3280</v>
      </c>
      <c r="C172" s="3866" t="s">
        <v>3256</v>
      </c>
      <c r="D172" s="3225" t="s">
        <v>3281</v>
      </c>
      <c r="E172" s="3225">
        <v>4.5</v>
      </c>
      <c r="F172" s="3225">
        <v>1</v>
      </c>
      <c r="G172" s="3226">
        <v>33.619999999999997</v>
      </c>
      <c r="H172" s="3225">
        <v>33.619999999999997</v>
      </c>
      <c r="I172" s="3227">
        <v>33.619999999999997</v>
      </c>
      <c r="J172" s="3225">
        <v>33.619999999999997</v>
      </c>
      <c r="K172" s="3216"/>
      <c r="L172" s="3218"/>
      <c r="M172" s="3218"/>
      <c r="N172" s="3240"/>
      <c r="O172" s="3219"/>
      <c r="P172" s="3237"/>
      <c r="Q172" s="3269" t="s">
        <v>3282</v>
      </c>
      <c r="R172" s="3238">
        <f>I175</f>
        <v>183.85</v>
      </c>
      <c r="S172" s="3237"/>
      <c r="T172" s="3237"/>
      <c r="U172" s="3237"/>
    </row>
    <row r="173" spans="1:21" ht="14.25">
      <c r="A173" s="3864"/>
      <c r="B173" s="3865"/>
      <c r="C173" s="3867"/>
      <c r="D173" s="3225" t="s">
        <v>3266</v>
      </c>
      <c r="E173" s="3225">
        <v>4.5</v>
      </c>
      <c r="F173" s="3225">
        <v>1</v>
      </c>
      <c r="G173" s="3226">
        <v>143.97999999999999</v>
      </c>
      <c r="H173" s="3225">
        <v>0</v>
      </c>
      <c r="I173" s="3227">
        <v>143.97999999999999</v>
      </c>
      <c r="J173" s="3225">
        <v>0</v>
      </c>
      <c r="K173" s="3216"/>
      <c r="L173" s="3218"/>
      <c r="M173" s="3218"/>
      <c r="N173" s="3240"/>
      <c r="O173" s="3219">
        <v>143.97999999999999</v>
      </c>
      <c r="P173" s="3237"/>
      <c r="Q173" s="3237"/>
      <c r="R173" s="3237"/>
      <c r="S173" s="3237"/>
      <c r="T173" s="3237"/>
      <c r="U173" s="3237"/>
    </row>
    <row r="174" spans="1:21" ht="14.25">
      <c r="A174" s="3864"/>
      <c r="B174" s="3270" t="s">
        <v>3283</v>
      </c>
      <c r="C174" s="3225" t="s">
        <v>3256</v>
      </c>
      <c r="D174" s="3225" t="s">
        <v>3281</v>
      </c>
      <c r="E174" s="3225">
        <v>3</v>
      </c>
      <c r="F174" s="3225">
        <v>1</v>
      </c>
      <c r="G174" s="3226">
        <v>6.25</v>
      </c>
      <c r="H174" s="3225">
        <v>6.25</v>
      </c>
      <c r="I174" s="3227">
        <v>6.25</v>
      </c>
      <c r="J174" s="3225">
        <v>6.25</v>
      </c>
      <c r="K174" s="3216"/>
      <c r="L174" s="3218"/>
      <c r="M174" s="3218"/>
      <c r="N174" s="3240"/>
      <c r="O174" s="3219"/>
      <c r="P174" s="3237"/>
      <c r="Q174" s="3237"/>
      <c r="R174" s="3237"/>
      <c r="S174" s="3237"/>
      <c r="T174" s="3237"/>
      <c r="U174" s="3237"/>
    </row>
    <row r="175" spans="1:21" ht="14.25">
      <c r="A175" s="3865"/>
      <c r="B175" s="3868" t="s">
        <v>3258</v>
      </c>
      <c r="C175" s="3869"/>
      <c r="D175" s="3225"/>
      <c r="E175" s="3225"/>
      <c r="F175" s="3225"/>
      <c r="G175" s="3226"/>
      <c r="H175" s="3225"/>
      <c r="I175" s="3227">
        <f>I174+I172+I173</f>
        <v>183.85</v>
      </c>
      <c r="J175" s="3225">
        <f>J174+J172</f>
        <v>39.869999999999997</v>
      </c>
      <c r="K175" s="3216"/>
      <c r="L175" s="3218"/>
      <c r="M175" s="3218"/>
      <c r="N175" s="3240"/>
      <c r="O175" s="3219"/>
      <c r="P175" s="3237"/>
      <c r="Q175" s="3237"/>
      <c r="R175" s="3237"/>
      <c r="S175" s="3237"/>
      <c r="T175" s="3237"/>
      <c r="U175" s="3237"/>
    </row>
    <row r="176" spans="1:21" ht="14.25">
      <c r="A176" s="3870" t="s">
        <v>3284</v>
      </c>
      <c r="B176" s="3857" t="s">
        <v>3285</v>
      </c>
      <c r="C176" s="3857" t="s">
        <v>3286</v>
      </c>
      <c r="D176" s="3225" t="s">
        <v>2998</v>
      </c>
      <c r="E176" s="3857">
        <v>3.7</v>
      </c>
      <c r="F176" s="3857">
        <v>1</v>
      </c>
      <c r="G176" s="3271">
        <v>33731.14</v>
      </c>
      <c r="H176" s="3225">
        <v>0</v>
      </c>
      <c r="I176" s="3272">
        <f>G176</f>
        <v>33731.14</v>
      </c>
      <c r="J176" s="3225">
        <v>0</v>
      </c>
      <c r="K176" s="3273"/>
      <c r="L176" s="3212"/>
      <c r="M176" s="3212"/>
      <c r="N176" s="3274"/>
      <c r="O176" s="3275"/>
      <c r="P176" s="3275"/>
      <c r="Q176" s="3276" t="s">
        <v>3287</v>
      </c>
      <c r="R176" s="3277">
        <f>G176</f>
        <v>33731.14</v>
      </c>
      <c r="S176" s="3278"/>
      <c r="T176" s="3274"/>
      <c r="U176" s="3274"/>
    </row>
    <row r="177" spans="1:21" ht="14.25">
      <c r="A177" s="3870"/>
      <c r="B177" s="3857"/>
      <c r="C177" s="3857"/>
      <c r="D177" s="3225" t="s">
        <v>3288</v>
      </c>
      <c r="E177" s="3857"/>
      <c r="F177" s="3857"/>
      <c r="G177" s="3226">
        <v>997.71</v>
      </c>
      <c r="H177" s="3225">
        <v>0</v>
      </c>
      <c r="I177" s="3227">
        <f>G177</f>
        <v>997.71</v>
      </c>
      <c r="J177" s="3225">
        <v>0</v>
      </c>
      <c r="K177" s="3273"/>
      <c r="L177" s="3212"/>
      <c r="M177" s="3212"/>
      <c r="N177" s="3274"/>
      <c r="O177" s="3275"/>
      <c r="P177" s="3279">
        <f>O178+I177+I176</f>
        <v>35471.590000000011</v>
      </c>
      <c r="Q177" s="3276" t="s">
        <v>3289</v>
      </c>
      <c r="R177" s="3280">
        <f>I177</f>
        <v>997.71</v>
      </c>
      <c r="S177" s="3274"/>
      <c r="T177" s="3274"/>
      <c r="U177" s="3274"/>
    </row>
    <row r="178" spans="1:21" ht="14.25">
      <c r="A178" s="3870"/>
      <c r="B178" s="3857" t="s">
        <v>27</v>
      </c>
      <c r="C178" s="3857"/>
      <c r="D178" s="3225"/>
      <c r="E178" s="3225"/>
      <c r="F178" s="3225">
        <v>2</v>
      </c>
      <c r="G178" s="3226"/>
      <c r="H178" s="3225"/>
      <c r="I178" s="3272">
        <f>I176+I177</f>
        <v>34728.85</v>
      </c>
      <c r="J178" s="3225">
        <v>0</v>
      </c>
      <c r="K178" s="3281"/>
      <c r="L178" s="3282"/>
      <c r="M178" s="3282"/>
      <c r="N178" s="3274"/>
      <c r="O178" s="3279">
        <f>P179-I178</f>
        <v>742.74000000001251</v>
      </c>
      <c r="P178" s="3275"/>
      <c r="Q178" s="3275"/>
      <c r="R178" s="3275"/>
      <c r="S178" s="3275"/>
      <c r="T178" s="3275"/>
      <c r="U178" s="3275"/>
    </row>
    <row r="179" spans="1:21" ht="14.25">
      <c r="A179" s="3858" t="s">
        <v>3290</v>
      </c>
      <c r="B179" s="3858"/>
      <c r="C179" s="3858"/>
      <c r="D179" s="3283"/>
      <c r="E179" s="3283"/>
      <c r="F179" s="3283"/>
      <c r="G179" s="3284"/>
      <c r="H179" s="3283"/>
      <c r="I179" s="3285">
        <f>SUM(I5:I178)/2</f>
        <v>129604.46000000002</v>
      </c>
      <c r="J179" s="3286">
        <f>SUM(J5:J178)/2</f>
        <v>94132.87000000001</v>
      </c>
      <c r="K179" s="3216"/>
      <c r="L179" s="3216"/>
      <c r="M179" s="3216"/>
      <c r="N179" s="3287">
        <f>SUM(N5:N178)/2</f>
        <v>606</v>
      </c>
      <c r="O179" s="3287">
        <f>SUM(O5:O173)</f>
        <v>742.74000000000024</v>
      </c>
      <c r="P179" s="3288">
        <f>I179-J179</f>
        <v>35471.590000000011</v>
      </c>
      <c r="Q179" s="3279"/>
      <c r="R179" s="3275"/>
      <c r="S179" s="3274"/>
      <c r="T179" s="3275"/>
      <c r="U179" s="3275"/>
    </row>
    <row r="180" spans="1:21" ht="14.25">
      <c r="A180" s="3859" t="s">
        <v>3291</v>
      </c>
      <c r="B180" s="3859"/>
      <c r="C180" s="3859"/>
      <c r="D180" s="3859"/>
      <c r="E180" s="3859"/>
      <c r="F180" s="3859"/>
      <c r="G180" s="3859"/>
      <c r="H180" s="3859"/>
      <c r="I180" s="3859"/>
      <c r="J180" s="3859"/>
      <c r="K180" s="3859"/>
      <c r="L180" s="3289"/>
      <c r="M180" s="3289"/>
      <c r="N180" s="3274"/>
      <c r="O180" s="3275"/>
      <c r="P180" s="3275"/>
      <c r="Q180" s="3275"/>
      <c r="R180" s="3275"/>
      <c r="S180" s="3275"/>
      <c r="T180" s="3279"/>
      <c r="U180" s="3275"/>
    </row>
    <row r="181" spans="1:21" ht="14.25" hidden="1">
      <c r="A181" s="3290"/>
      <c r="B181" s="3291"/>
      <c r="C181" s="3291"/>
      <c r="D181" s="3291"/>
      <c r="E181" s="3291"/>
      <c r="F181" s="3291"/>
      <c r="G181" s="3292"/>
      <c r="H181" s="3291"/>
      <c r="I181" s="3292">
        <f>SUM(I5:I178)/2</f>
        <v>129604.46000000002</v>
      </c>
      <c r="J181" s="3291">
        <f>SUM(J5:J178)/2</f>
        <v>94132.87000000001</v>
      </c>
      <c r="K181" s="3291"/>
      <c r="L181" s="3291"/>
      <c r="M181" s="3291"/>
      <c r="N181" s="3274">
        <f>N171+N158+N152+N146+N136+N124+N112+N100+N94+N88+N76+N65+N59+N47+N35+N25+N19</f>
        <v>606</v>
      </c>
      <c r="O181" s="3275"/>
      <c r="P181" s="3275"/>
      <c r="Q181" s="3275"/>
      <c r="R181" s="3275"/>
      <c r="S181" s="3275"/>
      <c r="T181" s="3275"/>
      <c r="U181" s="3275"/>
    </row>
    <row r="182" spans="1:21" ht="14.25" hidden="1">
      <c r="A182" s="3290"/>
      <c r="B182" s="3291"/>
      <c r="C182" s="3291"/>
      <c r="D182" s="3291"/>
      <c r="E182" s="3291"/>
      <c r="F182" s="3291"/>
      <c r="G182" s="3292"/>
      <c r="H182" s="3291"/>
      <c r="I182" s="3292"/>
      <c r="J182" s="3291"/>
      <c r="K182" s="3291"/>
      <c r="L182" s="3291"/>
      <c r="M182" s="3291"/>
    </row>
    <row r="183" spans="1:21" ht="14.25" hidden="1">
      <c r="A183" s="3290"/>
      <c r="B183" s="3291"/>
      <c r="C183" s="3291"/>
      <c r="D183" s="3291"/>
      <c r="E183" s="3291"/>
      <c r="F183" s="3291"/>
      <c r="G183" s="3292"/>
      <c r="H183" s="3291"/>
      <c r="I183" s="3293"/>
      <c r="J183" s="3291"/>
      <c r="K183" s="3291"/>
      <c r="L183" s="3291"/>
      <c r="M183" s="3291"/>
      <c r="Q183" s="3294"/>
    </row>
    <row r="184" spans="1:21" ht="14.25" hidden="1">
      <c r="A184" s="3290"/>
      <c r="B184" s="3291"/>
      <c r="C184" s="3291"/>
      <c r="D184" s="3291"/>
      <c r="E184" s="3291"/>
      <c r="F184" s="3291"/>
      <c r="G184" s="3292"/>
      <c r="H184" s="3291"/>
      <c r="I184" s="3295">
        <f>SUM(I5:I175)/2</f>
        <v>94875.610000000015</v>
      </c>
      <c r="J184" s="3291"/>
      <c r="K184" s="3291"/>
      <c r="L184" s="3291"/>
      <c r="M184" s="3291"/>
    </row>
    <row r="185" spans="1:21" ht="14.25" hidden="1">
      <c r="A185" s="3290"/>
      <c r="B185" s="3291"/>
      <c r="C185" s="3291"/>
      <c r="D185" s="3291"/>
      <c r="E185" s="3291"/>
      <c r="F185" s="3291"/>
      <c r="G185" s="3292"/>
      <c r="H185" s="3291"/>
      <c r="I185" s="3292"/>
      <c r="J185" s="3291"/>
      <c r="K185" s="3291"/>
      <c r="L185" s="3291"/>
      <c r="M185" s="3291"/>
    </row>
    <row r="186" spans="1:21" ht="14.25" hidden="1">
      <c r="A186" s="3290"/>
      <c r="B186" s="3291"/>
      <c r="C186" s="3291"/>
      <c r="D186" s="3291"/>
      <c r="E186" s="3291"/>
      <c r="F186" s="3291"/>
      <c r="G186" s="3292"/>
      <c r="H186" s="3291"/>
      <c r="I186" s="3292"/>
      <c r="J186" s="3291"/>
      <c r="K186" s="3291"/>
      <c r="L186" s="3291"/>
      <c r="M186" s="3291"/>
    </row>
    <row r="187" spans="1:21" ht="14.25" hidden="1">
      <c r="A187" s="3290"/>
      <c r="B187" s="3291"/>
      <c r="C187" s="3291"/>
      <c r="D187" s="3291"/>
      <c r="E187" s="3291"/>
      <c r="F187" s="3291"/>
      <c r="G187" s="3292"/>
      <c r="H187" s="3291"/>
      <c r="I187" s="3292"/>
      <c r="J187" s="3291"/>
      <c r="K187" s="3291"/>
      <c r="L187" s="3291"/>
      <c r="M187" s="3291"/>
    </row>
    <row r="188" spans="1:21" ht="14.25" hidden="1">
      <c r="A188" s="3290"/>
      <c r="B188" s="3291"/>
      <c r="C188" s="3291"/>
      <c r="D188" s="3291"/>
      <c r="E188" s="3291"/>
      <c r="F188" s="3291"/>
      <c r="G188" s="3292"/>
      <c r="H188" s="3291"/>
      <c r="I188" s="3292"/>
      <c r="J188" s="3291"/>
      <c r="K188" s="3291"/>
      <c r="L188" s="3291"/>
      <c r="M188" s="3291"/>
    </row>
    <row r="189" spans="1:21" ht="14.25" hidden="1">
      <c r="A189" s="3290"/>
      <c r="B189" s="3291"/>
      <c r="C189" s="3291"/>
      <c r="D189" s="3291"/>
      <c r="E189" s="3291"/>
      <c r="F189" s="3291"/>
      <c r="G189" s="3292"/>
      <c r="H189" s="3291"/>
      <c r="I189" s="3292"/>
      <c r="J189" s="3291"/>
      <c r="K189" s="3291"/>
      <c r="L189" s="3291"/>
      <c r="M189" s="3291"/>
    </row>
    <row r="190" spans="1:21" ht="14.25" hidden="1">
      <c r="A190" s="3290"/>
      <c r="B190" s="3291"/>
      <c r="C190" s="3291"/>
      <c r="D190" s="3291"/>
      <c r="E190" s="3291"/>
      <c r="F190" s="3291"/>
      <c r="G190" s="3292"/>
      <c r="H190" s="3291"/>
      <c r="I190" s="3292"/>
      <c r="J190" s="3291"/>
      <c r="K190" s="3291"/>
      <c r="L190" s="3291"/>
      <c r="M190" s="3291"/>
    </row>
    <row r="191" spans="1:21" ht="14.25" hidden="1">
      <c r="A191" s="3290"/>
      <c r="B191" s="3291"/>
      <c r="C191" s="3291"/>
      <c r="D191" s="3291"/>
      <c r="E191" s="3291"/>
      <c r="F191" s="3291"/>
      <c r="G191" s="3292"/>
      <c r="H191" s="3291"/>
      <c r="I191" s="3292"/>
      <c r="J191" s="3291"/>
      <c r="K191" s="3291"/>
      <c r="L191" s="3291"/>
      <c r="M191" s="3291"/>
    </row>
    <row r="192" spans="1:21" ht="14.25" hidden="1">
      <c r="A192" s="3290"/>
      <c r="B192" s="3291"/>
      <c r="C192" s="3291"/>
      <c r="D192" s="3291"/>
      <c r="E192" s="3291"/>
      <c r="F192" s="3291"/>
      <c r="G192" s="3292"/>
      <c r="H192" s="3291"/>
      <c r="I192" s="3292"/>
      <c r="J192" s="3291"/>
      <c r="K192" s="3291"/>
      <c r="L192" s="3291"/>
      <c r="M192" s="3291"/>
      <c r="T192" s="3209">
        <f>28.5</f>
        <v>28.5</v>
      </c>
    </row>
    <row r="193" spans="1:21" ht="14.25" hidden="1">
      <c r="A193" s="3290"/>
      <c r="B193" s="3291"/>
      <c r="C193" s="3291"/>
      <c r="D193" s="3291"/>
      <c r="E193" s="3291"/>
      <c r="F193" s="3291"/>
      <c r="G193" s="3292"/>
      <c r="H193" s="3291"/>
      <c r="I193" s="3292"/>
      <c r="J193" s="3291"/>
      <c r="K193" s="3291"/>
      <c r="L193" s="3291"/>
      <c r="M193" s="3291"/>
    </row>
    <row r="194" spans="1:21" ht="14.25" hidden="1">
      <c r="A194" s="3290"/>
      <c r="B194" s="3291"/>
      <c r="C194" s="3291"/>
      <c r="D194" s="3291"/>
      <c r="E194" s="3291"/>
      <c r="F194" s="3291"/>
      <c r="G194" s="3292"/>
      <c r="H194" s="3291"/>
      <c r="I194" s="3292"/>
      <c r="J194" s="3291"/>
      <c r="K194" s="3291"/>
      <c r="L194" s="3291"/>
      <c r="M194" s="3291"/>
    </row>
    <row r="195" spans="1:21" ht="14.25" hidden="1">
      <c r="A195" s="3290"/>
      <c r="B195" s="3291"/>
      <c r="C195" s="3291"/>
      <c r="D195" s="3291"/>
      <c r="E195" s="3291"/>
      <c r="F195" s="3291"/>
      <c r="G195" s="3292"/>
      <c r="H195" s="3291"/>
      <c r="I195" s="3292"/>
      <c r="J195" s="3291"/>
      <c r="K195" s="3291"/>
      <c r="L195" s="3291"/>
      <c r="M195" s="3291"/>
      <c r="U195" s="3209">
        <f>S180-T192</f>
        <v>-28.5</v>
      </c>
    </row>
    <row r="196" spans="1:21" ht="14.25" hidden="1">
      <c r="A196" s="3290"/>
      <c r="B196" s="3291"/>
      <c r="C196" s="3291"/>
      <c r="D196" s="3291"/>
      <c r="E196" s="3291"/>
      <c r="F196" s="3291"/>
      <c r="G196" s="3292"/>
      <c r="H196" s="3291"/>
      <c r="I196" s="3292"/>
      <c r="J196" s="3291"/>
      <c r="K196" s="3291"/>
      <c r="L196" s="3291"/>
      <c r="M196" s="3291"/>
    </row>
    <row r="197" spans="1:21" ht="14.25" hidden="1">
      <c r="A197" s="3290"/>
      <c r="B197" s="3291"/>
      <c r="C197" s="3291"/>
      <c r="D197" s="3291"/>
      <c r="E197" s="3291"/>
      <c r="F197" s="3291"/>
      <c r="G197" s="3292"/>
      <c r="H197" s="3291"/>
      <c r="I197" s="3292"/>
      <c r="J197" s="3291"/>
      <c r="K197" s="3291"/>
      <c r="L197" s="3291"/>
      <c r="M197" s="3291"/>
    </row>
    <row r="198" spans="1:21" ht="14.25" hidden="1">
      <c r="A198" s="3290"/>
      <c r="B198" s="3291"/>
      <c r="C198" s="3291"/>
      <c r="D198" s="3291"/>
      <c r="E198" s="3291"/>
      <c r="F198" s="3291"/>
      <c r="G198" s="3292"/>
      <c r="H198" s="3291"/>
      <c r="I198" s="3292"/>
      <c r="J198" s="3291"/>
      <c r="K198" s="3291"/>
      <c r="L198" s="3291"/>
      <c r="M198" s="3291"/>
    </row>
    <row r="199" spans="1:21" ht="14.25" hidden="1">
      <c r="A199" s="3290"/>
      <c r="B199" s="3291"/>
      <c r="C199" s="3291"/>
      <c r="D199" s="3291"/>
      <c r="E199" s="3291"/>
      <c r="F199" s="3291"/>
      <c r="G199" s="3292"/>
      <c r="H199" s="3291"/>
      <c r="I199" s="3292"/>
      <c r="J199" s="3291"/>
      <c r="K199" s="3291"/>
      <c r="L199" s="3291"/>
      <c r="M199" s="3291"/>
    </row>
    <row r="200" spans="1:21" ht="14.25" hidden="1">
      <c r="A200" s="3290"/>
      <c r="B200" s="3291"/>
      <c r="C200" s="3291"/>
      <c r="D200" s="3291"/>
      <c r="E200" s="3291"/>
      <c r="F200" s="3291"/>
      <c r="G200" s="3292"/>
      <c r="H200" s="3291"/>
      <c r="I200" s="3292"/>
      <c r="J200" s="3291"/>
      <c r="K200" s="3291"/>
      <c r="L200" s="3291"/>
      <c r="M200" s="3291"/>
    </row>
    <row r="201" spans="1:21" ht="14.25" hidden="1">
      <c r="A201" s="3290"/>
      <c r="B201" s="3291"/>
      <c r="C201" s="3291"/>
      <c r="D201" s="3291"/>
      <c r="E201" s="3291"/>
      <c r="F201" s="3291"/>
      <c r="G201" s="3292"/>
      <c r="H201" s="3291"/>
      <c r="I201" s="3292"/>
      <c r="J201" s="3291"/>
      <c r="K201" s="3291"/>
      <c r="L201" s="3291"/>
      <c r="M201" s="3291"/>
      <c r="U201" s="3860" t="s">
        <v>3292</v>
      </c>
    </row>
    <row r="202" spans="1:21" ht="14.25" hidden="1">
      <c r="A202" s="3290"/>
      <c r="B202" s="3291"/>
      <c r="C202" s="3291"/>
      <c r="D202" s="3291"/>
      <c r="E202" s="3291"/>
      <c r="F202" s="3291"/>
      <c r="G202" s="3292"/>
      <c r="H202" s="3291"/>
      <c r="I202" s="3292"/>
      <c r="J202" s="3291"/>
      <c r="K202" s="3291"/>
      <c r="L202" s="3291"/>
      <c r="M202" s="3291"/>
      <c r="U202" s="3861"/>
    </row>
    <row r="203" spans="1:21" ht="14.25" hidden="1">
      <c r="A203" s="3290"/>
      <c r="B203" s="3291"/>
      <c r="C203" s="3291"/>
      <c r="D203" s="3291"/>
      <c r="E203" s="3291"/>
      <c r="F203" s="3291"/>
      <c r="G203" s="3292"/>
      <c r="H203" s="3291"/>
      <c r="I203" s="3292"/>
      <c r="J203" s="3291"/>
      <c r="K203" s="3291"/>
      <c r="L203" s="3291"/>
      <c r="M203" s="3291"/>
      <c r="U203" s="3861"/>
    </row>
    <row r="204" spans="1:21" ht="14.25" hidden="1">
      <c r="A204" s="3290"/>
      <c r="B204" s="3291"/>
      <c r="C204" s="3291"/>
      <c r="D204" s="3291"/>
      <c r="E204" s="3291"/>
      <c r="F204" s="3291"/>
      <c r="G204" s="3292"/>
      <c r="H204" s="3291"/>
      <c r="I204" s="3292"/>
      <c r="J204" s="3291"/>
      <c r="K204" s="3291"/>
      <c r="L204" s="3291"/>
      <c r="M204" s="3291"/>
      <c r="U204" s="3862"/>
    </row>
    <row r="205" spans="1:21" ht="14.25" hidden="1">
      <c r="A205" s="3290"/>
      <c r="B205" s="3291"/>
      <c r="C205" s="3291"/>
      <c r="D205" s="3291"/>
      <c r="E205" s="3291"/>
      <c r="F205" s="3291"/>
      <c r="G205" s="3292"/>
      <c r="H205" s="3291"/>
      <c r="I205" s="3292"/>
      <c r="J205" s="3291"/>
      <c r="K205" s="3291"/>
      <c r="L205" s="3291"/>
      <c r="M205" s="3291"/>
      <c r="U205" s="3296" t="s">
        <v>3293</v>
      </c>
    </row>
    <row r="206" spans="1:21" ht="14.25" hidden="1">
      <c r="A206" s="3290"/>
      <c r="B206" s="3291"/>
      <c r="C206" s="3291"/>
      <c r="D206" s="3291"/>
      <c r="E206" s="3291"/>
      <c r="F206" s="3291"/>
      <c r="G206" s="3292"/>
      <c r="H206" s="3291"/>
      <c r="I206" s="3292"/>
      <c r="J206" s="3291"/>
      <c r="K206" s="3291"/>
      <c r="L206" s="3291"/>
      <c r="M206" s="3291"/>
      <c r="U206" s="3297"/>
    </row>
    <row r="207" spans="1:21" ht="14.25">
      <c r="A207" s="3290"/>
      <c r="B207" s="3291"/>
      <c r="C207" s="3291"/>
      <c r="D207" s="3291"/>
      <c r="E207" s="3291"/>
      <c r="F207" s="3291"/>
      <c r="G207" s="3292"/>
      <c r="H207" s="3291"/>
      <c r="I207" s="3292"/>
      <c r="J207" s="3291"/>
      <c r="K207" s="3291"/>
      <c r="L207" s="3291"/>
      <c r="M207" s="3291"/>
      <c r="U207" s="3296" t="s">
        <v>3294</v>
      </c>
    </row>
    <row r="208" spans="1:21" ht="14.25">
      <c r="A208" s="3290"/>
      <c r="B208" s="3291"/>
      <c r="C208" s="3291"/>
      <c r="D208" s="3291"/>
      <c r="E208" s="3291"/>
      <c r="F208" s="3291"/>
      <c r="G208" s="3292"/>
      <c r="H208" s="3291"/>
      <c r="I208" s="3298" t="s">
        <v>3295</v>
      </c>
      <c r="J208" s="3298"/>
      <c r="K208" s="3291" t="s">
        <v>3296</v>
      </c>
      <c r="L208" s="3291"/>
      <c r="M208" s="3291" t="s">
        <v>3297</v>
      </c>
      <c r="U208" s="3297"/>
    </row>
    <row r="209" spans="1:22" ht="14.25">
      <c r="A209" s="3290"/>
      <c r="B209" s="3291"/>
      <c r="C209" s="3291"/>
      <c r="D209" s="3291"/>
      <c r="E209" s="3291"/>
      <c r="F209" s="3291"/>
      <c r="G209" s="3292"/>
      <c r="H209" s="3291"/>
      <c r="I209" s="3299" t="s">
        <v>3298</v>
      </c>
      <c r="J209" s="3299"/>
      <c r="K209" s="3291" t="s">
        <v>3299</v>
      </c>
      <c r="L209" s="3291"/>
      <c r="M209" s="3291" t="s">
        <v>3300</v>
      </c>
      <c r="P209" s="3300"/>
      <c r="Q209" s="3298"/>
      <c r="R209" s="3298" t="s">
        <v>3301</v>
      </c>
      <c r="S209" s="3298" t="s">
        <v>3302</v>
      </c>
      <c r="T209" s="3300"/>
      <c r="U209" s="3301" t="s">
        <v>3303</v>
      </c>
    </row>
    <row r="210" spans="1:22" ht="14.25">
      <c r="A210" s="3290"/>
      <c r="B210" s="3291"/>
      <c r="C210" s="3291"/>
      <c r="D210" s="3291"/>
      <c r="E210" s="3291"/>
      <c r="F210" s="3291"/>
      <c r="G210" s="3292"/>
      <c r="H210" s="3291"/>
      <c r="I210" s="3292"/>
      <c r="J210" s="3291"/>
      <c r="K210" s="3291"/>
      <c r="L210" s="3291"/>
      <c r="M210" s="3291"/>
      <c r="P210" s="3298" t="s">
        <v>3304</v>
      </c>
      <c r="Q210" s="3302" t="s">
        <v>3305</v>
      </c>
      <c r="R210" s="3300">
        <f>R26+R36+R48+R66+R77+R101+R113</f>
        <v>39328.800000000003</v>
      </c>
      <c r="S210" s="3300">
        <v>29824.79</v>
      </c>
      <c r="T210" s="3298" t="s">
        <v>3287</v>
      </c>
      <c r="U210" s="3300">
        <f>ROUND(R176*S210/(S210+S215),2)</f>
        <v>12357.24</v>
      </c>
    </row>
    <row r="211" spans="1:22" ht="14.25">
      <c r="A211" s="3290"/>
      <c r="B211" s="3291"/>
      <c r="C211" s="3291"/>
      <c r="D211" s="3291"/>
      <c r="E211" s="3291"/>
      <c r="F211" s="3291"/>
      <c r="G211" s="3292"/>
      <c r="H211" s="3291"/>
      <c r="I211" s="3292"/>
      <c r="J211" s="3291"/>
      <c r="K211" s="3291"/>
      <c r="L211" s="3291"/>
      <c r="M211" s="3291"/>
      <c r="P211" s="3300"/>
      <c r="Q211" s="3302" t="s">
        <v>3306</v>
      </c>
      <c r="R211" s="3300">
        <f>R27+R37+R49+R67+R78+R102+R114</f>
        <v>5058.3500000000004</v>
      </c>
      <c r="S211" s="3300"/>
      <c r="T211" s="3301" t="s">
        <v>3307</v>
      </c>
      <c r="U211" s="3300">
        <f>ROUND(R177*S210/(S210+S215),2)</f>
        <v>365.51</v>
      </c>
    </row>
    <row r="212" spans="1:22" ht="14.25">
      <c r="A212" s="3290"/>
      <c r="B212" s="3291"/>
      <c r="C212" s="3291"/>
      <c r="D212" s="3291"/>
      <c r="E212" s="3291"/>
      <c r="F212" s="3291"/>
      <c r="G212" s="3292"/>
      <c r="H212" s="3291"/>
      <c r="I212" s="3292"/>
      <c r="J212" s="3291"/>
      <c r="K212" s="3291"/>
      <c r="L212" s="3291"/>
      <c r="M212" s="3291"/>
      <c r="P212" s="3300"/>
      <c r="Q212" s="3303" t="s">
        <v>3308</v>
      </c>
      <c r="R212" s="3300">
        <f>R28+R38+R50+R68+R79+R103+R115</f>
        <v>735.83999999999992</v>
      </c>
      <c r="S212" s="3300"/>
      <c r="T212" s="3300"/>
      <c r="U212" s="3300"/>
    </row>
    <row r="213" spans="1:22" ht="14.25">
      <c r="A213" s="3290"/>
      <c r="B213" s="3291"/>
      <c r="C213" s="3291"/>
      <c r="D213" s="3291"/>
      <c r="E213" s="3291"/>
      <c r="F213" s="3291"/>
      <c r="G213" s="3292"/>
      <c r="H213" s="3291"/>
      <c r="I213" s="3292"/>
      <c r="J213" s="3291"/>
      <c r="K213" s="3291"/>
      <c r="L213" s="3291"/>
      <c r="M213" s="3291"/>
      <c r="P213" s="3300"/>
      <c r="Q213" s="3303" t="s">
        <v>3309</v>
      </c>
      <c r="R213" s="3300">
        <v>0</v>
      </c>
      <c r="S213" s="3300"/>
      <c r="T213" s="3301" t="s">
        <v>3310</v>
      </c>
      <c r="U213" s="3300">
        <f>R210+R211+R212+R213+U210+U211</f>
        <v>57845.74</v>
      </c>
    </row>
    <row r="214" spans="1:22" ht="14.25">
      <c r="A214" s="3290"/>
      <c r="B214" s="3291"/>
      <c r="C214" s="3291"/>
      <c r="D214" s="3291"/>
      <c r="E214" s="3291"/>
      <c r="F214" s="3291"/>
      <c r="G214" s="3292"/>
      <c r="H214" s="3291"/>
      <c r="I214" s="3292"/>
      <c r="J214" s="3291"/>
      <c r="K214" s="3291"/>
      <c r="L214" s="3291"/>
      <c r="M214" s="3291"/>
      <c r="P214" s="3304"/>
      <c r="Q214" s="3304"/>
      <c r="R214" s="3304" t="s">
        <v>2944</v>
      </c>
      <c r="S214" s="3304" t="s">
        <v>3311</v>
      </c>
      <c r="T214" s="3304"/>
      <c r="U214" s="3304" t="s">
        <v>2944</v>
      </c>
      <c r="V214" s="3305"/>
    </row>
    <row r="215" spans="1:22" ht="14.25">
      <c r="A215" s="3290"/>
      <c r="B215" s="3291"/>
      <c r="C215" s="3291"/>
      <c r="D215" s="3291"/>
      <c r="E215" s="3291"/>
      <c r="F215" s="3291"/>
      <c r="G215" s="3292"/>
      <c r="H215" s="3291"/>
      <c r="I215" s="3292"/>
      <c r="J215" s="3291"/>
      <c r="K215" s="3291"/>
      <c r="L215" s="3291"/>
      <c r="M215" s="3291"/>
      <c r="P215" s="3299" t="s">
        <v>3312</v>
      </c>
      <c r="Q215" s="3299" t="s">
        <v>3313</v>
      </c>
      <c r="R215" s="3304">
        <f>R5+R20+R60+R89+R95+R125+R141+R147+R153+R159</f>
        <v>40256.550000000003</v>
      </c>
      <c r="S215" s="3304">
        <v>51586.92</v>
      </c>
      <c r="T215" s="3306" t="s">
        <v>3314</v>
      </c>
      <c r="U215" s="3307">
        <f>R176-U210</f>
        <v>21373.9</v>
      </c>
      <c r="V215" s="3305"/>
    </row>
    <row r="216" spans="1:22" ht="14.25">
      <c r="A216" s="3290"/>
      <c r="B216" s="3291"/>
      <c r="C216" s="3291"/>
      <c r="D216" s="3291"/>
      <c r="E216" s="3291"/>
      <c r="F216" s="3291"/>
      <c r="G216" s="3292"/>
      <c r="H216" s="3291"/>
      <c r="I216" s="3292"/>
      <c r="J216" s="3291"/>
      <c r="K216" s="3291"/>
      <c r="L216" s="3291"/>
      <c r="M216" s="3291"/>
      <c r="P216" s="3304"/>
      <c r="Q216" s="3299" t="s">
        <v>3315</v>
      </c>
      <c r="R216" s="3304">
        <f>R6+R126+R160</f>
        <v>2963.23</v>
      </c>
      <c r="S216" s="3304"/>
      <c r="T216" s="3308" t="s">
        <v>3316</v>
      </c>
      <c r="U216" s="3304">
        <f>R177-U211</f>
        <v>632.20000000000005</v>
      </c>
      <c r="V216" s="3305"/>
    </row>
    <row r="217" spans="1:22" ht="14.25">
      <c r="A217" s="3290"/>
      <c r="B217" s="3291"/>
      <c r="C217" s="3291"/>
      <c r="D217" s="3291"/>
      <c r="E217" s="3291"/>
      <c r="F217" s="3291"/>
      <c r="G217" s="3292"/>
      <c r="H217" s="3291"/>
      <c r="I217" s="3292"/>
      <c r="J217" s="3291"/>
      <c r="K217" s="3291"/>
      <c r="L217" s="3291"/>
      <c r="M217" s="3291"/>
      <c r="P217" s="3304"/>
      <c r="Q217" s="3299" t="s">
        <v>3317</v>
      </c>
      <c r="R217" s="3304">
        <f>R7+R22+R62+R127+R161+R172</f>
        <v>996.28000000000009</v>
      </c>
      <c r="S217" s="3304"/>
      <c r="T217" s="3304"/>
      <c r="U217" s="3304"/>
      <c r="V217" s="3305"/>
    </row>
    <row r="218" spans="1:22" ht="14.25">
      <c r="A218" s="3290"/>
      <c r="B218" s="3291"/>
      <c r="C218" s="3291"/>
      <c r="D218" s="3291"/>
      <c r="E218" s="3291"/>
      <c r="F218" s="3291"/>
      <c r="G218" s="3292"/>
      <c r="H218" s="3291"/>
      <c r="I218" s="3292"/>
      <c r="J218" s="3291"/>
      <c r="K218" s="3291"/>
      <c r="L218" s="3291"/>
      <c r="M218" s="3291"/>
      <c r="P218" s="3304"/>
      <c r="Q218" s="3304" t="s">
        <v>3318</v>
      </c>
      <c r="R218" s="3304">
        <f>R8</f>
        <v>135.66</v>
      </c>
      <c r="S218" s="3304"/>
      <c r="T218" s="3308" t="s">
        <v>3310</v>
      </c>
      <c r="U218" s="3309">
        <f>R215+R216+R217+R218+R219+U215+U216</f>
        <v>71758.720000000016</v>
      </c>
      <c r="V218" s="3305"/>
    </row>
    <row r="219" spans="1:22" ht="14.25">
      <c r="A219" s="3290"/>
      <c r="B219" s="3291"/>
      <c r="C219" s="3291"/>
      <c r="D219" s="3291"/>
      <c r="E219" s="3291"/>
      <c r="F219" s="3291"/>
      <c r="G219" s="3292"/>
      <c r="H219" s="3291"/>
      <c r="I219" s="3292"/>
      <c r="J219" s="3291"/>
      <c r="K219" s="3291"/>
      <c r="L219" s="3291"/>
      <c r="M219" s="3291"/>
      <c r="P219" s="3304"/>
      <c r="Q219" s="3299" t="s">
        <v>3272</v>
      </c>
      <c r="R219" s="3304">
        <f>R137</f>
        <v>5400.9</v>
      </c>
      <c r="S219" s="3304"/>
      <c r="T219" s="3304"/>
      <c r="U219" s="3304"/>
    </row>
    <row r="221" spans="1:22">
      <c r="T221" s="3310" t="s">
        <v>3310</v>
      </c>
      <c r="U221" s="3311">
        <f>U213+U218</f>
        <v>129604.46000000002</v>
      </c>
    </row>
    <row r="222" spans="1:22">
      <c r="T222" s="3209">
        <f>R210+R211+U210</f>
        <v>56744.39</v>
      </c>
    </row>
  </sheetData>
  <mergeCells count="217">
    <mergeCell ref="F13:F14"/>
    <mergeCell ref="C15:C16"/>
    <mergeCell ref="E15:E16"/>
    <mergeCell ref="F15:F16"/>
    <mergeCell ref="C17:C18"/>
    <mergeCell ref="E17:E18"/>
    <mergeCell ref="F17:F18"/>
    <mergeCell ref="A1:K1"/>
    <mergeCell ref="A2:A4"/>
    <mergeCell ref="B2:B4"/>
    <mergeCell ref="C2:C4"/>
    <mergeCell ref="D2:D4"/>
    <mergeCell ref="E2:E4"/>
    <mergeCell ref="F2:F4"/>
    <mergeCell ref="G2:G4"/>
    <mergeCell ref="H2:H4"/>
    <mergeCell ref="I2:I4"/>
    <mergeCell ref="K2:K4"/>
    <mergeCell ref="J2:J4"/>
    <mergeCell ref="F26:F28"/>
    <mergeCell ref="C29:C30"/>
    <mergeCell ref="E29:E30"/>
    <mergeCell ref="F29:F30"/>
    <mergeCell ref="C31:C32"/>
    <mergeCell ref="E31:E32"/>
    <mergeCell ref="F31:F32"/>
    <mergeCell ref="B19:C19"/>
    <mergeCell ref="A20:A25"/>
    <mergeCell ref="B20:B24"/>
    <mergeCell ref="B25:C25"/>
    <mergeCell ref="A26:A35"/>
    <mergeCell ref="B26:B34"/>
    <mergeCell ref="C26:C28"/>
    <mergeCell ref="C33:C34"/>
    <mergeCell ref="A5:A19"/>
    <mergeCell ref="B5:B18"/>
    <mergeCell ref="C5:C9"/>
    <mergeCell ref="F5:F9"/>
    <mergeCell ref="C10:C12"/>
    <mergeCell ref="E10:E12"/>
    <mergeCell ref="F10:F12"/>
    <mergeCell ref="C13:C14"/>
    <mergeCell ref="E13:E14"/>
    <mergeCell ref="E33:E34"/>
    <mergeCell ref="F33:F34"/>
    <mergeCell ref="B35:C35"/>
    <mergeCell ref="B36:B46"/>
    <mergeCell ref="C36:C38"/>
    <mergeCell ref="F36:F38"/>
    <mergeCell ref="E37:E38"/>
    <mergeCell ref="C39:C40"/>
    <mergeCell ref="E39:E40"/>
    <mergeCell ref="C45:C46"/>
    <mergeCell ref="E45:E46"/>
    <mergeCell ref="F45:F46"/>
    <mergeCell ref="B47:C47"/>
    <mergeCell ref="A48:A59"/>
    <mergeCell ref="B48:B58"/>
    <mergeCell ref="C48:C50"/>
    <mergeCell ref="F48:F50"/>
    <mergeCell ref="C51:C52"/>
    <mergeCell ref="E51:E52"/>
    <mergeCell ref="A36:A47"/>
    <mergeCell ref="C57:C58"/>
    <mergeCell ref="E57:E58"/>
    <mergeCell ref="F57:F58"/>
    <mergeCell ref="B59:C59"/>
    <mergeCell ref="F39:F40"/>
    <mergeCell ref="C41:C42"/>
    <mergeCell ref="E41:E42"/>
    <mergeCell ref="F41:F42"/>
    <mergeCell ref="C43:C44"/>
    <mergeCell ref="E43:E44"/>
    <mergeCell ref="F43:F44"/>
    <mergeCell ref="A60:A65"/>
    <mergeCell ref="B60:B64"/>
    <mergeCell ref="B65:C65"/>
    <mergeCell ref="F51:F52"/>
    <mergeCell ref="C53:C54"/>
    <mergeCell ref="E53:E54"/>
    <mergeCell ref="F53:F54"/>
    <mergeCell ref="C55:C56"/>
    <mergeCell ref="E55:E56"/>
    <mergeCell ref="F55:F56"/>
    <mergeCell ref="C72:C73"/>
    <mergeCell ref="E72:E73"/>
    <mergeCell ref="F72:F73"/>
    <mergeCell ref="C74:C75"/>
    <mergeCell ref="E74:E75"/>
    <mergeCell ref="F74:F75"/>
    <mergeCell ref="A66:A76"/>
    <mergeCell ref="B66:B75"/>
    <mergeCell ref="C66:C67"/>
    <mergeCell ref="F66:F67"/>
    <mergeCell ref="C68:C69"/>
    <mergeCell ref="E68:E69"/>
    <mergeCell ref="F68:F69"/>
    <mergeCell ref="C70:C71"/>
    <mergeCell ref="E70:E71"/>
    <mergeCell ref="F70:F71"/>
    <mergeCell ref="B76:C76"/>
    <mergeCell ref="A89:A94"/>
    <mergeCell ref="B89:B93"/>
    <mergeCell ref="B94:C94"/>
    <mergeCell ref="A95:A100"/>
    <mergeCell ref="B95:B99"/>
    <mergeCell ref="B100:C100"/>
    <mergeCell ref="F82:F83"/>
    <mergeCell ref="C84:C85"/>
    <mergeCell ref="E84:E85"/>
    <mergeCell ref="F84:F85"/>
    <mergeCell ref="C86:C87"/>
    <mergeCell ref="E86:E87"/>
    <mergeCell ref="F86:F87"/>
    <mergeCell ref="A77:A88"/>
    <mergeCell ref="B77:B87"/>
    <mergeCell ref="C77:C79"/>
    <mergeCell ref="F77:F79"/>
    <mergeCell ref="C80:C81"/>
    <mergeCell ref="E80:E81"/>
    <mergeCell ref="F80:F81"/>
    <mergeCell ref="C82:C83"/>
    <mergeCell ref="E82:E83"/>
    <mergeCell ref="B88:C88"/>
    <mergeCell ref="C108:C109"/>
    <mergeCell ref="E108:E109"/>
    <mergeCell ref="F108:F109"/>
    <mergeCell ref="C110:C111"/>
    <mergeCell ref="E110:E111"/>
    <mergeCell ref="F110:F111"/>
    <mergeCell ref="A101:A112"/>
    <mergeCell ref="B101:B111"/>
    <mergeCell ref="C101:C103"/>
    <mergeCell ref="F101:F103"/>
    <mergeCell ref="C104:C105"/>
    <mergeCell ref="E104:E105"/>
    <mergeCell ref="F104:F105"/>
    <mergeCell ref="C106:C107"/>
    <mergeCell ref="E106:E107"/>
    <mergeCell ref="F106:F107"/>
    <mergeCell ref="F118:F119"/>
    <mergeCell ref="C120:C121"/>
    <mergeCell ref="E120:E121"/>
    <mergeCell ref="F120:F121"/>
    <mergeCell ref="C122:C123"/>
    <mergeCell ref="E122:E123"/>
    <mergeCell ref="F122:F123"/>
    <mergeCell ref="B112:C112"/>
    <mergeCell ref="A113:A124"/>
    <mergeCell ref="B113:B123"/>
    <mergeCell ref="C113:C115"/>
    <mergeCell ref="F113:F115"/>
    <mergeCell ref="C116:C117"/>
    <mergeCell ref="E116:E117"/>
    <mergeCell ref="F116:F117"/>
    <mergeCell ref="C118:C119"/>
    <mergeCell ref="E118:E119"/>
    <mergeCell ref="F130:F131"/>
    <mergeCell ref="C132:C133"/>
    <mergeCell ref="E132:E133"/>
    <mergeCell ref="F132:F133"/>
    <mergeCell ref="C134:C135"/>
    <mergeCell ref="E134:E135"/>
    <mergeCell ref="F134:F135"/>
    <mergeCell ref="B124:C124"/>
    <mergeCell ref="A125:A136"/>
    <mergeCell ref="B125:B135"/>
    <mergeCell ref="C125:C127"/>
    <mergeCell ref="F125:F127"/>
    <mergeCell ref="C128:C129"/>
    <mergeCell ref="E128:E129"/>
    <mergeCell ref="F128:F129"/>
    <mergeCell ref="C130:C131"/>
    <mergeCell ref="E130:E131"/>
    <mergeCell ref="A147:A152"/>
    <mergeCell ref="B147:B151"/>
    <mergeCell ref="B152:C152"/>
    <mergeCell ref="A153:A158"/>
    <mergeCell ref="B153:B157"/>
    <mergeCell ref="B158:C158"/>
    <mergeCell ref="B136:C136"/>
    <mergeCell ref="A137:A140"/>
    <mergeCell ref="B137:B139"/>
    <mergeCell ref="B140:C140"/>
    <mergeCell ref="A141:A146"/>
    <mergeCell ref="B141:B145"/>
    <mergeCell ref="B146:C146"/>
    <mergeCell ref="C167:C168"/>
    <mergeCell ref="E167:E168"/>
    <mergeCell ref="F167:F168"/>
    <mergeCell ref="C169:C170"/>
    <mergeCell ref="E169:E170"/>
    <mergeCell ref="F169:F170"/>
    <mergeCell ref="A159:A171"/>
    <mergeCell ref="B159:B170"/>
    <mergeCell ref="C159:C162"/>
    <mergeCell ref="F159:F162"/>
    <mergeCell ref="C163:C164"/>
    <mergeCell ref="E163:E164"/>
    <mergeCell ref="F163:F164"/>
    <mergeCell ref="C165:C166"/>
    <mergeCell ref="E165:E166"/>
    <mergeCell ref="F165:F166"/>
    <mergeCell ref="E176:E177"/>
    <mergeCell ref="F176:F177"/>
    <mergeCell ref="B178:C178"/>
    <mergeCell ref="A179:C179"/>
    <mergeCell ref="A180:K180"/>
    <mergeCell ref="U201:U204"/>
    <mergeCell ref="B171:C171"/>
    <mergeCell ref="A172:A175"/>
    <mergeCell ref="B172:B173"/>
    <mergeCell ref="C172:C173"/>
    <mergeCell ref="B175:C175"/>
    <mergeCell ref="A176:A178"/>
    <mergeCell ref="B176:B177"/>
    <mergeCell ref="C176:C177"/>
  </mergeCells>
  <phoneticPr fontId="22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27" sqref="E27"/>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916" t="s">
        <v>203</v>
      </c>
      <c r="B2" s="3916"/>
      <c r="C2" s="3916"/>
      <c r="D2" s="1958" t="s">
        <v>204</v>
      </c>
      <c r="E2" s="106" t="s">
        <v>205</v>
      </c>
      <c r="F2" s="1967"/>
      <c r="G2" s="1193"/>
      <c r="H2" s="1194"/>
      <c r="I2" s="1195" t="s">
        <v>857</v>
      </c>
      <c r="J2" s="1967"/>
      <c r="K2" s="1967"/>
      <c r="L2" s="1967"/>
    </row>
    <row r="3" spans="1:16" ht="15.75" thickBot="1">
      <c r="A3" s="3917" t="s">
        <v>206</v>
      </c>
      <c r="B3" s="3917"/>
      <c r="C3" s="3917"/>
      <c r="D3" s="107">
        <f>'数据-基础表'!AY6</f>
        <v>27220.14</v>
      </c>
      <c r="E3" s="107">
        <f>'数据-基础表'!AZ5</f>
        <v>163564.33000000002</v>
      </c>
      <c r="F3" s="1967"/>
      <c r="G3" s="279" t="s">
        <v>858</v>
      </c>
      <c r="H3" s="274" t="s">
        <v>859</v>
      </c>
      <c r="I3" s="1959">
        <f>ROUND('数据-基础表'!B3/'数据-基础表'!A3,2)</f>
        <v>6.01</v>
      </c>
      <c r="J3" s="1967"/>
      <c r="K3" s="1967"/>
      <c r="L3" s="1967"/>
    </row>
    <row r="4" spans="1:16" ht="15">
      <c r="A4" s="3918"/>
      <c r="B4" s="3919"/>
      <c r="C4" s="3920"/>
      <c r="D4" s="108" t="s">
        <v>204</v>
      </c>
      <c r="E4" s="109" t="s">
        <v>205</v>
      </c>
      <c r="F4" s="1967"/>
      <c r="G4" s="1196"/>
      <c r="H4" s="274" t="s">
        <v>860</v>
      </c>
      <c r="I4" s="1959">
        <f>ROUND(SUMIF('数据-基础表'!I9:AS9,"地上",'数据-基础表'!I5:AS5)/'数据-基础表'!A3,2)</f>
        <v>4.96</v>
      </c>
      <c r="J4" s="1967"/>
      <c r="K4" s="1967"/>
      <c r="L4" s="1967"/>
    </row>
    <row r="5" spans="1:16">
      <c r="A5" s="110" t="s">
        <v>207</v>
      </c>
      <c r="B5" s="3921" t="s">
        <v>230</v>
      </c>
      <c r="C5" s="3921"/>
      <c r="D5" s="111">
        <f>ROUND($D$3*E5/$E$3,2)</f>
        <v>20306.86</v>
      </c>
      <c r="E5" s="112">
        <f>SUMIF('数据-基础表'!$11:$11,"住宅",'数据-基础表'!$5:$5)</f>
        <v>122022.8</v>
      </c>
      <c r="F5" s="1967"/>
      <c r="G5" s="279" t="s">
        <v>861</v>
      </c>
      <c r="H5" s="274" t="s">
        <v>859</v>
      </c>
      <c r="I5" s="1959">
        <f>ROUND(E31/D31,2)</f>
        <v>6.01</v>
      </c>
      <c r="J5" s="1967"/>
      <c r="K5" s="1967"/>
      <c r="L5" s="1967"/>
    </row>
    <row r="6" spans="1:16" ht="15" thickBot="1">
      <c r="A6" s="113"/>
      <c r="B6" s="3921" t="s">
        <v>208</v>
      </c>
      <c r="C6" s="3921"/>
      <c r="D6" s="111">
        <f>ROUND($D$3*E6/$E$3,2)</f>
        <v>6913.28</v>
      </c>
      <c r="E6" s="112">
        <f>E3-E5</f>
        <v>41541.530000000013</v>
      </c>
      <c r="F6" s="1967"/>
      <c r="G6" s="1196"/>
      <c r="H6" s="274" t="s">
        <v>860</v>
      </c>
      <c r="I6" s="1959">
        <f>ROUND(F31/D31,2)</f>
        <v>4.96</v>
      </c>
      <c r="J6" s="1967"/>
      <c r="K6" s="1967"/>
      <c r="L6" s="1967"/>
    </row>
    <row r="7" spans="1:16" ht="15">
      <c r="A7" s="3913"/>
      <c r="B7" s="3914"/>
      <c r="C7" s="3915"/>
      <c r="D7" s="108" t="s">
        <v>204</v>
      </c>
      <c r="E7" s="114" t="s">
        <v>231</v>
      </c>
      <c r="F7" s="1967"/>
      <c r="G7" s="1151" t="s">
        <v>1645</v>
      </c>
      <c r="H7" s="1152"/>
      <c r="I7" s="1829">
        <f>ROUND(131992.1/'数据-基础表'!A3,1)</f>
        <v>4.8</v>
      </c>
      <c r="J7" s="1967"/>
      <c r="K7" s="1967"/>
      <c r="L7" s="1967"/>
    </row>
    <row r="8" spans="1:16">
      <c r="A8" s="110" t="s">
        <v>209</v>
      </c>
      <c r="B8" s="115" t="s">
        <v>210</v>
      </c>
      <c r="C8" s="111" t="s">
        <v>211</v>
      </c>
      <c r="D8" s="111">
        <f t="shared" ref="D8:D15" si="0">ROUND($D$3*E8/$E$3,2)</f>
        <v>21817.3</v>
      </c>
      <c r="E8" s="116">
        <f>SUMIF('数据-基础表'!BB10:BK10,"地上",'数据-基础表'!BB5:BK5)</f>
        <v>131098.96</v>
      </c>
      <c r="F8" s="1967"/>
      <c r="G8" s="1969"/>
      <c r="H8" s="1969"/>
      <c r="I8" s="1967"/>
      <c r="J8" s="1967"/>
      <c r="K8" s="1967"/>
      <c r="L8" s="1967"/>
    </row>
    <row r="9" spans="1:16">
      <c r="A9" s="117"/>
      <c r="B9" s="118"/>
      <c r="C9" s="111" t="s">
        <v>212</v>
      </c>
      <c r="D9" s="111">
        <f t="shared" si="0"/>
        <v>0</v>
      </c>
      <c r="E9" s="119">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2327</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2334</v>
      </c>
      <c r="D13" s="111">
        <f t="shared" si="0"/>
        <v>4759.2700000000004</v>
      </c>
      <c r="E13" s="116">
        <f>SUMPRODUCT(('数据-基础表'!BB10:BK10="地下")*('数据-基础表'!BB11:BK11="车库")*('数据-基础表'!BB5:BK5))</f>
        <v>28598.17</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26576.57</v>
      </c>
      <c r="E16" s="120">
        <f>SUM(E8:E15)</f>
        <v>159697.13</v>
      </c>
      <c r="F16" s="1967"/>
      <c r="G16" s="1969"/>
      <c r="H16" s="967" t="s">
        <v>219</v>
      </c>
      <c r="I16" s="968"/>
      <c r="J16" s="1967"/>
      <c r="K16" s="3907" t="s">
        <v>2565</v>
      </c>
      <c r="L16" s="3908"/>
      <c r="M16" s="3908"/>
      <c r="N16" s="3908"/>
      <c r="O16" s="3908"/>
      <c r="P16" s="3909"/>
    </row>
    <row r="17" spans="1:19" ht="15">
      <c r="A17" s="121" t="s">
        <v>216</v>
      </c>
      <c r="B17" s="122" t="s">
        <v>217</v>
      </c>
      <c r="C17" s="2281" t="s">
        <v>2313</v>
      </c>
      <c r="D17" s="108" t="s">
        <v>204</v>
      </c>
      <c r="E17" s="124" t="s">
        <v>205</v>
      </c>
      <c r="F17" s="125"/>
      <c r="G17" s="1361"/>
      <c r="H17" s="969" t="s">
        <v>218</v>
      </c>
      <c r="I17" s="970" t="s">
        <v>2312</v>
      </c>
      <c r="J17" s="1967"/>
      <c r="K17" s="3910" t="s">
        <v>2566</v>
      </c>
      <c r="L17" s="3911"/>
      <c r="M17" s="3912"/>
      <c r="N17" s="3910" t="s">
        <v>2567</v>
      </c>
      <c r="O17" s="3911"/>
      <c r="P17" s="3912"/>
      <c r="R17" s="2282" t="s">
        <v>2311</v>
      </c>
      <c r="S17" s="144"/>
    </row>
    <row r="18" spans="1:19" ht="15">
      <c r="A18" s="117"/>
      <c r="B18" s="128"/>
      <c r="C18" s="129"/>
      <c r="D18" s="2604"/>
      <c r="E18" s="130" t="s">
        <v>220</v>
      </c>
      <c r="F18" s="131" t="s">
        <v>221</v>
      </c>
      <c r="G18" s="1362" t="s">
        <v>222</v>
      </c>
      <c r="H18" s="971" t="s">
        <v>223</v>
      </c>
      <c r="I18" s="972" t="s">
        <v>224</v>
      </c>
      <c r="J18" s="1967"/>
      <c r="K18" s="2567" t="s">
        <v>2568</v>
      </c>
      <c r="L18" s="2568" t="s">
        <v>2569</v>
      </c>
      <c r="M18" s="2569" t="s">
        <v>2570</v>
      </c>
      <c r="N18" s="2567" t="s">
        <v>2568</v>
      </c>
      <c r="O18" s="2568" t="s">
        <v>2569</v>
      </c>
      <c r="P18" s="2569" t="s">
        <v>2570</v>
      </c>
      <c r="R18" s="2283" t="s">
        <v>2309</v>
      </c>
      <c r="S18" s="2283" t="s">
        <v>2310</v>
      </c>
    </row>
    <row r="19" spans="1:19">
      <c r="A19" s="133"/>
      <c r="B19" s="115" t="s">
        <v>225</v>
      </c>
      <c r="C19" s="2974" t="s">
        <v>3002</v>
      </c>
      <c r="D19" s="111">
        <f t="shared" ref="D19:D26" si="1">ROUND($D$3*E19/$E$3,2)</f>
        <v>20306.86</v>
      </c>
      <c r="E19" s="134">
        <f t="shared" ref="E19:E26" si="2">SUM(F19:G19)</f>
        <v>122022.8</v>
      </c>
      <c r="F19" s="135">
        <f>'数据-基础表'!I13</f>
        <v>122022.8</v>
      </c>
      <c r="G19" s="1363"/>
      <c r="H19" s="973">
        <f>ROUND($D$3*I19/$E$3,2)</f>
        <v>533.80999999999995</v>
      </c>
      <c r="I19" s="116">
        <f>IF($I$17="自定义",P19,M19)</f>
        <v>3207.66</v>
      </c>
      <c r="J19" s="1967"/>
      <c r="K19" s="2570">
        <f t="shared" ref="K19:K26" si="3">ROUND(E$28*E19/E$27,2)</f>
        <v>2136.19</v>
      </c>
      <c r="L19" s="274">
        <f t="shared" ref="L19:L26" si="4">ROUND(IF(COUNTIF(C19,"*住宅*")&gt;0,E$29*E19/E$32,0),2)</f>
        <v>1071.47</v>
      </c>
      <c r="M19" s="2571">
        <f>K19+L19</f>
        <v>3207.66</v>
      </c>
      <c r="N19" s="2572"/>
      <c r="O19" s="2573"/>
      <c r="P19" s="2574">
        <f>N19+O19</f>
        <v>0</v>
      </c>
      <c r="R19" s="274">
        <f t="shared" ref="R19:S26" si="5">D19+H19</f>
        <v>20840.670000000002</v>
      </c>
      <c r="S19" s="2284">
        <f t="shared" si="5"/>
        <v>125230.46</v>
      </c>
    </row>
    <row r="20" spans="1:19">
      <c r="A20" s="138"/>
      <c r="B20" s="115" t="s">
        <v>226</v>
      </c>
      <c r="C20" s="2974" t="s">
        <v>3003</v>
      </c>
      <c r="D20" s="111">
        <f t="shared" si="1"/>
        <v>1510.44</v>
      </c>
      <c r="E20" s="134">
        <f t="shared" si="2"/>
        <v>9076.16</v>
      </c>
      <c r="F20" s="135">
        <f>'数据-基础表'!K13</f>
        <v>9076.16</v>
      </c>
      <c r="G20" s="1363"/>
      <c r="H20" s="973">
        <f t="shared" ref="H20:H26" si="6">ROUND($D$3*I20/$E$3,2)</f>
        <v>26.44</v>
      </c>
      <c r="I20" s="116">
        <f t="shared" ref="I20:I26" si="7">IF($I$17="自定义",P20,M20)</f>
        <v>158.88999999999999</v>
      </c>
      <c r="J20" s="1967"/>
      <c r="K20" s="2570">
        <f t="shared" si="3"/>
        <v>158.88999999999999</v>
      </c>
      <c r="L20" s="274">
        <f t="shared" si="4"/>
        <v>0</v>
      </c>
      <c r="M20" s="2571">
        <f t="shared" ref="M20:M26" si="8">K20+L20</f>
        <v>158.88999999999999</v>
      </c>
      <c r="N20" s="2572"/>
      <c r="O20" s="2573"/>
      <c r="P20" s="2574">
        <f t="shared" ref="P20:P26" si="9">N20+O20</f>
        <v>0</v>
      </c>
      <c r="R20" s="274">
        <f t="shared" si="5"/>
        <v>1536.88</v>
      </c>
      <c r="S20" s="2284">
        <f t="shared" si="5"/>
        <v>9235.0499999999993</v>
      </c>
    </row>
    <row r="21" spans="1:19">
      <c r="A21" s="138"/>
      <c r="B21" s="115" t="s">
        <v>226</v>
      </c>
      <c r="C21" s="2974" t="s">
        <v>3004</v>
      </c>
      <c r="D21" s="111">
        <f t="shared" si="1"/>
        <v>4759.2700000000004</v>
      </c>
      <c r="E21" s="134">
        <f t="shared" si="2"/>
        <v>28598.17</v>
      </c>
      <c r="F21" s="135"/>
      <c r="G21" s="1363">
        <f>'数据-基础表'!M13</f>
        <v>28598.17</v>
      </c>
      <c r="H21" s="973">
        <f t="shared" si="6"/>
        <v>83.32</v>
      </c>
      <c r="I21" s="116">
        <f t="shared" si="7"/>
        <v>500.65</v>
      </c>
      <c r="J21" s="1967"/>
      <c r="K21" s="2570">
        <f t="shared" si="3"/>
        <v>500.65</v>
      </c>
      <c r="L21" s="274">
        <f t="shared" si="4"/>
        <v>0</v>
      </c>
      <c r="M21" s="2571">
        <f t="shared" si="8"/>
        <v>500.65</v>
      </c>
      <c r="N21" s="2572"/>
      <c r="O21" s="2573"/>
      <c r="P21" s="2574">
        <f t="shared" si="9"/>
        <v>0</v>
      </c>
      <c r="R21" s="274">
        <f t="shared" si="5"/>
        <v>4842.59</v>
      </c>
      <c r="S21" s="2284">
        <f t="shared" si="5"/>
        <v>29098.82</v>
      </c>
    </row>
    <row r="22" spans="1:19">
      <c r="A22" s="138"/>
      <c r="B22" s="115" t="s">
        <v>226</v>
      </c>
      <c r="C22" s="1360"/>
      <c r="D22" s="111">
        <f t="shared" si="1"/>
        <v>0</v>
      </c>
      <c r="E22" s="134">
        <f t="shared" si="2"/>
        <v>0</v>
      </c>
      <c r="F22" s="140"/>
      <c r="G22" s="1364"/>
      <c r="H22" s="973">
        <f t="shared" si="6"/>
        <v>0</v>
      </c>
      <c r="I22" s="116">
        <f t="shared" si="7"/>
        <v>0</v>
      </c>
      <c r="J22" s="1967"/>
      <c r="K22" s="2570">
        <f t="shared" si="3"/>
        <v>0</v>
      </c>
      <c r="L22" s="274">
        <f t="shared" si="4"/>
        <v>0</v>
      </c>
      <c r="M22" s="2571">
        <f t="shared" si="8"/>
        <v>0</v>
      </c>
      <c r="N22" s="2572"/>
      <c r="O22" s="2573"/>
      <c r="P22" s="2574">
        <f t="shared" si="9"/>
        <v>0</v>
      </c>
      <c r="R22" s="274">
        <f t="shared" si="5"/>
        <v>0</v>
      </c>
      <c r="S22" s="2284">
        <f t="shared" si="5"/>
        <v>0</v>
      </c>
    </row>
    <row r="23" spans="1:19">
      <c r="A23" s="138"/>
      <c r="B23" s="115" t="s">
        <v>226</v>
      </c>
      <c r="C23" s="139"/>
      <c r="D23" s="111">
        <f>ROUND($D$3*E23/$E$3,2)</f>
        <v>0</v>
      </c>
      <c r="E23" s="134">
        <f>SUM(F23:G23)</f>
        <v>0</v>
      </c>
      <c r="F23" s="140"/>
      <c r="G23" s="1364"/>
      <c r="H23" s="973">
        <f>ROUND($D$3*I23/$E$3,2)</f>
        <v>0</v>
      </c>
      <c r="I23" s="116">
        <f t="shared" si="7"/>
        <v>0</v>
      </c>
      <c r="J23" s="1967"/>
      <c r="K23" s="2570">
        <f t="shared" si="3"/>
        <v>0</v>
      </c>
      <c r="L23" s="274">
        <f t="shared" si="4"/>
        <v>0</v>
      </c>
      <c r="M23" s="2571">
        <f t="shared" si="8"/>
        <v>0</v>
      </c>
      <c r="N23" s="2572"/>
      <c r="O23" s="2573"/>
      <c r="P23" s="2574">
        <f t="shared" si="9"/>
        <v>0</v>
      </c>
      <c r="R23" s="274">
        <f t="shared" si="5"/>
        <v>0</v>
      </c>
      <c r="S23" s="2284">
        <f t="shared" si="5"/>
        <v>0</v>
      </c>
    </row>
    <row r="24" spans="1:19">
      <c r="A24" s="138"/>
      <c r="B24" s="115" t="s">
        <v>226</v>
      </c>
      <c r="C24" s="139"/>
      <c r="D24" s="111">
        <f>ROUND($D$3*E24/$E$3,2)</f>
        <v>0</v>
      </c>
      <c r="E24" s="134">
        <f>SUM(F24:G24)</f>
        <v>0</v>
      </c>
      <c r="F24" s="140"/>
      <c r="G24" s="1364"/>
      <c r="H24" s="973">
        <f>ROUND($D$3*I24/$E$3,2)</f>
        <v>0</v>
      </c>
      <c r="I24" s="116">
        <f t="shared" si="7"/>
        <v>0</v>
      </c>
      <c r="J24" s="1967"/>
      <c r="K24" s="2570">
        <f t="shared" si="3"/>
        <v>0</v>
      </c>
      <c r="L24" s="274">
        <f t="shared" si="4"/>
        <v>0</v>
      </c>
      <c r="M24" s="2571">
        <f t="shared" si="8"/>
        <v>0</v>
      </c>
      <c r="N24" s="2572"/>
      <c r="O24" s="2573"/>
      <c r="P24" s="2574">
        <f t="shared" si="9"/>
        <v>0</v>
      </c>
      <c r="R24" s="274">
        <f t="shared" si="5"/>
        <v>0</v>
      </c>
      <c r="S24" s="2284">
        <f t="shared" si="5"/>
        <v>0</v>
      </c>
    </row>
    <row r="25" spans="1:19">
      <c r="A25" s="138"/>
      <c r="B25" s="115" t="s">
        <v>226</v>
      </c>
      <c r="C25" s="139"/>
      <c r="D25" s="111">
        <f t="shared" si="1"/>
        <v>0</v>
      </c>
      <c r="E25" s="134">
        <f t="shared" si="2"/>
        <v>0</v>
      </c>
      <c r="F25" s="140"/>
      <c r="G25" s="1364"/>
      <c r="H25" s="110">
        <f t="shared" si="6"/>
        <v>0</v>
      </c>
      <c r="I25" s="116">
        <f t="shared" si="7"/>
        <v>0</v>
      </c>
      <c r="J25" s="1967"/>
      <c r="K25" s="2570">
        <f t="shared" si="3"/>
        <v>0</v>
      </c>
      <c r="L25" s="274">
        <f t="shared" si="4"/>
        <v>0</v>
      </c>
      <c r="M25" s="2571">
        <f t="shared" si="8"/>
        <v>0</v>
      </c>
      <c r="N25" s="2572"/>
      <c r="O25" s="2573"/>
      <c r="P25" s="2574">
        <f t="shared" si="9"/>
        <v>0</v>
      </c>
      <c r="R25" s="274">
        <f t="shared" si="5"/>
        <v>0</v>
      </c>
      <c r="S25" s="2284">
        <f t="shared" si="5"/>
        <v>0</v>
      </c>
    </row>
    <row r="26" spans="1:19">
      <c r="A26" s="138"/>
      <c r="B26" s="115" t="s">
        <v>226</v>
      </c>
      <c r="C26" s="142"/>
      <c r="D26" s="111">
        <f t="shared" si="1"/>
        <v>0</v>
      </c>
      <c r="E26" s="134">
        <f t="shared" si="2"/>
        <v>0</v>
      </c>
      <c r="F26" s="140"/>
      <c r="G26" s="1364"/>
      <c r="H26" s="110">
        <f t="shared" si="6"/>
        <v>0</v>
      </c>
      <c r="I26" s="116">
        <f t="shared" si="7"/>
        <v>0</v>
      </c>
      <c r="J26" s="1967"/>
      <c r="K26" s="2575">
        <f t="shared" si="3"/>
        <v>0</v>
      </c>
      <c r="L26" s="279">
        <f t="shared" si="4"/>
        <v>0</v>
      </c>
      <c r="M26" s="146">
        <f t="shared" si="8"/>
        <v>0</v>
      </c>
      <c r="N26" s="2576"/>
      <c r="O26" s="2577"/>
      <c r="P26" s="2578">
        <f t="shared" si="9"/>
        <v>0</v>
      </c>
      <c r="R26" s="274">
        <f t="shared" si="5"/>
        <v>0</v>
      </c>
      <c r="S26" s="2284">
        <f t="shared" si="5"/>
        <v>0</v>
      </c>
    </row>
    <row r="27" spans="1:19" ht="15.75" thickBot="1">
      <c r="A27" s="138"/>
      <c r="B27" s="111"/>
      <c r="C27" s="127" t="s">
        <v>215</v>
      </c>
      <c r="D27" s="134">
        <f>SUM(D19:D26)</f>
        <v>26576.57</v>
      </c>
      <c r="E27" s="143">
        <f>IF(SUM(E19:E26)='数据-基础表'!BA5,SUM(E19:E26),IF(F27="地上面积有误","面积有误","地下面积有误"))</f>
        <v>159697.13</v>
      </c>
      <c r="F27" s="134">
        <f>IF(SUM(F19:F26)=E8,SUM(F19:F26),"地上面积有误")</f>
        <v>131098.96</v>
      </c>
      <c r="G27" s="112">
        <f>SUM(G19:G26)</f>
        <v>28598.17</v>
      </c>
      <c r="H27" s="974">
        <f>SUM(H19:H26)</f>
        <v>643.56999999999994</v>
      </c>
      <c r="I27" s="975">
        <f>SUM(I19:I26)</f>
        <v>3867.2</v>
      </c>
      <c r="J27" s="1967"/>
      <c r="K27" s="2579">
        <f>SUM(K19:K26)</f>
        <v>2795.73</v>
      </c>
      <c r="L27" s="2580">
        <f>SUM(L19:L26)</f>
        <v>1071.47</v>
      </c>
      <c r="M27" s="2581">
        <f>SUM(M19:M26)</f>
        <v>3867.2</v>
      </c>
      <c r="N27" s="2579">
        <f t="shared" ref="N27:O27" si="10">SUM(N19:N26)</f>
        <v>0</v>
      </c>
      <c r="O27" s="2580">
        <f t="shared" si="10"/>
        <v>0</v>
      </c>
      <c r="P27" s="2582">
        <f>SUM(P19:P26)</f>
        <v>0</v>
      </c>
      <c r="R27" s="2288">
        <f>IF(SUM(R19:R26)=$D$3,SUM(R19:R26),SUM(R19:R26)&amp;"误差"&amp;ROUND(SUM(R19:R26)-$D$3,2))</f>
        <v>27220.140000000003</v>
      </c>
      <c r="S27" s="274">
        <f>IF(SUM(S19:S26)=$E$3,SUM(S19:S26),SUM(S19:S26)&amp;"误差"&amp;ROUND(SUM(S19:S26)-E3,2))</f>
        <v>163564.33000000002</v>
      </c>
    </row>
    <row r="28" spans="1:19">
      <c r="A28" s="138"/>
      <c r="B28" s="115" t="s">
        <v>227</v>
      </c>
      <c r="C28" s="136" t="s">
        <v>228</v>
      </c>
      <c r="D28" s="111">
        <f>ROUND($D$3*E28/$E$3,2)</f>
        <v>465.26</v>
      </c>
      <c r="E28" s="134">
        <f>SUM(F28:G28)</f>
        <v>2795.73</v>
      </c>
      <c r="F28" s="144">
        <f>'数据-基础表'!BQ5+'数据-基础表'!BS5</f>
        <v>2795.73</v>
      </c>
      <c r="G28" s="145">
        <f>'数据-基础表'!BR5+'数据-基础表'!BT5</f>
        <v>0</v>
      </c>
      <c r="H28" s="1967"/>
      <c r="I28" s="1967"/>
      <c r="J28" s="1967"/>
      <c r="K28" s="1967"/>
      <c r="L28" s="1967"/>
    </row>
    <row r="29" spans="1:19">
      <c r="A29" s="138"/>
      <c r="B29" s="115" t="s">
        <v>227</v>
      </c>
      <c r="C29" s="2296" t="s">
        <v>2320</v>
      </c>
      <c r="D29" s="111">
        <f>ROUND($D$3*E29/$E$3,2)</f>
        <v>178.31</v>
      </c>
      <c r="E29" s="134">
        <f>SUM(F29:G29)</f>
        <v>1071.47</v>
      </c>
      <c r="F29" s="144">
        <f>'数据-基础表'!BM5+'数据-基础表'!BO5</f>
        <v>1071.47</v>
      </c>
      <c r="G29" s="146">
        <f>'数据-基础表'!BN5+'数据-基础表'!BP5</f>
        <v>0</v>
      </c>
      <c r="H29" s="1967"/>
      <c r="I29" s="1967"/>
      <c r="J29" s="1967"/>
      <c r="K29" s="1967"/>
      <c r="L29" s="1967"/>
    </row>
    <row r="30" spans="1:19">
      <c r="A30" s="138"/>
      <c r="B30" s="111"/>
      <c r="C30" s="147" t="s">
        <v>215</v>
      </c>
      <c r="D30" s="134">
        <f>SUM(D28:D29)</f>
        <v>643.56999999999994</v>
      </c>
      <c r="E30" s="134">
        <f>SUM(E28:E29)</f>
        <v>3867.2</v>
      </c>
      <c r="F30" s="134">
        <f>SUM(F28:F29)</f>
        <v>3867.2</v>
      </c>
      <c r="G30" s="112">
        <f>SUM(G28:G29)</f>
        <v>0</v>
      </c>
      <c r="H30" s="1967"/>
      <c r="I30" s="1967"/>
      <c r="J30" s="1967"/>
      <c r="K30" s="1967"/>
      <c r="L30" s="1967"/>
    </row>
    <row r="31" spans="1:19" ht="32.25" customHeight="1" thickBot="1">
      <c r="A31" s="1365"/>
      <c r="B31" s="1366" t="s">
        <v>229</v>
      </c>
      <c r="C31" s="2313" t="s">
        <v>2322</v>
      </c>
      <c r="D31" s="1367">
        <f>D27+D30</f>
        <v>27220.14</v>
      </c>
      <c r="E31" s="1367">
        <f>E27+E30</f>
        <v>163564.33000000002</v>
      </c>
      <c r="F31" s="1368">
        <f>F27+F30</f>
        <v>134966.16</v>
      </c>
      <c r="G31" s="1369">
        <f>G27+G30</f>
        <v>28598.17</v>
      </c>
      <c r="H31" s="1967"/>
      <c r="I31" s="1967"/>
      <c r="J31" s="1967"/>
      <c r="K31" s="1967"/>
      <c r="L31" s="1967"/>
    </row>
    <row r="32" spans="1:19">
      <c r="A32" s="1967"/>
      <c r="B32" s="2325" t="s">
        <v>2321</v>
      </c>
      <c r="C32" s="2609"/>
      <c r="D32" s="1196"/>
      <c r="E32" s="1196">
        <f>SUMIF(C19:C26,"*住宅*",E19:E26)</f>
        <v>122022.8</v>
      </c>
      <c r="F32" s="1196"/>
      <c r="G32" s="1196"/>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V6" activePane="bottomRight" state="frozen"/>
      <selection pane="topRight" activeCell="D1" sqref="D1"/>
      <selection pane="bottomLeft" activeCell="A4" sqref="A4"/>
      <selection pane="bottomRight" activeCell="AL21" sqref="AL21"/>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1"/>
    <col min="42" max="42" width="0" style="1981" hidden="1" customWidth="1"/>
    <col min="43" max="83" width="13.75" style="1981"/>
    <col min="84" max="16384" width="13.75" style="1198"/>
  </cols>
  <sheetData>
    <row r="1" spans="1:83" ht="19.5" thickBot="1">
      <c r="A1" s="148" t="s">
        <v>234</v>
      </c>
      <c r="B1" s="1197"/>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1" customFormat="1" ht="15.75" thickBot="1">
      <c r="A2" s="149" t="s">
        <v>235</v>
      </c>
      <c r="B2" s="2321">
        <f>项目基本情况!D3</f>
        <v>43647</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1" customFormat="1" ht="15" thickBot="1">
      <c r="A3" s="1202"/>
      <c r="B3" s="1199"/>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7" customFormat="1" ht="54">
      <c r="A5" s="2287"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2827</v>
      </c>
      <c r="O5" s="163" t="s">
        <v>246</v>
      </c>
      <c r="P5" s="165" t="s">
        <v>247</v>
      </c>
      <c r="Q5" s="166" t="s">
        <v>248</v>
      </c>
      <c r="R5" s="167" t="s">
        <v>249</v>
      </c>
      <c r="S5" s="2583" t="s">
        <v>2571</v>
      </c>
      <c r="T5" s="168" t="s">
        <v>250</v>
      </c>
      <c r="U5" s="169" t="s">
        <v>251</v>
      </c>
      <c r="V5" s="159" t="s">
        <v>252</v>
      </c>
      <c r="W5" s="159" t="s">
        <v>253</v>
      </c>
      <c r="X5" s="1801"/>
      <c r="Y5" s="170" t="s">
        <v>254</v>
      </c>
      <c r="Z5" s="171" t="s">
        <v>255</v>
      </c>
      <c r="AA5" s="159" t="s">
        <v>252</v>
      </c>
      <c r="AB5" s="159" t="s">
        <v>253</v>
      </c>
      <c r="AC5" s="1802"/>
      <c r="AD5" s="172" t="s">
        <v>254</v>
      </c>
      <c r="AE5" s="1" t="s">
        <v>870</v>
      </c>
      <c r="AF5" s="159" t="s">
        <v>256</v>
      </c>
      <c r="AG5" s="170" t="s">
        <v>257</v>
      </c>
      <c r="AH5" s="1802" t="s">
        <v>2323</v>
      </c>
      <c r="AI5" s="171" t="s">
        <v>2292</v>
      </c>
      <c r="AJ5" s="171" t="s">
        <v>258</v>
      </c>
      <c r="AK5" s="159" t="s">
        <v>259</v>
      </c>
      <c r="AL5" s="159" t="s">
        <v>260</v>
      </c>
      <c r="AM5" s="172" t="s">
        <v>261</v>
      </c>
      <c r="AN5" s="2353" t="s">
        <v>2373</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1" customFormat="1" ht="14.25">
      <c r="A6" s="2285" t="str">
        <f>'数据-汇总表'!C19</f>
        <v>住宅</v>
      </c>
      <c r="B6" s="2320" t="str">
        <f>IF(A6=0,"","经营性")</f>
        <v>经营性</v>
      </c>
      <c r="C6" s="173" t="s">
        <v>923</v>
      </c>
      <c r="D6" s="2291">
        <f>SUMIF(项目基本情况!D$15:I$15,C6,项目基本情况!D$18:I$18)</f>
        <v>50</v>
      </c>
      <c r="E6" s="2292">
        <f>IF(B6="","",SUMIF(项目基本情况!D$15:I$15,C6,项目基本情况!D$17:I$17))</f>
        <v>59916</v>
      </c>
      <c r="F6" s="174">
        <f>SUMIF(项目基本情况!D$15:I$15,C6,项目基本情况!D$19:I$19)</f>
        <v>44.57</v>
      </c>
      <c r="G6" s="175">
        <f>IF(ISERROR(ROUND(POWER(1+H6,D6-F6)*(POWER(1+H6,F6)-1)/(POWER(1+H6,D6)-1),3)),0,ROUND(POWER(1+H6,D6-F6)*(POWER(1+H6,F6)-1)/(POWER(1+H6,D6)-1),3))</f>
        <v>0.96599999999999997</v>
      </c>
      <c r="H6" s="2975">
        <v>4.4999999999999998E-2</v>
      </c>
      <c r="I6" s="2975">
        <v>0.05</v>
      </c>
      <c r="J6" s="176">
        <v>0.08</v>
      </c>
      <c r="K6" s="179">
        <f>SUMIF('数据-汇总表'!C$19:C$33,'数据-取费表'!A6,'数据-汇总表'!E$19:E$33)</f>
        <v>122022.8</v>
      </c>
      <c r="L6" s="3327">
        <v>1800</v>
      </c>
      <c r="M6" s="177">
        <f t="shared" ref="M6:M14" si="0">ROUND(K6*L6/10000,0)</f>
        <v>21964</v>
      </c>
      <c r="N6" s="2976">
        <v>0</v>
      </c>
      <c r="O6" s="177">
        <f>IF($N$5="成新度","——",ROUND(M6*N6,0))</f>
        <v>0</v>
      </c>
      <c r="P6" s="178">
        <f>IF($N$5="成新度","——",M6-O6)</f>
        <v>21964</v>
      </c>
      <c r="Q6" s="3328">
        <v>0.15</v>
      </c>
      <c r="R6" s="179">
        <f>SUMIF('数据-汇总表'!C$19:C$33,A6,'数据-汇总表'!R$19:R$33)</f>
        <v>20840.670000000002</v>
      </c>
      <c r="S6" s="132">
        <f>IF('数据-汇总表'!$I$17="按面积比例",SUMIF('数据-汇总表'!C$19:C$33,A6,'数据-汇总表'!K$19:K$33),SUMIF('数据-汇总表'!C$19:C$33,A6,'数据-汇总表'!N$19:N$33))</f>
        <v>2136.19</v>
      </c>
      <c r="T6" s="2217">
        <f>IF($T$4="按面积比例",IF(ISERROR(ROUND($M$14*S6/S$16,0)),"0",ROUND($M$14*S6/S$16,0)),"需自行计算录入")</f>
        <v>384</v>
      </c>
      <c r="U6" s="180"/>
      <c r="V6" s="181"/>
      <c r="W6" s="181"/>
      <c r="X6" s="2304"/>
      <c r="Y6" s="3326">
        <v>1</v>
      </c>
      <c r="Z6" s="183"/>
      <c r="AA6" s="176"/>
      <c r="AB6" s="176"/>
      <c r="AC6" s="2307"/>
      <c r="AD6" s="184"/>
      <c r="AE6" s="971">
        <f ca="1">IF(AN6="",0,SUMIF(INDIRECT("'"&amp;AN6&amp;"'"&amp;"!E:E"),$AE$5,INDIRECT("'"&amp;AN6&amp;"'"&amp;"!F:F")))</f>
        <v>0</v>
      </c>
      <c r="AF6" s="141"/>
      <c r="AG6" s="1208">
        <f>IF(AF6="",0,AE6-AF6)</f>
        <v>0</v>
      </c>
      <c r="AH6" s="141"/>
      <c r="AI6" s="187"/>
      <c r="AJ6" s="188"/>
      <c r="AK6" s="189">
        <v>1.4999999999999999E-2</v>
      </c>
      <c r="AL6" s="190">
        <v>1.5E-3</v>
      </c>
      <c r="AM6" s="2988">
        <v>1.4999999999999999E-2</v>
      </c>
      <c r="AN6" s="2354"/>
      <c r="AO6" s="1983"/>
      <c r="AP6" s="1199">
        <f>ROUND(1-1/(1+H6)^F6,3)</f>
        <v>0.85899999999999999</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1" customFormat="1" ht="14.25">
      <c r="A7" s="2285" t="str">
        <f>'数据-汇总表'!C20</f>
        <v>商业</v>
      </c>
      <c r="B7" s="2320" t="str">
        <f t="shared" ref="B7:B13" si="1">IF(A7=0,"","经营性")</f>
        <v>经营性</v>
      </c>
      <c r="C7" s="173" t="s">
        <v>2997</v>
      </c>
      <c r="D7" s="2291">
        <f>SUMIF(项目基本情况!D$15:I$15,C7,项目基本情况!D$18:I$18)</f>
        <v>40</v>
      </c>
      <c r="E7" s="2292">
        <f>IF(B7="","",SUMIF(项目基本情况!D$15:I$15,C7,项目基本情况!D$17:I$17))</f>
        <v>56264</v>
      </c>
      <c r="F7" s="174">
        <f>SUMIF(项目基本情况!D$15:I$15,C7,项目基本情况!D$19:I$19)</f>
        <v>34.56</v>
      </c>
      <c r="G7" s="175">
        <f t="shared" ref="G7:G11" si="2">IF(ISERROR(ROUND(POWER(1+H7,D7-F7)*(POWER(1+H7,F7)-1)/(POWER(1+H7,D7)-1),3)),0,ROUND(POWER(1+H7,D7-F7)*(POWER(1+H7,F7)-1)/(POWER(1+H7,D7)-1),3))</f>
        <v>0.95</v>
      </c>
      <c r="H7" s="2975">
        <v>0.05</v>
      </c>
      <c r="I7" s="2975">
        <v>5.5E-2</v>
      </c>
      <c r="J7" s="176">
        <v>0.08</v>
      </c>
      <c r="K7" s="179">
        <f>SUMIF('数据-汇总表'!C$19:C$33,'数据-取费表'!A7,'数据-汇总表'!E$19:E$33)</f>
        <v>9076.16</v>
      </c>
      <c r="L7" s="3327">
        <v>1800</v>
      </c>
      <c r="M7" s="177">
        <f t="shared" si="0"/>
        <v>1634</v>
      </c>
      <c r="N7" s="2976">
        <v>0</v>
      </c>
      <c r="O7" s="177">
        <f t="shared" ref="O7:O14" si="3">IF($N$5="成新度","——",ROUND(M7*N7,0))</f>
        <v>0</v>
      </c>
      <c r="P7" s="178">
        <f t="shared" ref="P7:P14" si="4">IF($N$5="成新度","——",M7-O7)</f>
        <v>1634</v>
      </c>
      <c r="Q7" s="3328">
        <v>0.2</v>
      </c>
      <c r="R7" s="179">
        <f>SUMIF('数据-汇总表'!C$19:C$33,A7,'数据-汇总表'!R$19:R$33)</f>
        <v>1536.88</v>
      </c>
      <c r="S7" s="132">
        <f>IF('数据-汇总表'!$I$17="按面积比例",SUMIF('数据-汇总表'!C$19:C$33,A7,'数据-汇总表'!K$19:K$33),SUMIF('数据-汇总表'!C$19:C$33,A7,'数据-汇总表'!N$19:N$33))</f>
        <v>158.88999999999999</v>
      </c>
      <c r="T7" s="2217">
        <f t="shared" ref="T7:T13" si="5">IF($T$4="按面积比例",IF(ISERROR(ROUND($M$14*S7/S$16,0)),"0",ROUND($M$14*S7/S$16,0)),"需自行计算录入")</f>
        <v>29</v>
      </c>
      <c r="U7" s="3320"/>
      <c r="V7" s="181"/>
      <c r="W7" s="3321"/>
      <c r="X7" s="2304"/>
      <c r="Y7" s="3326">
        <v>1</v>
      </c>
      <c r="Z7" s="183"/>
      <c r="AA7" s="176"/>
      <c r="AB7" s="176"/>
      <c r="AC7" s="2307"/>
      <c r="AD7" s="184"/>
      <c r="AE7" s="971">
        <f t="shared" ref="AE7:AE13" ca="1" si="6">IF(AN7="",0,SUMIF(INDIRECT("'"&amp;AN7&amp;"'"&amp;"!E:E"),$AE$5,INDIRECT("'"&amp;AN7&amp;"'"&amp;"!F:F")))</f>
        <v>32.56</v>
      </c>
      <c r="AF7" s="141"/>
      <c r="AG7" s="1208">
        <f t="shared" ref="AG7:AG13" si="7">IF(AF7="",0,AE7-AF7)</f>
        <v>0</v>
      </c>
      <c r="AH7" s="141"/>
      <c r="AI7" s="187">
        <v>365</v>
      </c>
      <c r="AJ7" s="188"/>
      <c r="AK7" s="189">
        <v>1.4999999999999999E-2</v>
      </c>
      <c r="AL7" s="190">
        <v>1.5E-3</v>
      </c>
      <c r="AM7" s="2988">
        <v>1.4999999999999999E-2</v>
      </c>
      <c r="AN7" s="2354" t="s">
        <v>3005</v>
      </c>
      <c r="AO7" s="1983"/>
      <c r="AP7" s="1199">
        <f t="shared" ref="AP7:AP13" si="8">ROUND(1-1/(1+H7)^F7,3)</f>
        <v>0.81499999999999995</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1" customFormat="1" ht="14.25">
      <c r="A8" s="2285" t="str">
        <f>'数据-汇总表'!C21</f>
        <v>车库</v>
      </c>
      <c r="B8" s="2320" t="str">
        <f t="shared" si="1"/>
        <v>经营性</v>
      </c>
      <c r="C8" s="173" t="s">
        <v>2998</v>
      </c>
      <c r="D8" s="2291">
        <f>SUMIF(项目基本情况!D$15:I$15,C8,项目基本情况!D$18:I$18)</f>
        <v>40</v>
      </c>
      <c r="E8" s="2292">
        <f>IF(B8="","",SUMIF(项目基本情况!D$15:I$15,C8,项目基本情况!D$17:I$17))</f>
        <v>56264</v>
      </c>
      <c r="F8" s="174">
        <f>SUMIF(项目基本情况!D$15:I$15,C8,项目基本情况!D$19:I$19)</f>
        <v>34.56</v>
      </c>
      <c r="G8" s="175">
        <f t="shared" si="2"/>
        <v>0.93700000000000006</v>
      </c>
      <c r="H8" s="3317">
        <v>0.04</v>
      </c>
      <c r="I8" s="3317">
        <v>4.4999999999999998E-2</v>
      </c>
      <c r="J8" s="176">
        <v>0.08</v>
      </c>
      <c r="K8" s="179">
        <f>SUMIF('数据-汇总表'!C$19:C$33,'数据-取费表'!A8,'数据-汇总表'!E$19:E$33)</f>
        <v>28598.17</v>
      </c>
      <c r="L8" s="3327">
        <v>1800</v>
      </c>
      <c r="M8" s="177">
        <f>ROUND(K8*L8/10000,0)</f>
        <v>5148</v>
      </c>
      <c r="N8" s="2976">
        <v>0</v>
      </c>
      <c r="O8" s="177">
        <f t="shared" si="3"/>
        <v>0</v>
      </c>
      <c r="P8" s="178">
        <f t="shared" si="4"/>
        <v>5148</v>
      </c>
      <c r="Q8" s="2977">
        <v>0.03</v>
      </c>
      <c r="R8" s="179">
        <f>SUMIF('数据-汇总表'!C$19:C$33,A8,'数据-汇总表'!R$19:R$33)</f>
        <v>4842.59</v>
      </c>
      <c r="S8" s="132">
        <f>IF('数据-汇总表'!$I$17="按面积比例",SUMIF('数据-汇总表'!C$19:C$33,A8,'数据-汇总表'!K$19:K$33),SUMIF('数据-汇总表'!C$19:C$33,A8,'数据-汇总表'!N$19:N$33))</f>
        <v>500.65</v>
      </c>
      <c r="T8" s="2217">
        <f t="shared" si="5"/>
        <v>90</v>
      </c>
      <c r="U8" s="3320">
        <v>0.5</v>
      </c>
      <c r="V8" s="181">
        <v>0</v>
      </c>
      <c r="W8" s="3321">
        <v>0.03</v>
      </c>
      <c r="X8" s="2304"/>
      <c r="Y8" s="3326">
        <v>1</v>
      </c>
      <c r="Z8" s="183"/>
      <c r="AA8" s="176"/>
      <c r="AB8" s="176"/>
      <c r="AC8" s="2307"/>
      <c r="AD8" s="184"/>
      <c r="AE8" s="971">
        <f t="shared" ca="1" si="6"/>
        <v>32.56</v>
      </c>
      <c r="AF8" s="141"/>
      <c r="AG8" s="1208">
        <f t="shared" si="7"/>
        <v>0</v>
      </c>
      <c r="AH8" s="141"/>
      <c r="AI8" s="187">
        <v>365</v>
      </c>
      <c r="AJ8" s="188"/>
      <c r="AK8" s="189">
        <v>1.4999999999999999E-2</v>
      </c>
      <c r="AL8" s="190">
        <v>1.5E-3</v>
      </c>
      <c r="AM8" s="2988">
        <v>1.4999999999999999E-2</v>
      </c>
      <c r="AN8" s="2354" t="s">
        <v>3006</v>
      </c>
      <c r="AO8" s="1983"/>
      <c r="AP8" s="1199">
        <f t="shared" si="8"/>
        <v>0.74199999999999999</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1"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f t="shared" si="5"/>
        <v>0</v>
      </c>
      <c r="U9" s="180"/>
      <c r="V9" s="181"/>
      <c r="W9" s="181"/>
      <c r="X9" s="2304"/>
      <c r="Y9" s="182"/>
      <c r="Z9" s="183"/>
      <c r="AA9" s="176"/>
      <c r="AB9" s="176"/>
      <c r="AC9" s="2307"/>
      <c r="AD9" s="184"/>
      <c r="AE9" s="971">
        <f t="shared" ca="1" si="6"/>
        <v>0</v>
      </c>
      <c r="AF9" s="141"/>
      <c r="AG9" s="1208">
        <f t="shared" si="7"/>
        <v>0</v>
      </c>
      <c r="AH9" s="141"/>
      <c r="AI9" s="187"/>
      <c r="AJ9" s="188"/>
      <c r="AK9" s="189"/>
      <c r="AL9" s="190"/>
      <c r="AM9" s="2352"/>
      <c r="AN9" s="2354"/>
      <c r="AO9" s="1983"/>
      <c r="AP9" s="1199">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1"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f t="shared" si="5"/>
        <v>0</v>
      </c>
      <c r="U10" s="180"/>
      <c r="V10" s="181"/>
      <c r="W10" s="181"/>
      <c r="X10" s="2304"/>
      <c r="Y10" s="182"/>
      <c r="Z10" s="183"/>
      <c r="AA10" s="176"/>
      <c r="AB10" s="176"/>
      <c r="AC10" s="2307"/>
      <c r="AD10" s="184"/>
      <c r="AE10" s="971">
        <f t="shared" ca="1" si="6"/>
        <v>0</v>
      </c>
      <c r="AF10" s="141"/>
      <c r="AG10" s="1208">
        <f t="shared" si="7"/>
        <v>0</v>
      </c>
      <c r="AH10" s="141"/>
      <c r="AI10" s="187"/>
      <c r="AJ10" s="188"/>
      <c r="AK10" s="189"/>
      <c r="AL10" s="190"/>
      <c r="AM10" s="2352"/>
      <c r="AN10" s="2354"/>
      <c r="AO10" s="1983"/>
      <c r="AP10" s="1199">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1"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f t="shared" si="5"/>
        <v>0</v>
      </c>
      <c r="U11" s="185"/>
      <c r="V11" s="176"/>
      <c r="W11" s="176"/>
      <c r="X11" s="2307"/>
      <c r="Y11" s="182"/>
      <c r="Z11" s="195"/>
      <c r="AA11" s="176"/>
      <c r="AB11" s="176"/>
      <c r="AC11" s="2307"/>
      <c r="AD11" s="184"/>
      <c r="AE11" s="971">
        <f t="shared" ca="1" si="6"/>
        <v>0</v>
      </c>
      <c r="AF11" s="141"/>
      <c r="AG11" s="1208">
        <f t="shared" si="7"/>
        <v>0</v>
      </c>
      <c r="AH11" s="141"/>
      <c r="AI11" s="187"/>
      <c r="AJ11" s="188"/>
      <c r="AK11" s="196"/>
      <c r="AL11" s="197"/>
      <c r="AM11" s="1800"/>
      <c r="AN11" s="2354"/>
      <c r="AO11" s="1983"/>
      <c r="AP11" s="1199">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1"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f t="shared" si="5"/>
        <v>0</v>
      </c>
      <c r="U12" s="185"/>
      <c r="V12" s="176"/>
      <c r="W12" s="176"/>
      <c r="X12" s="2307"/>
      <c r="Y12" s="182"/>
      <c r="Z12" s="195"/>
      <c r="AA12" s="176"/>
      <c r="AB12" s="176"/>
      <c r="AC12" s="2307"/>
      <c r="AD12" s="184"/>
      <c r="AE12" s="971">
        <f t="shared" ca="1" si="6"/>
        <v>0</v>
      </c>
      <c r="AF12" s="141"/>
      <c r="AG12" s="1208">
        <f t="shared" si="7"/>
        <v>0</v>
      </c>
      <c r="AH12" s="141"/>
      <c r="AI12" s="187"/>
      <c r="AJ12" s="188"/>
      <c r="AK12" s="196"/>
      <c r="AL12" s="197"/>
      <c r="AM12" s="1800"/>
      <c r="AN12" s="2354"/>
      <c r="AO12" s="1983"/>
      <c r="AP12" s="1199">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1"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f t="shared" si="5"/>
        <v>0</v>
      </c>
      <c r="U13" s="180"/>
      <c r="V13" s="181"/>
      <c r="W13" s="181"/>
      <c r="X13" s="2304"/>
      <c r="Y13" s="182">
        <v>1</v>
      </c>
      <c r="Z13" s="183"/>
      <c r="AA13" s="176"/>
      <c r="AB13" s="176"/>
      <c r="AC13" s="2307"/>
      <c r="AD13" s="184"/>
      <c r="AE13" s="971">
        <f t="shared" ca="1" si="6"/>
        <v>0</v>
      </c>
      <c r="AF13" s="141"/>
      <c r="AG13" s="1208">
        <f t="shared" si="7"/>
        <v>0</v>
      </c>
      <c r="AH13" s="141"/>
      <c r="AI13" s="187"/>
      <c r="AJ13" s="188"/>
      <c r="AK13" s="189"/>
      <c r="AL13" s="190"/>
      <c r="AM13" s="2352"/>
      <c r="AN13" s="2354"/>
      <c r="AO13" s="1983"/>
      <c r="AP13" s="1199">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1" customFormat="1" ht="14.25">
      <c r="A14" s="2286" t="s">
        <v>2314</v>
      </c>
      <c r="B14" s="2289" t="s">
        <v>1679</v>
      </c>
      <c r="C14" s="2290" t="s">
        <v>2314</v>
      </c>
      <c r="D14" s="2291"/>
      <c r="E14" s="2292"/>
      <c r="F14" s="174"/>
      <c r="G14" s="175"/>
      <c r="H14" s="2293"/>
      <c r="I14" s="2293"/>
      <c r="J14" s="2293"/>
      <c r="K14" s="179">
        <f>SUMIF('数据-汇总表'!C$19:C$33,'数据-取费表'!A14,'数据-汇总表'!E$19:E$33)</f>
        <v>2795.73</v>
      </c>
      <c r="L14" s="3318">
        <v>1800</v>
      </c>
      <c r="M14" s="177">
        <f t="shared" si="0"/>
        <v>503</v>
      </c>
      <c r="N14" s="3319">
        <v>0</v>
      </c>
      <c r="O14" s="177">
        <f t="shared" si="3"/>
        <v>0</v>
      </c>
      <c r="P14" s="178">
        <f t="shared" si="4"/>
        <v>503</v>
      </c>
      <c r="Q14" s="2301"/>
      <c r="R14" s="179"/>
      <c r="S14" s="132"/>
      <c r="T14" s="2300"/>
      <c r="U14" s="973"/>
      <c r="V14" s="2303"/>
      <c r="W14" s="2303"/>
      <c r="X14" s="2304"/>
      <c r="Y14" s="2305"/>
      <c r="Z14" s="136"/>
      <c r="AA14" s="2306"/>
      <c r="AB14" s="2306"/>
      <c r="AC14" s="2307"/>
      <c r="AD14" s="2304"/>
      <c r="AE14" s="971"/>
      <c r="AF14" s="2279"/>
      <c r="AG14" s="1208"/>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1" customFormat="1" ht="27">
      <c r="A15" s="2295" t="s">
        <v>2316</v>
      </c>
      <c r="B15" s="2289" t="s">
        <v>1679</v>
      </c>
      <c r="C15" s="2290" t="s">
        <v>2315</v>
      </c>
      <c r="D15" s="2291"/>
      <c r="E15" s="2292"/>
      <c r="F15" s="174"/>
      <c r="G15" s="175"/>
      <c r="H15" s="2293"/>
      <c r="I15" s="2293"/>
      <c r="J15" s="2293"/>
      <c r="K15" s="179">
        <f>SUMIF('数据-汇总表'!C$19:C$33,'数据-取费表'!A15,'数据-汇总表'!E$19:E$33)</f>
        <v>1071.47</v>
      </c>
      <c r="L15" s="2299"/>
      <c r="M15" s="177"/>
      <c r="N15" s="2302"/>
      <c r="O15" s="177"/>
      <c r="P15" s="178"/>
      <c r="Q15" s="2301"/>
      <c r="R15" s="179"/>
      <c r="S15" s="132"/>
      <c r="T15" s="2300"/>
      <c r="U15" s="973"/>
      <c r="V15" s="2303"/>
      <c r="W15" s="2303"/>
      <c r="X15" s="2304"/>
      <c r="Y15" s="2305"/>
      <c r="Z15" s="136"/>
      <c r="AA15" s="2306"/>
      <c r="AB15" s="2306"/>
      <c r="AC15" s="2307"/>
      <c r="AD15" s="2304"/>
      <c r="AE15" s="971"/>
      <c r="AF15" s="2279"/>
      <c r="AG15" s="1208"/>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1" customFormat="1" ht="15.75" thickBot="1">
      <c r="A16" s="198" t="s">
        <v>262</v>
      </c>
      <c r="B16" s="199"/>
      <c r="C16" s="200"/>
      <c r="D16" s="201"/>
      <c r="E16" s="199"/>
      <c r="F16" s="199"/>
      <c r="G16" s="202">
        <f>ROUND(SUMPRODUCT(G6:G13,K6:K13)/SUMPRODUCT((G6:G13&gt;0)*(K6:K13)),3)</f>
        <v>0.96</v>
      </c>
      <c r="H16" s="203">
        <f>ROUND(SUMPRODUCT(H6:H13,K6:K13)/SUMPRODUCT((H6:H13&gt;0)*(K6:K13)),3)</f>
        <v>4.3999999999999997E-2</v>
      </c>
      <c r="I16" s="204"/>
      <c r="J16" s="204"/>
      <c r="K16" s="205">
        <f>SUM(K6:K15)</f>
        <v>163564.33000000002</v>
      </c>
      <c r="L16" s="206">
        <f>ROUND(M16*10000/SUM(K6:K14),0)</f>
        <v>1800</v>
      </c>
      <c r="M16" s="206">
        <f>SUM(M6:M14)</f>
        <v>29249</v>
      </c>
      <c r="N16" s="207">
        <f>ROUND(SUMPRODUCT(M6:M14,N6:N14)/M16,3)</f>
        <v>0</v>
      </c>
      <c r="O16" s="206">
        <f>SUM(O6:O14)</f>
        <v>0</v>
      </c>
      <c r="P16" s="206">
        <f>SUM(P6:P14)</f>
        <v>29249</v>
      </c>
      <c r="Q16" s="208">
        <f>ROUND(SUMPRODUCT(Q6:Q13,K6:K13)/SUMPRODUCT((Q6:Q13&gt;0)*(K6:K13)),2)</f>
        <v>0.13</v>
      </c>
      <c r="R16" s="2294">
        <f>SUM(R6:R13)</f>
        <v>27220.140000000003</v>
      </c>
      <c r="S16" s="209">
        <f>SUM(S6:S13)</f>
        <v>2795.73</v>
      </c>
      <c r="T16" s="210">
        <f>IF(SUMIF(T6:T13,"&lt;9E307")=M14,SUMIF(T6:T13,"&lt;9E307"),"有误，请检查")</f>
        <v>503</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199">
        <f>ROUND(SUMPRODUCT(AP6:AP13,K6:K13)/SUMPRODUCT((AP6:AP13&gt;0)*(K6:K13)),3)</f>
        <v>0.83599999999999997</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09"/>
      <c r="B17" s="1197"/>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199"/>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2336</v>
      </c>
      <c r="D19" s="1976"/>
      <c r="E19" s="1975"/>
      <c r="F19" s="1975"/>
      <c r="G19" s="1975"/>
      <c r="H19" s="1975"/>
      <c r="I19" s="1975"/>
      <c r="J19" s="1975"/>
      <c r="K19" s="1974"/>
      <c r="L19" s="1974"/>
      <c r="M19" s="1972"/>
      <c r="N19" s="1972"/>
      <c r="O19" s="1972"/>
      <c r="P19" s="1972"/>
      <c r="Q19" s="1972"/>
      <c r="R19" s="1972"/>
      <c r="S19" s="1972"/>
      <c r="T19" s="1972"/>
      <c r="U19" s="1972"/>
      <c r="V19" s="1972"/>
      <c r="W19" s="1972"/>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2</v>
      </c>
      <c r="C20" s="2326" t="s">
        <v>2335</v>
      </c>
      <c r="D20" s="1976"/>
      <c r="E20" s="1975"/>
      <c r="F20" s="1975"/>
      <c r="G20" s="1975"/>
      <c r="H20" s="1975"/>
      <c r="I20" s="1975"/>
      <c r="J20" s="1975"/>
      <c r="K20" s="1974"/>
      <c r="L20" s="1974"/>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2</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2</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2"/>
      <c r="B25" s="1199"/>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0" customFormat="1" ht="27.75">
      <c r="A27" s="226" t="s">
        <v>2338</v>
      </c>
      <c r="B27" s="3329">
        <v>180</v>
      </c>
      <c r="C27" s="2329" t="s">
        <v>2342</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0" customFormat="1" ht="27.75">
      <c r="A28" s="227" t="s">
        <v>2339</v>
      </c>
      <c r="B28" s="228">
        <v>180</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0" customFormat="1" ht="28.5" thickBot="1">
      <c r="A29" s="230" t="s">
        <v>2337</v>
      </c>
      <c r="B29" s="231">
        <v>0</v>
      </c>
      <c r="C29" s="1537" t="s">
        <v>2340</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0" customFormat="1" ht="27">
      <c r="A30" s="234" t="s">
        <v>273</v>
      </c>
      <c r="B30" s="977">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0" customFormat="1" ht="27">
      <c r="A31" s="227" t="s">
        <v>274</v>
      </c>
      <c r="B31" s="229">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0" customFormat="1" ht="27.75" thickBot="1">
      <c r="A32" s="236"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0" customFormat="1" ht="14.25">
      <c r="A33" s="226" t="s">
        <v>278</v>
      </c>
      <c r="B33" s="1373">
        <v>0.03</v>
      </c>
      <c r="C33" s="2327" t="s">
        <v>2892</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7" t="s">
        <v>279</v>
      </c>
      <c r="B34" s="232">
        <v>0.03</v>
      </c>
      <c r="C34" s="2327" t="s">
        <v>2893</v>
      </c>
      <c r="D34" s="1976" t="s">
        <v>871</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7" t="s">
        <v>276</v>
      </c>
      <c r="B35" s="228">
        <v>120</v>
      </c>
      <c r="C35" s="2327" t="s">
        <v>2894</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0" t="s">
        <v>277</v>
      </c>
      <c r="B36" s="233">
        <v>1.4999999999999999E-2</v>
      </c>
      <c r="C36" s="2327" t="s">
        <v>2895</v>
      </c>
      <c r="D36" s="1973"/>
      <c r="E36" s="1197"/>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4" t="s">
        <v>280</v>
      </c>
      <c r="B37" s="235">
        <v>1.4999999999999999E-2</v>
      </c>
      <c r="C37" s="2327" t="s">
        <v>2896</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7" t="s">
        <v>281</v>
      </c>
      <c r="B38" s="232">
        <v>1.4999999999999999E-2</v>
      </c>
      <c r="C38" s="2327" t="s">
        <v>2896</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2455</v>
      </c>
      <c r="B39" s="799">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2456</v>
      </c>
      <c r="B40" s="2443">
        <f ca="1">存贷款利率!E2</f>
        <v>4.7500000000000001E-2</v>
      </c>
      <c r="C40" s="2327" t="s">
        <v>2341</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7">
        <f>B42+B43</f>
        <v>5.5000000000000007E-2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8" t="s">
        <v>283</v>
      </c>
      <c r="B42" s="239">
        <v>0.05</v>
      </c>
      <c r="C42" s="3047">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8" t="s">
        <v>284</v>
      </c>
      <c r="B43" s="240">
        <f>B42*(B44+B45+B46)+B47</f>
        <v>5.000000000000001E-3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8" t="s">
        <v>285</v>
      </c>
      <c r="B44" s="241">
        <v>0.05</v>
      </c>
      <c r="C44" s="2327" t="s">
        <v>2897</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8" t="s">
        <v>286</v>
      </c>
      <c r="B45" s="239">
        <v>0.03</v>
      </c>
      <c r="C45" s="2329" t="s">
        <v>2898</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8" t="s">
        <v>287</v>
      </c>
      <c r="B46" s="239">
        <v>0.02</v>
      </c>
      <c r="C46" s="2329" t="s">
        <v>2899</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2" t="s">
        <v>288</v>
      </c>
      <c r="B47" s="243"/>
      <c r="C47" s="3022" t="s">
        <v>2900</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4" t="s">
        <v>289</v>
      </c>
      <c r="B48" s="245">
        <v>0.03</v>
      </c>
      <c r="C48" s="3023" t="s">
        <v>2901</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6" t="s">
        <v>290</v>
      </c>
      <c r="B49" s="239">
        <v>5.0000000000000001E-4</v>
      </c>
      <c r="C49" s="3023" t="s">
        <v>2902</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6" t="s">
        <v>291</v>
      </c>
      <c r="B50" s="247">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0" t="s">
        <v>292</v>
      </c>
      <c r="B51" s="248">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6" t="s">
        <v>293</v>
      </c>
      <c r="B52" s="249">
        <f>SUMIF(A54:A63,B53,B54:B63)</f>
        <v>3</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7" t="s">
        <v>294</v>
      </c>
      <c r="B53" s="250" t="s">
        <v>1409</v>
      </c>
      <c r="C53" s="3024" t="s">
        <v>2903</v>
      </c>
      <c r="D53" s="3025" t="s">
        <v>2904</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7" t="s">
        <v>2905</v>
      </c>
      <c r="B54" s="186">
        <v>10</v>
      </c>
      <c r="C54" s="1977">
        <v>30</v>
      </c>
      <c r="D54" s="3026"/>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7" t="s">
        <v>2906</v>
      </c>
      <c r="B55" s="186">
        <v>8</v>
      </c>
      <c r="C55" s="1977">
        <v>24</v>
      </c>
      <c r="D55" s="3026"/>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7" t="s">
        <v>2907</v>
      </c>
      <c r="B56" s="186">
        <v>6</v>
      </c>
      <c r="C56" s="1977">
        <v>18</v>
      </c>
      <c r="D56" s="3026"/>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7" t="s">
        <v>2908</v>
      </c>
      <c r="B57" s="186">
        <v>5</v>
      </c>
      <c r="C57" s="1977">
        <v>12</v>
      </c>
      <c r="D57" s="3026"/>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7" t="s">
        <v>2909</v>
      </c>
      <c r="B58" s="186">
        <v>4</v>
      </c>
      <c r="C58" s="1977">
        <v>3</v>
      </c>
      <c r="D58" s="3026"/>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7" t="s">
        <v>2910</v>
      </c>
      <c r="B59" s="186">
        <v>3</v>
      </c>
      <c r="C59" s="1977">
        <v>1.5</v>
      </c>
      <c r="D59" s="3026"/>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7" t="s">
        <v>2911</v>
      </c>
      <c r="B60" s="186">
        <v>2</v>
      </c>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7" t="s">
        <v>2912</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7" t="s">
        <v>2913</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28" t="s">
        <v>2914</v>
      </c>
      <c r="B63" s="251"/>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2"/>
      <c r="D64" s="1982"/>
      <c r="K64" s="57"/>
      <c r="L64" s="57"/>
    </row>
    <row r="65" spans="1:12" s="1981" customFormat="1">
      <c r="A65" s="252"/>
      <c r="D65" s="1982"/>
      <c r="K65" s="57"/>
      <c r="L65" s="57"/>
    </row>
    <row r="66" spans="1:12" s="1981" customFormat="1">
      <c r="A66" s="252"/>
      <c r="D66" s="1982"/>
      <c r="K66" s="57"/>
      <c r="L66" s="57"/>
    </row>
    <row r="67" spans="1:12" s="1981" customFormat="1">
      <c r="A67" s="252"/>
      <c r="D67" s="1982"/>
      <c r="K67" s="57"/>
      <c r="L67" s="57"/>
    </row>
    <row r="68" spans="1:12" s="1981" customFormat="1">
      <c r="A68" s="252"/>
      <c r="D68" s="1982"/>
      <c r="K68" s="57"/>
      <c r="L68" s="57"/>
    </row>
    <row r="69" spans="1:12" s="1981" customFormat="1">
      <c r="A69" s="252"/>
      <c r="D69" s="1982"/>
      <c r="K69" s="57"/>
      <c r="L69" s="57"/>
    </row>
    <row r="70" spans="1:12" s="1981" customFormat="1">
      <c r="A70" s="252"/>
      <c r="D70" s="1982"/>
      <c r="K70" s="57"/>
      <c r="L70" s="57"/>
    </row>
    <row r="71" spans="1:12" s="1981" customFormat="1">
      <c r="A71" s="252"/>
      <c r="D71" s="1982"/>
      <c r="K71" s="57"/>
      <c r="L71" s="57"/>
    </row>
    <row r="72" spans="1:12" s="1981" customFormat="1">
      <c r="A72" s="252"/>
      <c r="D72" s="1982"/>
      <c r="K72" s="57"/>
      <c r="L72" s="57"/>
    </row>
    <row r="73" spans="1:12" s="1981" customFormat="1">
      <c r="A73" s="252"/>
      <c r="D73" s="1982"/>
      <c r="K73" s="57"/>
      <c r="L73" s="57"/>
    </row>
    <row r="74" spans="1:12" s="1981" customFormat="1">
      <c r="A74" s="252"/>
      <c r="D74" s="1982"/>
      <c r="K74" s="57"/>
      <c r="L74" s="57"/>
    </row>
    <row r="75" spans="1:12" s="1981" customFormat="1">
      <c r="A75" s="252"/>
      <c r="D75" s="1982"/>
      <c r="K75" s="57"/>
      <c r="L75" s="57"/>
    </row>
    <row r="76" spans="1:12" s="1981" customFormat="1">
      <c r="A76" s="252"/>
      <c r="D76" s="1982"/>
      <c r="K76" s="57"/>
      <c r="L76" s="57"/>
    </row>
    <row r="77" spans="1:12" s="1981" customFormat="1">
      <c r="A77" s="252"/>
      <c r="D77" s="1982"/>
      <c r="K77" s="57"/>
      <c r="L77" s="57"/>
    </row>
    <row r="78" spans="1:12" s="1981" customFormat="1">
      <c r="A78" s="252"/>
      <c r="D78" s="1982"/>
      <c r="K78" s="57"/>
      <c r="L78" s="57"/>
    </row>
    <row r="79" spans="1:12" s="1981" customFormat="1">
      <c r="A79" s="252"/>
      <c r="D79" s="1982"/>
      <c r="K79" s="57"/>
      <c r="L79" s="57"/>
    </row>
    <row r="80" spans="1:12" s="1981" customFormat="1">
      <c r="A80" s="252"/>
      <c r="D80" s="1982"/>
      <c r="K80" s="57"/>
      <c r="L80" s="57"/>
    </row>
    <row r="81" spans="1:12" s="1981" customFormat="1">
      <c r="A81" s="252"/>
      <c r="D81" s="1982"/>
      <c r="K81" s="57"/>
      <c r="L81" s="57"/>
    </row>
    <row r="82" spans="1:12" s="1981" customFormat="1">
      <c r="A82" s="252"/>
      <c r="D82" s="1982"/>
      <c r="K82" s="57"/>
      <c r="L82" s="57"/>
    </row>
    <row r="83" spans="1:12" s="1981" customFormat="1">
      <c r="A83" s="252"/>
      <c r="D83" s="1982"/>
      <c r="K83" s="57"/>
      <c r="L83" s="57"/>
    </row>
    <row r="84" spans="1:12" s="1981" customFormat="1">
      <c r="A84" s="252"/>
      <c r="D84" s="1982"/>
      <c r="K84" s="57"/>
      <c r="L84" s="57"/>
    </row>
    <row r="85" spans="1:12" s="1981" customFormat="1">
      <c r="A85" s="252"/>
      <c r="D85" s="1982"/>
      <c r="K85" s="57"/>
      <c r="L85" s="57"/>
    </row>
    <row r="86" spans="1:12" s="1981" customFormat="1">
      <c r="A86" s="252"/>
      <c r="D86" s="1982"/>
      <c r="K86" s="57"/>
      <c r="L86" s="57"/>
    </row>
    <row r="87" spans="1:12" s="1981" customFormat="1">
      <c r="A87" s="252"/>
      <c r="D87" s="1982"/>
      <c r="K87" s="57"/>
      <c r="L87" s="57"/>
    </row>
    <row r="88" spans="1:12" s="1981" customFormat="1">
      <c r="A88" s="252"/>
      <c r="D88" s="1982"/>
      <c r="K88" s="57"/>
      <c r="L88" s="57"/>
    </row>
    <row r="89" spans="1:12" s="1981" customFormat="1">
      <c r="A89" s="252"/>
      <c r="D89" s="1982"/>
      <c r="K89" s="57"/>
      <c r="L89" s="57"/>
    </row>
    <row r="90" spans="1:12" s="1981" customFormat="1">
      <c r="A90" s="252"/>
      <c r="D90" s="1982"/>
      <c r="K90" s="57"/>
      <c r="L90" s="57"/>
    </row>
    <row r="91" spans="1:12" s="1981" customFormat="1">
      <c r="A91" s="252"/>
      <c r="D91" s="1982"/>
      <c r="K91" s="57"/>
      <c r="L91" s="57"/>
    </row>
    <row r="92" spans="1:12" s="1981" customFormat="1">
      <c r="A92" s="252"/>
      <c r="D92" s="1982"/>
      <c r="K92" s="57"/>
      <c r="L92" s="57"/>
    </row>
    <row r="93" spans="1:12" s="1981" customFormat="1">
      <c r="A93" s="252"/>
      <c r="D93" s="1982"/>
      <c r="K93" s="57"/>
      <c r="L93" s="57"/>
    </row>
    <row r="94" spans="1:12" s="1981" customFormat="1">
      <c r="A94" s="252"/>
      <c r="D94" s="1982"/>
      <c r="K94" s="57"/>
      <c r="L94" s="57"/>
    </row>
    <row r="95" spans="1:12" s="1981" customFormat="1">
      <c r="A95" s="252"/>
      <c r="D95" s="1982"/>
      <c r="K95" s="57"/>
      <c r="L95" s="57"/>
    </row>
    <row r="96" spans="1:12" s="1981" customFormat="1">
      <c r="A96" s="252"/>
      <c r="D96" s="1982"/>
      <c r="K96" s="57"/>
      <c r="L96" s="57"/>
    </row>
    <row r="97" spans="1:12" s="1981" customFormat="1">
      <c r="A97" s="252"/>
      <c r="D97" s="1982"/>
      <c r="K97" s="57"/>
      <c r="L97" s="57"/>
    </row>
    <row r="98" spans="1:12" s="1981" customFormat="1">
      <c r="A98" s="252"/>
      <c r="D98" s="1982"/>
      <c r="K98" s="57"/>
      <c r="L98" s="57"/>
    </row>
    <row r="99" spans="1:12" s="1981" customFormat="1">
      <c r="A99" s="252"/>
      <c r="D99" s="1982"/>
      <c r="K99" s="57"/>
      <c r="L99" s="57"/>
    </row>
    <row r="100" spans="1:12" s="1981" customFormat="1">
      <c r="A100" s="252"/>
      <c r="D100" s="1982"/>
      <c r="K100" s="57"/>
      <c r="L100" s="57"/>
    </row>
    <row r="101" spans="1:12" s="1981" customFormat="1">
      <c r="A101" s="252"/>
      <c r="D101" s="1982"/>
      <c r="K101" s="57"/>
      <c r="L101" s="57"/>
    </row>
    <row r="102" spans="1:12" s="1981" customFormat="1">
      <c r="A102" s="252"/>
      <c r="D102" s="1982"/>
      <c r="K102" s="57"/>
      <c r="L102" s="57"/>
    </row>
    <row r="103" spans="1:12" s="1981" customFormat="1">
      <c r="A103" s="252"/>
      <c r="D103" s="1982"/>
      <c r="K103" s="57"/>
      <c r="L103" s="57"/>
    </row>
    <row r="104" spans="1:12" s="1981" customFormat="1">
      <c r="A104" s="252"/>
      <c r="D104" s="1982"/>
      <c r="K104" s="57"/>
      <c r="L104" s="57"/>
    </row>
    <row r="105" spans="1:12" s="1981" customFormat="1">
      <c r="A105" s="252"/>
      <c r="D105" s="1982"/>
      <c r="K105" s="57"/>
      <c r="L105" s="57"/>
    </row>
    <row r="106" spans="1:12" s="1981" customFormat="1">
      <c r="A106" s="252"/>
      <c r="D106" s="1982"/>
      <c r="K106" s="57"/>
      <c r="L106" s="57"/>
    </row>
    <row r="107" spans="1:12" s="1981" customFormat="1">
      <c r="A107" s="252"/>
      <c r="D107" s="1982"/>
      <c r="K107" s="57"/>
      <c r="L107" s="57"/>
    </row>
    <row r="108" spans="1:12" s="1981" customFormat="1">
      <c r="A108" s="252"/>
      <c r="D108" s="1982"/>
      <c r="K108" s="57"/>
      <c r="L108" s="57"/>
    </row>
    <row r="109" spans="1:12" s="1981" customFormat="1">
      <c r="A109" s="252"/>
      <c r="D109" s="1982"/>
      <c r="K109" s="57"/>
      <c r="L109" s="57"/>
    </row>
    <row r="110" spans="1:12" s="1981" customFormat="1">
      <c r="A110" s="252"/>
      <c r="D110" s="1982"/>
      <c r="K110" s="57"/>
      <c r="L110" s="57"/>
    </row>
    <row r="111" spans="1:12" s="1981" customFormat="1">
      <c r="A111" s="252"/>
      <c r="D111" s="1982"/>
      <c r="K111" s="57"/>
      <c r="L111" s="57"/>
    </row>
    <row r="112" spans="1:12" s="1981" customFormat="1">
      <c r="A112" s="252"/>
      <c r="D112" s="1982"/>
      <c r="K112" s="57"/>
      <c r="L112" s="57"/>
    </row>
    <row r="113" spans="1:12" s="1981" customFormat="1">
      <c r="A113" s="252"/>
      <c r="D113" s="1982"/>
      <c r="K113" s="57"/>
      <c r="L113" s="57"/>
    </row>
    <row r="114" spans="1:12" s="1981" customFormat="1">
      <c r="A114" s="252"/>
      <c r="D114" s="1982"/>
      <c r="K114" s="57"/>
      <c r="L114" s="57"/>
    </row>
    <row r="115" spans="1:12" s="1981" customFormat="1">
      <c r="A115" s="252"/>
      <c r="D115" s="1982"/>
      <c r="K115" s="57"/>
      <c r="L115" s="57"/>
    </row>
    <row r="116" spans="1:12" s="1981" customFormat="1">
      <c r="A116" s="252"/>
      <c r="D116" s="1982"/>
      <c r="K116" s="57"/>
      <c r="L116" s="57"/>
    </row>
    <row r="117" spans="1:12" s="1981" customFormat="1">
      <c r="A117" s="252"/>
      <c r="D117" s="1982"/>
      <c r="K117" s="57"/>
      <c r="L117" s="57"/>
    </row>
    <row r="118" spans="1:12" s="1981" customFormat="1">
      <c r="A118" s="252"/>
      <c r="D118" s="1982"/>
      <c r="K118" s="57"/>
      <c r="L118" s="57"/>
    </row>
    <row r="119" spans="1:12" s="1981" customFormat="1">
      <c r="A119" s="252"/>
      <c r="D119" s="1982"/>
      <c r="K119" s="57"/>
      <c r="L119" s="57"/>
    </row>
    <row r="120" spans="1:12" s="1981" customFormat="1">
      <c r="A120" s="252"/>
      <c r="D120" s="1982"/>
      <c r="K120" s="57"/>
      <c r="L120" s="57"/>
    </row>
    <row r="121" spans="1:12" s="1981" customFormat="1">
      <c r="A121" s="252"/>
      <c r="D121" s="1982"/>
      <c r="K121" s="57"/>
      <c r="L121" s="57"/>
    </row>
    <row r="122" spans="1:12" s="1981" customFormat="1">
      <c r="A122" s="252"/>
      <c r="D122" s="1982"/>
      <c r="K122" s="57"/>
      <c r="L122" s="57"/>
    </row>
    <row r="123" spans="1:12" s="1981" customFormat="1">
      <c r="A123" s="252"/>
      <c r="D123" s="1982"/>
      <c r="K123" s="57"/>
      <c r="L123" s="57"/>
    </row>
    <row r="124" spans="1:12" s="1981" customFormat="1">
      <c r="A124" s="252"/>
      <c r="D124" s="1982"/>
      <c r="K124" s="57"/>
      <c r="L124" s="57"/>
    </row>
    <row r="125" spans="1:12" s="1981" customFormat="1">
      <c r="A125" s="252"/>
      <c r="D125" s="1982"/>
      <c r="K125" s="57"/>
      <c r="L125" s="57"/>
    </row>
    <row r="126" spans="1:12" s="1981" customFormat="1">
      <c r="A126" s="252"/>
      <c r="D126" s="1982"/>
      <c r="K126" s="57"/>
      <c r="L126" s="57"/>
    </row>
    <row r="127" spans="1:12" s="1981" customFormat="1">
      <c r="A127" s="252"/>
      <c r="D127" s="1982"/>
      <c r="K127" s="57"/>
      <c r="L127" s="57"/>
    </row>
    <row r="128" spans="1:12" s="1981" customFormat="1">
      <c r="A128" s="252"/>
      <c r="D128" s="1982"/>
      <c r="K128" s="57"/>
      <c r="L128" s="57"/>
    </row>
    <row r="129" spans="1:12" s="1981" customFormat="1">
      <c r="A129" s="252"/>
      <c r="D129" s="1982"/>
      <c r="K129" s="57"/>
      <c r="L129" s="57"/>
    </row>
    <row r="130" spans="1:12" s="1981" customFormat="1">
      <c r="A130" s="252"/>
      <c r="D130" s="1982"/>
      <c r="K130" s="57"/>
      <c r="L130" s="57"/>
    </row>
    <row r="131" spans="1:12" s="1981" customFormat="1">
      <c r="A131" s="252"/>
      <c r="D131" s="1982"/>
      <c r="K131" s="57"/>
      <c r="L131" s="57"/>
    </row>
    <row r="132" spans="1:12" s="1981" customFormat="1">
      <c r="A132" s="252"/>
      <c r="D132" s="1982"/>
      <c r="K132" s="57"/>
      <c r="L132" s="57"/>
    </row>
    <row r="133" spans="1:12" s="1981" customFormat="1">
      <c r="A133" s="252"/>
      <c r="D133" s="1982"/>
      <c r="K133" s="57"/>
      <c r="L133" s="57"/>
    </row>
    <row r="134" spans="1:12" s="1981" customFormat="1">
      <c r="A134" s="252"/>
      <c r="D134" s="1982"/>
      <c r="K134" s="57"/>
      <c r="L134" s="57"/>
    </row>
    <row r="135" spans="1:12" s="1981" customFormat="1">
      <c r="A135" s="252"/>
      <c r="D135" s="1982"/>
      <c r="K135" s="57"/>
      <c r="L135" s="57"/>
    </row>
    <row r="136" spans="1:12" s="1981" customFormat="1">
      <c r="A136" s="252"/>
      <c r="D136" s="1982"/>
      <c r="K136" s="57"/>
      <c r="L136" s="57"/>
    </row>
    <row r="137" spans="1:12" s="1981" customFormat="1">
      <c r="A137" s="252"/>
      <c r="D137" s="1982"/>
      <c r="K137" s="57"/>
      <c r="L137" s="57"/>
    </row>
    <row r="138" spans="1:12" s="1981" customFormat="1">
      <c r="A138" s="252"/>
      <c r="D138" s="1982"/>
      <c r="K138" s="57"/>
      <c r="L138" s="57"/>
    </row>
    <row r="139" spans="1:12" s="1981" customFormat="1">
      <c r="A139" s="252"/>
      <c r="D139" s="1982"/>
      <c r="K139" s="57"/>
      <c r="L139" s="57"/>
    </row>
    <row r="140" spans="1:12" s="1981" customFormat="1">
      <c r="A140" s="252"/>
      <c r="D140" s="1982"/>
      <c r="K140" s="57"/>
      <c r="L140" s="57"/>
    </row>
    <row r="141" spans="1:12" s="1981" customFormat="1">
      <c r="A141" s="252"/>
      <c r="D141" s="1982"/>
      <c r="K141" s="57"/>
      <c r="L141" s="57"/>
    </row>
    <row r="142" spans="1:12" s="1981" customFormat="1">
      <c r="A142" s="252"/>
      <c r="D142" s="1982"/>
      <c r="K142" s="57"/>
      <c r="L142" s="57"/>
    </row>
    <row r="143" spans="1:12" s="1981" customFormat="1">
      <c r="A143" s="252"/>
      <c r="D143" s="1982"/>
      <c r="K143" s="57"/>
      <c r="L143" s="57"/>
    </row>
    <row r="144" spans="1:12" s="1981" customFormat="1">
      <c r="A144" s="252"/>
      <c r="D144" s="1982"/>
      <c r="K144" s="57"/>
      <c r="L144" s="57"/>
    </row>
    <row r="145" spans="1:12" s="1981" customFormat="1">
      <c r="A145" s="252"/>
      <c r="D145" s="1982"/>
      <c r="K145" s="57"/>
      <c r="L145" s="57"/>
    </row>
    <row r="146" spans="1:12" s="1981" customFormat="1">
      <c r="A146" s="252"/>
      <c r="D146" s="1982"/>
      <c r="K146" s="57"/>
      <c r="L146" s="57"/>
    </row>
    <row r="147" spans="1:12" s="1981" customFormat="1">
      <c r="A147" s="252"/>
      <c r="D147" s="1982"/>
      <c r="K147" s="57"/>
      <c r="L147" s="57"/>
    </row>
    <row r="148" spans="1:12" s="1981" customFormat="1">
      <c r="A148" s="252"/>
      <c r="D148" s="1982"/>
      <c r="K148" s="57"/>
      <c r="L148" s="57"/>
    </row>
    <row r="149" spans="1:12" s="1981" customFormat="1">
      <c r="A149" s="252"/>
      <c r="D149" s="1982"/>
      <c r="K149" s="57"/>
      <c r="L149" s="57"/>
    </row>
    <row r="150" spans="1:12" s="1981" customFormat="1">
      <c r="A150" s="252"/>
      <c r="D150" s="1982"/>
      <c r="K150" s="57"/>
      <c r="L150" s="57"/>
    </row>
    <row r="151" spans="1:12" s="1981" customFormat="1">
      <c r="A151" s="252"/>
      <c r="D151" s="1982"/>
      <c r="K151" s="57"/>
      <c r="L151" s="57"/>
    </row>
    <row r="152" spans="1:12" s="1981" customFormat="1">
      <c r="A152" s="252"/>
      <c r="D152" s="1982"/>
      <c r="K152" s="57"/>
      <c r="L152" s="57"/>
    </row>
    <row r="153" spans="1:12" s="1981" customFormat="1">
      <c r="A153" s="252"/>
      <c r="D153" s="1982"/>
      <c r="K153" s="57"/>
      <c r="L153" s="57"/>
    </row>
    <row r="154" spans="1:12" s="1981" customFormat="1">
      <c r="A154" s="252"/>
      <c r="D154" s="1982"/>
      <c r="K154" s="57"/>
      <c r="L154" s="57"/>
    </row>
    <row r="155" spans="1:12" s="1981" customFormat="1">
      <c r="A155" s="252"/>
      <c r="D155" s="1982"/>
      <c r="K155" s="57"/>
      <c r="L155" s="57"/>
    </row>
    <row r="156" spans="1:12" s="1981" customFormat="1">
      <c r="A156" s="252"/>
      <c r="D156" s="1982"/>
      <c r="K156" s="57"/>
      <c r="L156" s="57"/>
    </row>
    <row r="157" spans="1:12" s="1981" customFormat="1">
      <c r="A157" s="252"/>
      <c r="D157" s="1982"/>
      <c r="K157" s="57"/>
      <c r="L157" s="57"/>
    </row>
    <row r="158" spans="1:12" s="1981" customFormat="1">
      <c r="A158" s="252"/>
      <c r="D158" s="1982"/>
      <c r="K158" s="57"/>
      <c r="L158" s="57"/>
    </row>
    <row r="159" spans="1:12" s="1981" customFormat="1">
      <c r="A159" s="252"/>
      <c r="D159" s="1982"/>
      <c r="K159" s="57"/>
      <c r="L159" s="57"/>
    </row>
    <row r="160" spans="1:12" s="1981" customFormat="1">
      <c r="A160" s="252"/>
      <c r="D160" s="1982"/>
      <c r="K160" s="57"/>
      <c r="L160" s="57"/>
    </row>
    <row r="161" spans="1:12" s="1981" customFormat="1">
      <c r="A161" s="252"/>
      <c r="D161" s="1982"/>
      <c r="K161" s="57"/>
      <c r="L161" s="57"/>
    </row>
    <row r="162" spans="1:12" s="1981" customFormat="1">
      <c r="A162" s="252"/>
      <c r="D162" s="1982"/>
      <c r="K162" s="57"/>
      <c r="L162" s="57"/>
    </row>
    <row r="163" spans="1:12" s="1981" customFormat="1">
      <c r="A163" s="252"/>
      <c r="D163" s="1982"/>
      <c r="K163" s="57"/>
      <c r="L163" s="57"/>
    </row>
    <row r="164" spans="1:12" s="1981" customFormat="1">
      <c r="A164" s="252"/>
      <c r="D164" s="1982"/>
      <c r="K164" s="57"/>
      <c r="L164" s="57"/>
    </row>
    <row r="165" spans="1:12" s="1981" customFormat="1">
      <c r="A165" s="252"/>
      <c r="D165" s="1982"/>
      <c r="K165" s="57"/>
      <c r="L165" s="57"/>
    </row>
    <row r="166" spans="1:12" s="1981" customFormat="1">
      <c r="A166" s="252"/>
      <c r="D166" s="1982"/>
      <c r="K166" s="57"/>
      <c r="L166" s="57"/>
    </row>
    <row r="167" spans="1:12" s="1981" customFormat="1">
      <c r="A167" s="252"/>
      <c r="D167" s="1982"/>
      <c r="K167" s="57"/>
      <c r="L167" s="57"/>
    </row>
    <row r="168" spans="1:12" s="1981" customFormat="1">
      <c r="A168" s="252"/>
      <c r="D168" s="1982"/>
      <c r="K168" s="57"/>
      <c r="L168" s="57"/>
    </row>
    <row r="169" spans="1:12" s="1981" customFormat="1">
      <c r="A169" s="252"/>
      <c r="D169" s="1982"/>
      <c r="K169" s="57"/>
      <c r="L169" s="57"/>
    </row>
    <row r="170" spans="1:12" s="1981" customFormat="1">
      <c r="A170" s="252"/>
      <c r="D170" s="1982"/>
      <c r="K170" s="57"/>
      <c r="L170" s="57"/>
    </row>
    <row r="171" spans="1:12" s="1981" customFormat="1">
      <c r="A171" s="252"/>
      <c r="D171" s="1982"/>
      <c r="K171" s="57"/>
      <c r="L171" s="57"/>
    </row>
    <row r="172" spans="1:12" s="1981" customFormat="1">
      <c r="A172" s="252"/>
      <c r="D172" s="1982"/>
      <c r="K172" s="57"/>
      <c r="L172" s="57"/>
    </row>
    <row r="173" spans="1:12" s="1981" customFormat="1">
      <c r="A173" s="252"/>
      <c r="D173" s="1982"/>
      <c r="K173" s="57"/>
      <c r="L173" s="57"/>
    </row>
    <row r="174" spans="1:12" s="1981" customFormat="1">
      <c r="A174" s="252"/>
      <c r="D174" s="1982"/>
      <c r="K174" s="57"/>
      <c r="L174" s="57"/>
    </row>
    <row r="175" spans="1:12" s="1981" customFormat="1">
      <c r="A175" s="252"/>
      <c r="D175" s="1982"/>
      <c r="K175" s="57"/>
      <c r="L175" s="57"/>
    </row>
    <row r="176" spans="1:12" s="1981" customFormat="1">
      <c r="A176" s="252"/>
      <c r="D176" s="1982"/>
      <c r="K176" s="57"/>
      <c r="L176" s="57"/>
    </row>
    <row r="177" spans="1:12" s="1981" customFormat="1">
      <c r="A177" s="252"/>
      <c r="D177" s="1982"/>
      <c r="K177" s="57"/>
      <c r="L177" s="57"/>
    </row>
    <row r="178" spans="1:12" s="1981" customFormat="1">
      <c r="A178" s="252"/>
      <c r="D178" s="1982"/>
      <c r="K178" s="57"/>
      <c r="L178" s="57"/>
    </row>
    <row r="179" spans="1:12" s="1981" customFormat="1">
      <c r="A179" s="252"/>
      <c r="D179" s="1982"/>
      <c r="K179" s="57"/>
      <c r="L179" s="57"/>
    </row>
    <row r="180" spans="1:12" s="1981" customFormat="1">
      <c r="A180" s="252"/>
      <c r="D180" s="1982"/>
      <c r="K180" s="57"/>
      <c r="L180" s="57"/>
    </row>
    <row r="181" spans="1:12" s="1981" customFormat="1">
      <c r="A181" s="252"/>
      <c r="D181" s="1982"/>
      <c r="K181" s="57"/>
      <c r="L181" s="57"/>
    </row>
    <row r="182" spans="1:12" s="1981" customFormat="1">
      <c r="A182" s="252"/>
      <c r="D182" s="1982"/>
      <c r="K182" s="57"/>
      <c r="L182" s="57"/>
    </row>
    <row r="183" spans="1:12" s="1981" customFormat="1">
      <c r="A183" s="252"/>
      <c r="D183" s="1982"/>
      <c r="K183" s="57"/>
      <c r="L183" s="57"/>
    </row>
    <row r="184" spans="1:12" s="1981" customFormat="1">
      <c r="A184" s="252"/>
      <c r="D184" s="1982"/>
      <c r="K184" s="57"/>
      <c r="L184" s="57"/>
    </row>
    <row r="185" spans="1:12" s="1981" customFormat="1">
      <c r="A185" s="252"/>
      <c r="D185" s="1982"/>
      <c r="K185" s="57"/>
      <c r="L185" s="57"/>
    </row>
    <row r="186" spans="1:12" s="1981" customFormat="1">
      <c r="A186" s="252"/>
      <c r="D186" s="1982"/>
      <c r="K186" s="57"/>
      <c r="L186" s="57"/>
    </row>
    <row r="187" spans="1:12" s="1981" customFormat="1">
      <c r="A187" s="252"/>
      <c r="D187" s="1982"/>
      <c r="K187" s="57"/>
      <c r="L187" s="57"/>
    </row>
    <row r="188" spans="1:12" s="1981" customFormat="1">
      <c r="A188" s="252"/>
      <c r="D188" s="1982"/>
      <c r="K188" s="57"/>
      <c r="L188" s="57"/>
    </row>
    <row r="189" spans="1:12" s="1981" customFormat="1">
      <c r="A189" s="252"/>
      <c r="D189" s="1982"/>
      <c r="K189" s="57"/>
      <c r="L189" s="57"/>
    </row>
    <row r="190" spans="1:12" s="1981" customFormat="1">
      <c r="A190" s="252"/>
      <c r="D190" s="1982"/>
      <c r="K190" s="57"/>
      <c r="L190" s="57"/>
    </row>
    <row r="191" spans="1:12" s="1981" customFormat="1">
      <c r="A191" s="252"/>
      <c r="D191" s="1982"/>
      <c r="K191" s="57"/>
      <c r="L191" s="57"/>
    </row>
    <row r="192" spans="1:12" s="1981" customFormat="1">
      <c r="A192" s="252"/>
      <c r="D192" s="1982"/>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922" t="s">
        <v>1663</v>
      </c>
      <c r="B1" s="3923"/>
      <c r="C1" s="3923"/>
      <c r="D1" s="3923"/>
      <c r="E1" s="3923"/>
      <c r="F1" s="3923"/>
      <c r="G1" s="3923"/>
      <c r="H1" s="1985"/>
      <c r="I1" s="1986"/>
      <c r="J1" s="1987"/>
      <c r="K1" s="1985"/>
      <c r="L1" s="1986"/>
      <c r="M1" s="1987"/>
      <c r="N1" s="1985"/>
      <c r="O1" s="1986"/>
      <c r="P1" s="1987"/>
      <c r="Q1" s="1988"/>
      <c r="R1" s="1989"/>
    </row>
    <row r="2" spans="1:18" ht="14.25" thickBot="1">
      <c r="A2" s="1216"/>
      <c r="B2" s="1217"/>
      <c r="C2" s="1218" t="s">
        <v>1664</v>
      </c>
      <c r="D2" s="1219"/>
      <c r="E2" s="1220"/>
      <c r="F2" s="1221"/>
      <c r="G2" s="1218" t="s">
        <v>1665</v>
      </c>
      <c r="H2" s="1991"/>
      <c r="I2" s="1991"/>
      <c r="J2" s="1991"/>
      <c r="K2" s="1991"/>
      <c r="L2" s="1991"/>
      <c r="M2" s="1991"/>
      <c r="N2" s="1991"/>
      <c r="O2" s="1991"/>
      <c r="P2" s="1991"/>
      <c r="Q2" s="1991"/>
      <c r="R2" s="1991"/>
    </row>
    <row r="3" spans="1:18" ht="42.75">
      <c r="A3" s="1222" t="s">
        <v>1666</v>
      </c>
      <c r="B3" s="1223" t="s">
        <v>1653</v>
      </c>
      <c r="C3" s="3204" t="s">
        <v>3161</v>
      </c>
      <c r="D3" s="1992"/>
      <c r="E3" s="1224" t="s">
        <v>1666</v>
      </c>
      <c r="F3" s="1225" t="s">
        <v>1654</v>
      </c>
      <c r="G3" s="3032" t="s">
        <v>2919</v>
      </c>
      <c r="H3" s="1991"/>
      <c r="I3" s="1991"/>
      <c r="J3" s="1991"/>
      <c r="K3" s="1991"/>
      <c r="L3" s="1991"/>
      <c r="M3" s="1991"/>
      <c r="N3" s="1991"/>
      <c r="O3" s="1991"/>
      <c r="P3" s="1991"/>
      <c r="Q3" s="1991"/>
      <c r="R3" s="1991"/>
    </row>
    <row r="4" spans="1:18" ht="57">
      <c r="A4" s="1224"/>
      <c r="B4" s="1226" t="s">
        <v>1667</v>
      </c>
      <c r="C4" s="3029" t="s">
        <v>3141</v>
      </c>
      <c r="D4" s="1992"/>
      <c r="E4" s="1227"/>
      <c r="F4" s="1228" t="s">
        <v>1668</v>
      </c>
      <c r="G4" s="3030" t="s">
        <v>2916</v>
      </c>
      <c r="H4" s="1991"/>
      <c r="I4" s="1991"/>
      <c r="J4" s="1991"/>
      <c r="K4" s="1991"/>
      <c r="L4" s="1991"/>
      <c r="M4" s="1991"/>
      <c r="N4" s="1991"/>
      <c r="O4" s="1991"/>
      <c r="P4" s="1991"/>
      <c r="Q4" s="1991"/>
      <c r="R4" s="1991"/>
    </row>
    <row r="5" spans="1:18" ht="41.25">
      <c r="A5" s="1224"/>
      <c r="B5" s="1226" t="s">
        <v>1669</v>
      </c>
      <c r="C5" s="3029" t="s">
        <v>2920</v>
      </c>
      <c r="D5" s="1992"/>
      <c r="E5" s="1227"/>
      <c r="F5" s="1226" t="s">
        <v>2545</v>
      </c>
      <c r="G5" s="3030" t="s">
        <v>2917</v>
      </c>
      <c r="H5" s="1991"/>
      <c r="I5" s="1991"/>
      <c r="J5" s="1991"/>
      <c r="K5" s="1991"/>
      <c r="L5" s="1991"/>
      <c r="M5" s="1991"/>
      <c r="N5" s="1991"/>
      <c r="O5" s="1991"/>
      <c r="P5" s="1991"/>
      <c r="Q5" s="1991"/>
      <c r="R5" s="1991"/>
    </row>
    <row r="6" spans="1:18" ht="81">
      <c r="A6" s="1224"/>
      <c r="B6" s="1226" t="s">
        <v>1655</v>
      </c>
      <c r="C6" s="3197" t="s">
        <v>3142</v>
      </c>
      <c r="D6" s="1992"/>
      <c r="E6" s="1227"/>
      <c r="F6" s="1226" t="s">
        <v>2546</v>
      </c>
      <c r="G6" s="3030" t="s">
        <v>2915</v>
      </c>
      <c r="H6" s="1991"/>
      <c r="I6" s="1991"/>
      <c r="J6" s="1991"/>
      <c r="K6" s="1991"/>
      <c r="L6" s="1991"/>
      <c r="M6" s="1991"/>
      <c r="N6" s="1991"/>
      <c r="O6" s="1991"/>
      <c r="P6" s="1991"/>
      <c r="Q6" s="1991"/>
      <c r="R6" s="1991"/>
    </row>
    <row r="7" spans="1:18" ht="81.75" thickBot="1">
      <c r="A7" s="1224"/>
      <c r="B7" s="1226" t="s">
        <v>2545</v>
      </c>
      <c r="C7" s="3197" t="s">
        <v>3176</v>
      </c>
      <c r="D7" s="1993"/>
      <c r="E7" s="1229"/>
      <c r="F7" s="1230" t="s">
        <v>1670</v>
      </c>
      <c r="G7" s="3033" t="s">
        <v>2918</v>
      </c>
      <c r="H7" s="1991"/>
      <c r="I7" s="1991"/>
      <c r="J7" s="1991"/>
      <c r="K7" s="1991"/>
      <c r="L7" s="1991"/>
      <c r="M7" s="1991"/>
      <c r="N7" s="1991"/>
      <c r="O7" s="1991"/>
      <c r="P7" s="1991"/>
      <c r="Q7" s="1991"/>
      <c r="R7" s="1991"/>
    </row>
    <row r="8" spans="1:18" ht="27">
      <c r="A8" s="1224"/>
      <c r="B8" s="1226" t="s">
        <v>2546</v>
      </c>
      <c r="C8" s="3197" t="s">
        <v>3144</v>
      </c>
      <c r="D8" s="1993"/>
      <c r="E8" s="1993"/>
      <c r="F8" s="1538"/>
      <c r="G8" s="1538"/>
      <c r="H8" s="1991"/>
      <c r="I8" s="1991"/>
      <c r="J8" s="1991"/>
      <c r="K8" s="1991"/>
      <c r="L8" s="1991"/>
      <c r="M8" s="1991"/>
      <c r="N8" s="1991"/>
      <c r="O8" s="1991"/>
      <c r="P8" s="1991"/>
      <c r="Q8" s="1991"/>
      <c r="R8" s="1991"/>
    </row>
    <row r="9" spans="1:18" ht="54">
      <c r="A9" s="1224"/>
      <c r="B9" s="1226" t="s">
        <v>1656</v>
      </c>
      <c r="C9" s="3201" t="s">
        <v>3323</v>
      </c>
      <c r="D9" s="1992"/>
      <c r="E9" s="1993"/>
      <c r="F9" s="1538"/>
      <c r="G9" s="1538"/>
      <c r="H9" s="1991"/>
      <c r="I9" s="1991"/>
      <c r="J9" s="1991"/>
      <c r="K9" s="1991"/>
      <c r="L9" s="1991"/>
      <c r="M9" s="1991"/>
      <c r="N9" s="1991"/>
      <c r="O9" s="1991"/>
      <c r="P9" s="1991"/>
      <c r="Q9" s="1991"/>
      <c r="R9" s="1991"/>
    </row>
    <row r="10" spans="1:18" s="1999" customFormat="1" ht="15" thickBot="1">
      <c r="A10" s="1231"/>
      <c r="B10" s="1232" t="s">
        <v>1671</v>
      </c>
      <c r="C10" s="3031" t="s">
        <v>3147</v>
      </c>
      <c r="D10" s="1992"/>
      <c r="E10" s="1992"/>
      <c r="F10" s="1538" t="s">
        <v>3145</v>
      </c>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1672</v>
      </c>
      <c r="B13" s="2540"/>
      <c r="C13" s="2540"/>
      <c r="D13" s="1219"/>
      <c r="E13" s="2540"/>
      <c r="F13" s="2540"/>
      <c r="G13" s="2540"/>
    </row>
    <row r="14" spans="1:18" ht="14.25" thickBot="1">
      <c r="A14" s="1233"/>
      <c r="B14" s="1234"/>
      <c r="C14" s="1235" t="s">
        <v>1664</v>
      </c>
      <c r="D14" s="1992"/>
      <c r="E14" s="1236"/>
      <c r="F14" s="1236"/>
      <c r="G14" s="1218" t="s">
        <v>1665</v>
      </c>
    </row>
    <row r="15" spans="1:18" ht="54">
      <c r="A15" s="2550" t="s">
        <v>1657</v>
      </c>
      <c r="B15" s="1237" t="s">
        <v>1653</v>
      </c>
      <c r="C15" s="1238" t="str">
        <f>C3</f>
        <v>周边居住氛围一遍，有潼南天地、卓然铂金公馆等住宅小区，居住社区成熟度较好</v>
      </c>
      <c r="D15" s="1992"/>
      <c r="E15" s="2547" t="s">
        <v>1658</v>
      </c>
      <c r="F15" s="1237" t="s">
        <v>1673</v>
      </c>
      <c r="G15" s="1239" t="str">
        <f>G3</f>
        <v>估价对象位于XX开发区，园区建设成熟度XX，产业集聚程度XX</v>
      </c>
    </row>
    <row r="16" spans="1:18" ht="54">
      <c r="A16" s="2551"/>
      <c r="B16" s="1240" t="s">
        <v>1667</v>
      </c>
      <c r="C16" s="1241" t="str">
        <f>C4</f>
        <v>估价对象周边商业为项目内部商业街，周边商业氛围较好，人流量较大，商业繁华度较好</v>
      </c>
      <c r="D16" s="1992"/>
      <c r="E16" s="2548"/>
      <c r="F16" s="1242" t="s">
        <v>1668</v>
      </c>
      <c r="G16" s="1004" t="str">
        <f>G4</f>
        <v>估价对象周边道路状况、公共交通通达情况、停车便捷程度，综合评价交通便捷度较好</v>
      </c>
    </row>
    <row r="17" spans="1:7" ht="40.5">
      <c r="A17" s="2551"/>
      <c r="B17" s="1240" t="s">
        <v>1669</v>
      </c>
      <c r="C17" s="1241" t="str">
        <f>C5</f>
        <v>估价对象位于XX商圈，周边办公楼项目较多，入驻率高，办公集聚程度较好</v>
      </c>
      <c r="D17" s="1993"/>
      <c r="E17" s="2548"/>
      <c r="F17" s="1242" t="s">
        <v>1674</v>
      </c>
      <c r="G17" s="2748"/>
    </row>
    <row r="18" spans="1:7" ht="81">
      <c r="A18" s="2551"/>
      <c r="B18" s="1242" t="s">
        <v>1655</v>
      </c>
      <c r="C18" s="1004" t="str">
        <f>C6</f>
        <v>周边道路密集程度一般、公共交通通达情况一般，有107路，203路、等公交线路通过，停车便捷程度一般，综合评价交通便捷度一般。</v>
      </c>
      <c r="D18" s="1993"/>
      <c r="E18" s="2548"/>
      <c r="F18" s="1242" t="s">
        <v>1670</v>
      </c>
      <c r="G18" s="1004" t="str">
        <f>G7</f>
        <v>该园区内是否有污染型企业，绿化情况，卫生条件，整体环境状况判断</v>
      </c>
    </row>
    <row r="19" spans="1:7" ht="27">
      <c r="A19" s="2551"/>
      <c r="B19" s="1242" t="s">
        <v>1659</v>
      </c>
      <c r="C19" s="3198" t="s">
        <v>3146</v>
      </c>
      <c r="D19" s="1992"/>
      <c r="E19" s="2548"/>
      <c r="F19" s="1226" t="s">
        <v>2545</v>
      </c>
      <c r="G19" s="1004" t="str">
        <f>G5</f>
        <v>估价对象所在区域公共配套设施齐备情况</v>
      </c>
    </row>
    <row r="20" spans="1:7" ht="54">
      <c r="A20" s="2551"/>
      <c r="B20" s="1242" t="s">
        <v>1660</v>
      </c>
      <c r="C20" s="1241" t="str">
        <f>C9</f>
        <v>周边自然环境（项目内部天鹅湖）；人文环境（潼南区图书馆），综合评价环境状况较好；</v>
      </c>
      <c r="D20" s="1993"/>
      <c r="E20" s="2548"/>
      <c r="F20" s="1226" t="s">
        <v>2546</v>
      </c>
      <c r="G20" s="1004" t="str">
        <f>G6</f>
        <v>估价对象所在区域基础设施水平</v>
      </c>
    </row>
    <row r="21" spans="1:7" ht="81">
      <c r="A21" s="2551"/>
      <c r="B21" s="1226" t="s">
        <v>2545</v>
      </c>
      <c r="C21" s="1004" t="str">
        <f>C7</f>
        <v>所在区域2公里范围内有银行（中国邮政储蓄银行）、学校（巴川中学）、商业（无）、医院（无）等配套设施，公共配套设施一般；</v>
      </c>
      <c r="D21" s="1992"/>
      <c r="E21" s="2548"/>
      <c r="F21" s="1242" t="s">
        <v>1661</v>
      </c>
      <c r="G21" s="3034"/>
    </row>
    <row r="22" spans="1:7" ht="27">
      <c r="A22" s="2551"/>
      <c r="B22" s="1226" t="s">
        <v>2546</v>
      </c>
      <c r="C22" s="1004" t="str">
        <f>C8</f>
        <v>所在区域基础设施水平达六通</v>
      </c>
      <c r="D22" s="1992"/>
      <c r="E22" s="2548"/>
      <c r="F22" s="1242" t="s">
        <v>1671</v>
      </c>
      <c r="G22" s="2748"/>
    </row>
    <row r="23" spans="1:7" ht="15" thickBot="1">
      <c r="A23" s="2551"/>
      <c r="B23" s="1242" t="s">
        <v>1661</v>
      </c>
      <c r="C23" s="3034"/>
      <c r="E23" s="2549"/>
      <c r="F23" s="1243" t="s">
        <v>1675</v>
      </c>
      <c r="G23" s="3035"/>
    </row>
    <row r="24" spans="1:7" ht="14.25" thickBot="1">
      <c r="A24" s="2552"/>
      <c r="B24" s="1243" t="s">
        <v>1662</v>
      </c>
      <c r="C24" s="1244" t="str">
        <f>C10</f>
        <v>城市次干道-创意大道</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E1" workbookViewId="0">
      <selection activeCell="G15" sqref="G15"/>
    </sheetView>
  </sheetViews>
  <sheetFormatPr defaultColWidth="14.625" defaultRowHeight="13.5"/>
  <cols>
    <col min="1" max="1" width="24.375" customWidth="1"/>
  </cols>
  <sheetData>
    <row r="1" spans="1:9" ht="16.5">
      <c r="A1" s="2993" t="s">
        <v>2843</v>
      </c>
      <c r="B1" s="2993">
        <f>SUM(B14:B23)</f>
        <v>225455.56000000003</v>
      </c>
      <c r="C1" s="2994"/>
      <c r="D1" s="2994"/>
      <c r="E1" s="2994"/>
      <c r="F1" s="2994"/>
    </row>
    <row r="2" spans="1:9" ht="16.5">
      <c r="A2" s="2993" t="s">
        <v>2844</v>
      </c>
      <c r="B2" s="2993">
        <f>SUM(C14:C23)</f>
        <v>57044.93</v>
      </c>
      <c r="C2" s="2994"/>
      <c r="D2" s="2994"/>
      <c r="E2" s="2994"/>
      <c r="F2" s="2994"/>
    </row>
    <row r="3" spans="1:9" ht="16.5">
      <c r="A3" s="2993" t="s">
        <v>2845</v>
      </c>
      <c r="B3" s="2995">
        <f>项目基本情况!D3</f>
        <v>43647</v>
      </c>
      <c r="C3" s="2994"/>
      <c r="D3" s="2994"/>
      <c r="E3" s="2994"/>
      <c r="F3" s="2994"/>
    </row>
    <row r="4" spans="1:9" ht="33">
      <c r="A4" s="2993" t="s">
        <v>2846</v>
      </c>
      <c r="B4" s="2993" t="s">
        <v>2847</v>
      </c>
      <c r="C4" s="2993" t="s">
        <v>2848</v>
      </c>
      <c r="D4" s="2993" t="s">
        <v>2849</v>
      </c>
      <c r="E4" s="2994"/>
      <c r="F4" s="2994"/>
    </row>
    <row r="5" spans="1:9" ht="16.5">
      <c r="A5" s="2993" t="s">
        <v>2850</v>
      </c>
      <c r="B5" s="2993">
        <f ca="1">SUM(D14:D23)</f>
        <v>31355</v>
      </c>
      <c r="C5" s="2993">
        <f ca="1">ROUND(B5*10000/$B$1,0)</f>
        <v>1391</v>
      </c>
      <c r="D5" s="2993">
        <f ca="1">ROUND(B5*10000/$B$2,0)</f>
        <v>5497</v>
      </c>
      <c r="E5" s="2994"/>
      <c r="F5" s="2994"/>
    </row>
    <row r="6" spans="1:9" ht="16.5">
      <c r="A6" s="2993" t="s">
        <v>2851</v>
      </c>
      <c r="B6" s="2993">
        <f ca="1">SUM(G14:G23)</f>
        <v>21188</v>
      </c>
      <c r="C6" s="2993">
        <f t="shared" ref="C6:C8" ca="1" si="0">ROUND(B6*10000/$B$1,0)</f>
        <v>940</v>
      </c>
      <c r="D6" s="2993">
        <f t="shared" ref="D6:D8" ca="1" si="1">ROUND(B6*10000/$B$2,0)</f>
        <v>3714</v>
      </c>
      <c r="E6" s="2994"/>
      <c r="F6" s="2994"/>
    </row>
    <row r="7" spans="1:9" ht="16.5">
      <c r="A7" s="2993" t="s">
        <v>2852</v>
      </c>
      <c r="B7" s="2993">
        <f>SUM(H14:H23)</f>
        <v>0</v>
      </c>
      <c r="C7" s="2993">
        <f t="shared" si="0"/>
        <v>0</v>
      </c>
      <c r="D7" s="2993">
        <f t="shared" si="1"/>
        <v>0</v>
      </c>
      <c r="E7" s="2994"/>
      <c r="F7" s="2994"/>
    </row>
    <row r="8" spans="1:9" ht="16.5">
      <c r="A8" s="2993" t="s">
        <v>2853</v>
      </c>
      <c r="B8" s="2993">
        <f>SUM(I14:I23)</f>
        <v>0</v>
      </c>
      <c r="C8" s="2993">
        <f t="shared" si="0"/>
        <v>0</v>
      </c>
      <c r="D8" s="2993">
        <f t="shared" si="1"/>
        <v>0</v>
      </c>
      <c r="E8" s="2994"/>
      <c r="F8" s="2994"/>
    </row>
    <row r="9" spans="1:9" ht="16.5">
      <c r="A9" s="2993" t="s">
        <v>2854</v>
      </c>
      <c r="B9" s="2996"/>
      <c r="C9" s="2994"/>
      <c r="D9" s="2994"/>
      <c r="E9" s="2994"/>
      <c r="F9" s="2994"/>
    </row>
    <row r="10" spans="1:9" ht="16.5">
      <c r="A10" s="2993" t="s">
        <v>2855</v>
      </c>
      <c r="B10" s="2996"/>
      <c r="C10" s="2994"/>
      <c r="D10" s="2994"/>
      <c r="E10" s="2994"/>
      <c r="F10" s="2994"/>
    </row>
    <row r="11" spans="1:9" ht="16.5">
      <c r="A11" s="2993" t="s">
        <v>2872</v>
      </c>
      <c r="B11" s="2996"/>
      <c r="C11" s="2994"/>
      <c r="D11" s="2994"/>
      <c r="E11" s="2994"/>
      <c r="F11" s="2994"/>
    </row>
    <row r="12" spans="1:9" ht="16.5">
      <c r="A12" s="2994"/>
      <c r="B12" s="2994"/>
      <c r="C12" s="2994"/>
      <c r="D12" s="2994"/>
      <c r="E12" s="2994"/>
      <c r="F12" s="2994"/>
    </row>
    <row r="13" spans="1:9" ht="33">
      <c r="A13" s="2999" t="s">
        <v>2871</v>
      </c>
      <c r="B13" s="2997" t="s">
        <v>2843</v>
      </c>
      <c r="C13" s="2997" t="s">
        <v>2844</v>
      </c>
      <c r="D13" s="2997" t="s">
        <v>2856</v>
      </c>
      <c r="E13" s="2993" t="s">
        <v>2870</v>
      </c>
      <c r="F13" s="2993" t="s">
        <v>2849</v>
      </c>
      <c r="G13" s="2997" t="s">
        <v>2857</v>
      </c>
      <c r="H13" s="2997" t="s">
        <v>2858</v>
      </c>
      <c r="I13" s="2997" t="s">
        <v>2859</v>
      </c>
    </row>
    <row r="14" spans="1:9" ht="16.5">
      <c r="A14" s="3000" t="s">
        <v>2869</v>
      </c>
      <c r="B14" s="2997">
        <f>结果表!L38</f>
        <v>163564.33000000002</v>
      </c>
      <c r="C14" s="2997">
        <f>结果表!K38</f>
        <v>27220.14</v>
      </c>
      <c r="D14" s="2997">
        <f ca="1">结果表!C42</f>
        <v>21188</v>
      </c>
      <c r="E14" s="2997">
        <f ca="1">ROUND(D14*10000/B14,0)</f>
        <v>1295</v>
      </c>
      <c r="F14" s="2997">
        <f ca="1">ROUND(D14*10000/C14,0)</f>
        <v>7784</v>
      </c>
      <c r="G14" s="2997">
        <f ca="1">结果表!C44</f>
        <v>21188</v>
      </c>
      <c r="H14" s="2997" t="str">
        <f>结果表!C45</f>
        <v>——</v>
      </c>
      <c r="I14" s="2997" t="str">
        <f>结果表!C46</f>
        <v>——</v>
      </c>
    </row>
    <row r="15" spans="1:9" ht="16.5">
      <c r="A15" s="3000" t="s">
        <v>2860</v>
      </c>
      <c r="B15" s="3001">
        <f>[2]系统读取表!$B$14</f>
        <v>61891.23</v>
      </c>
      <c r="C15" s="3330">
        <f>[2]系统读取表!$C$14</f>
        <v>29824.79</v>
      </c>
      <c r="D15" s="3001">
        <f>[2]系统读取表!$D$14</f>
        <v>10167</v>
      </c>
      <c r="E15" s="2997">
        <f t="shared" ref="E15:E23" si="2">ROUND(D15*10000/B15,0)</f>
        <v>1643</v>
      </c>
      <c r="F15" s="2997">
        <f t="shared" ref="F15:F23" si="3">ROUND(D15*10000/C15,0)</f>
        <v>3409</v>
      </c>
      <c r="G15" s="2998"/>
      <c r="H15" s="2998"/>
      <c r="I15" s="3001"/>
    </row>
    <row r="16" spans="1:9" ht="16.5">
      <c r="A16" s="3000" t="s">
        <v>2861</v>
      </c>
      <c r="B16" s="3001"/>
      <c r="C16" s="3001"/>
      <c r="D16" s="3001"/>
      <c r="E16" s="2997" t="e">
        <f t="shared" si="2"/>
        <v>#DIV/0!</v>
      </c>
      <c r="F16" s="2997" t="e">
        <f t="shared" si="3"/>
        <v>#DIV/0!</v>
      </c>
      <c r="G16" s="2998"/>
      <c r="H16" s="2998"/>
      <c r="I16" s="3001"/>
    </row>
    <row r="17" spans="1:9" ht="16.5">
      <c r="A17" s="3000" t="s">
        <v>2862</v>
      </c>
      <c r="B17" s="3001"/>
      <c r="C17" s="3001"/>
      <c r="D17" s="3001"/>
      <c r="E17" s="2997" t="e">
        <f t="shared" si="2"/>
        <v>#DIV/0!</v>
      </c>
      <c r="F17" s="2997" t="e">
        <f t="shared" si="3"/>
        <v>#DIV/0!</v>
      </c>
      <c r="G17" s="2998"/>
      <c r="H17" s="2998"/>
      <c r="I17" s="3001"/>
    </row>
    <row r="18" spans="1:9" ht="16.5">
      <c r="A18" s="3000" t="s">
        <v>2863</v>
      </c>
      <c r="B18" s="3001"/>
      <c r="C18" s="3001"/>
      <c r="D18" s="3001"/>
      <c r="E18" s="2997" t="e">
        <f t="shared" si="2"/>
        <v>#DIV/0!</v>
      </c>
      <c r="F18" s="2997" t="e">
        <f t="shared" si="3"/>
        <v>#DIV/0!</v>
      </c>
      <c r="G18" s="3001"/>
      <c r="H18" s="3001"/>
      <c r="I18" s="3001"/>
    </row>
    <row r="19" spans="1:9" ht="16.5">
      <c r="A19" s="3000" t="s">
        <v>2864</v>
      </c>
      <c r="B19" s="3001"/>
      <c r="C19" s="3001"/>
      <c r="D19" s="3001"/>
      <c r="E19" s="2997" t="e">
        <f t="shared" si="2"/>
        <v>#DIV/0!</v>
      </c>
      <c r="F19" s="2997" t="e">
        <f t="shared" si="3"/>
        <v>#DIV/0!</v>
      </c>
      <c r="G19" s="3001"/>
      <c r="H19" s="3001"/>
      <c r="I19" s="3001"/>
    </row>
    <row r="20" spans="1:9" ht="16.5">
      <c r="A20" s="3000" t="s">
        <v>2865</v>
      </c>
      <c r="B20" s="3001"/>
      <c r="C20" s="3001"/>
      <c r="D20" s="3001"/>
      <c r="E20" s="2997" t="e">
        <f t="shared" si="2"/>
        <v>#DIV/0!</v>
      </c>
      <c r="F20" s="2997" t="e">
        <f t="shared" si="3"/>
        <v>#DIV/0!</v>
      </c>
      <c r="G20" s="3001"/>
      <c r="H20" s="3001"/>
      <c r="I20" s="3001"/>
    </row>
    <row r="21" spans="1:9" ht="16.5">
      <c r="A21" s="3000" t="s">
        <v>2866</v>
      </c>
      <c r="B21" s="3001"/>
      <c r="C21" s="3001"/>
      <c r="D21" s="3001"/>
      <c r="E21" s="2997" t="e">
        <f t="shared" si="2"/>
        <v>#DIV/0!</v>
      </c>
      <c r="F21" s="2997" t="e">
        <f t="shared" si="3"/>
        <v>#DIV/0!</v>
      </c>
      <c r="G21" s="3001"/>
      <c r="H21" s="3001"/>
      <c r="I21" s="3001"/>
    </row>
    <row r="22" spans="1:9" ht="16.5">
      <c r="A22" s="3000" t="s">
        <v>2867</v>
      </c>
      <c r="B22" s="3001"/>
      <c r="C22" s="3001"/>
      <c r="D22" s="3001"/>
      <c r="E22" s="2997" t="e">
        <f t="shared" si="2"/>
        <v>#DIV/0!</v>
      </c>
      <c r="F22" s="2997" t="e">
        <f t="shared" si="3"/>
        <v>#DIV/0!</v>
      </c>
      <c r="G22" s="3001"/>
      <c r="H22" s="3001"/>
      <c r="I22" s="3001"/>
    </row>
    <row r="23" spans="1:9" ht="16.5">
      <c r="A23" s="3000" t="s">
        <v>2868</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C3" zoomScaleNormal="100" zoomScaleSheetLayoutView="100" zoomScalePageLayoutView="80" workbookViewId="0">
      <selection activeCell="N90" sqref="N90"/>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5"/>
  </cols>
  <sheetData>
    <row r="1" spans="1:22" ht="21.75" customHeight="1" thickBot="1">
      <c r="A1" s="1759" t="s">
        <v>2055</v>
      </c>
      <c r="B1" s="1760"/>
      <c r="C1" s="1788" t="s">
        <v>2056</v>
      </c>
      <c r="D1" s="1789"/>
      <c r="E1" s="1788" t="s">
        <v>2057</v>
      </c>
      <c r="F1" s="1790"/>
      <c r="G1" s="310"/>
      <c r="H1" s="310"/>
      <c r="I1" s="310"/>
      <c r="J1" s="2012"/>
      <c r="K1" s="2012"/>
      <c r="L1" s="2012"/>
      <c r="M1" s="2012"/>
      <c r="N1" s="2012"/>
      <c r="O1" s="2012"/>
      <c r="P1" s="2012"/>
      <c r="Q1" s="2012"/>
      <c r="R1" s="2012"/>
      <c r="S1" s="2012"/>
      <c r="T1" s="2012"/>
      <c r="U1" s="2012"/>
      <c r="V1" s="2012"/>
    </row>
    <row r="2" spans="1:22" ht="21.75" customHeight="1" thickBot="1">
      <c r="A2" s="3969" t="str">
        <f>项目基本情况!K2</f>
        <v>出让国有建设用地使用权</v>
      </c>
      <c r="B2" s="3970"/>
      <c r="C2" s="3971"/>
      <c r="D2" s="3971"/>
      <c r="E2" s="3971"/>
      <c r="F2" s="3971"/>
      <c r="G2" s="3970"/>
      <c r="H2" s="3970"/>
      <c r="I2" s="3972"/>
      <c r="J2" s="2013"/>
      <c r="K2" s="2012"/>
      <c r="L2" s="2012"/>
      <c r="M2" s="2012"/>
      <c r="N2" s="2012"/>
      <c r="O2" s="2012"/>
      <c r="P2" s="2012"/>
      <c r="Q2" s="2012"/>
      <c r="R2" s="2012"/>
      <c r="S2" s="2012"/>
      <c r="T2" s="2012"/>
      <c r="U2" s="2012"/>
      <c r="V2" s="2012"/>
    </row>
    <row r="3" spans="1:22" ht="14.25">
      <c r="A3" s="3980" t="s">
        <v>298</v>
      </c>
      <c r="B3" s="3981"/>
      <c r="C3" s="3981"/>
      <c r="D3" s="3981"/>
      <c r="E3" s="3981"/>
      <c r="F3" s="3981"/>
      <c r="G3" s="3981"/>
      <c r="H3" s="3981"/>
      <c r="I3" s="3981"/>
      <c r="J3" s="2013"/>
      <c r="K3" s="2012"/>
      <c r="L3" s="2012"/>
      <c r="M3" s="2012"/>
      <c r="N3" s="2012"/>
      <c r="O3" s="2012"/>
      <c r="P3" s="2012"/>
      <c r="Q3" s="2012"/>
      <c r="R3" s="2012"/>
      <c r="S3" s="2012"/>
      <c r="T3" s="2012"/>
      <c r="U3" s="2012"/>
      <c r="V3" s="2012"/>
    </row>
    <row r="4" spans="1:22" ht="14.25">
      <c r="A4" s="257" t="s">
        <v>299</v>
      </c>
      <c r="B4" s="258" t="s">
        <v>300</v>
      </c>
      <c r="C4" s="259" t="s">
        <v>3050</v>
      </c>
      <c r="D4" s="259" t="s">
        <v>3049</v>
      </c>
      <c r="E4" s="3944" t="s">
        <v>301</v>
      </c>
      <c r="F4" s="3986"/>
      <c r="G4" s="3986"/>
      <c r="H4" s="3986"/>
      <c r="I4" s="3945"/>
      <c r="J4" s="2013"/>
      <c r="K4" s="2012"/>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4.25">
      <c r="A5" s="3973" t="s">
        <v>302</v>
      </c>
      <c r="B5" s="3974">
        <v>25</v>
      </c>
      <c r="C5" s="3982"/>
      <c r="D5" s="3985"/>
      <c r="E5" s="260" t="s">
        <v>303</v>
      </c>
      <c r="F5" s="261"/>
      <c r="G5" s="261"/>
      <c r="H5" s="261"/>
      <c r="I5" s="262"/>
      <c r="J5" s="2013"/>
      <c r="K5" s="2012"/>
      <c r="L5" s="2012"/>
      <c r="M5" s="2012"/>
      <c r="N5" s="2012"/>
      <c r="O5" s="2012"/>
      <c r="P5" s="2012"/>
      <c r="Q5" s="2012"/>
      <c r="R5" s="2012"/>
      <c r="S5" s="2012"/>
      <c r="T5" s="2012"/>
      <c r="U5" s="2012"/>
      <c r="V5" s="2012"/>
    </row>
    <row r="6" spans="1:22" ht="14.25">
      <c r="A6" s="3973"/>
      <c r="B6" s="3974"/>
      <c r="C6" s="3983"/>
      <c r="D6" s="3985"/>
      <c r="E6" s="260" t="s">
        <v>304</v>
      </c>
      <c r="F6" s="261"/>
      <c r="G6" s="261"/>
      <c r="H6" s="261"/>
      <c r="I6" s="262"/>
      <c r="J6" s="2013"/>
      <c r="K6" s="2012"/>
      <c r="L6" s="2012"/>
      <c r="M6" s="2012"/>
      <c r="N6" s="2012"/>
      <c r="O6" s="2012"/>
      <c r="P6" s="2012"/>
      <c r="Q6" s="2012"/>
      <c r="R6" s="2012"/>
      <c r="S6" s="2012"/>
      <c r="T6" s="2012"/>
      <c r="U6" s="2012"/>
      <c r="V6" s="2012"/>
    </row>
    <row r="7" spans="1:22" ht="14.25">
      <c r="A7" s="3973"/>
      <c r="B7" s="3974"/>
      <c r="C7" s="3984"/>
      <c r="D7" s="3985"/>
      <c r="E7" s="260" t="s">
        <v>305</v>
      </c>
      <c r="F7" s="261"/>
      <c r="G7" s="261"/>
      <c r="H7" s="261"/>
      <c r="I7" s="262"/>
      <c r="J7" s="2013"/>
      <c r="K7" s="2012"/>
      <c r="L7" s="2012"/>
      <c r="M7" s="2012"/>
      <c r="N7" s="2012"/>
      <c r="O7" s="2012"/>
      <c r="P7" s="2012"/>
      <c r="Q7" s="2012"/>
      <c r="R7" s="2012"/>
      <c r="S7" s="2012"/>
      <c r="T7" s="2012"/>
      <c r="U7" s="2012"/>
      <c r="V7" s="2012"/>
    </row>
    <row r="8" spans="1:22" ht="14.25">
      <c r="A8" s="3973" t="s">
        <v>306</v>
      </c>
      <c r="B8" s="3974">
        <v>15</v>
      </c>
      <c r="C8" s="3982"/>
      <c r="D8" s="3985"/>
      <c r="E8" s="260" t="s">
        <v>307</v>
      </c>
      <c r="F8" s="261"/>
      <c r="G8" s="261"/>
      <c r="H8" s="261"/>
      <c r="I8" s="262"/>
      <c r="J8" s="2013"/>
      <c r="K8" s="2012"/>
      <c r="L8" s="2012"/>
      <c r="M8" s="2012"/>
      <c r="N8" s="2012"/>
      <c r="O8" s="2012"/>
      <c r="P8" s="2012"/>
      <c r="Q8" s="2012"/>
      <c r="R8" s="2012"/>
      <c r="S8" s="2012"/>
      <c r="T8" s="2012"/>
      <c r="U8" s="2012"/>
      <c r="V8" s="2012"/>
    </row>
    <row r="9" spans="1:22" ht="14.25">
      <c r="A9" s="3973"/>
      <c r="B9" s="3974"/>
      <c r="C9" s="3984"/>
      <c r="D9" s="3985"/>
      <c r="E9" s="260" t="s">
        <v>308</v>
      </c>
      <c r="F9" s="261"/>
      <c r="G9" s="261"/>
      <c r="H9" s="261"/>
      <c r="I9" s="262"/>
      <c r="J9" s="2013"/>
      <c r="K9" s="2012"/>
      <c r="L9" s="2012"/>
      <c r="M9" s="2012"/>
      <c r="N9" s="2012"/>
      <c r="O9" s="2012"/>
      <c r="P9" s="2012"/>
      <c r="Q9" s="2012"/>
      <c r="R9" s="2012"/>
      <c r="S9" s="2012"/>
      <c r="T9" s="2012"/>
      <c r="U9" s="2012"/>
      <c r="V9" s="2012"/>
    </row>
    <row r="10" spans="1:22" ht="14.25">
      <c r="A10" s="3973" t="s">
        <v>309</v>
      </c>
      <c r="B10" s="3974">
        <v>15</v>
      </c>
      <c r="C10" s="3982"/>
      <c r="D10" s="3985"/>
      <c r="E10" s="260" t="s">
        <v>310</v>
      </c>
      <c r="F10" s="261"/>
      <c r="G10" s="261"/>
      <c r="H10" s="261"/>
      <c r="I10" s="262"/>
      <c r="J10" s="2013"/>
      <c r="K10" s="2012"/>
      <c r="L10" s="2012"/>
      <c r="M10" s="2012"/>
      <c r="N10" s="2012"/>
      <c r="O10" s="2012"/>
      <c r="P10" s="2012"/>
      <c r="Q10" s="2012"/>
      <c r="R10" s="2012"/>
      <c r="S10" s="2012"/>
      <c r="T10" s="2012"/>
      <c r="U10" s="2012"/>
      <c r="V10" s="2012"/>
    </row>
    <row r="11" spans="1:22" ht="14.25">
      <c r="A11" s="3973"/>
      <c r="B11" s="3974"/>
      <c r="C11" s="3984"/>
      <c r="D11" s="3985"/>
      <c r="E11" s="260" t="s">
        <v>311</v>
      </c>
      <c r="F11" s="261"/>
      <c r="G11" s="261"/>
      <c r="H11" s="261"/>
      <c r="I11" s="262"/>
      <c r="J11" s="2013"/>
      <c r="K11" s="2012"/>
      <c r="L11" s="2012"/>
      <c r="M11" s="2012"/>
      <c r="N11" s="2012"/>
      <c r="O11" s="2012"/>
      <c r="P11" s="2012"/>
      <c r="Q11" s="2012"/>
      <c r="R11" s="2012"/>
      <c r="S11" s="2012"/>
      <c r="T11" s="2012"/>
      <c r="U11" s="2012"/>
      <c r="V11" s="2012"/>
    </row>
    <row r="12" spans="1:22" ht="14.25">
      <c r="A12" s="3973" t="s">
        <v>312</v>
      </c>
      <c r="B12" s="3974">
        <v>15</v>
      </c>
      <c r="C12" s="3982"/>
      <c r="D12" s="3985"/>
      <c r="E12" s="260" t="s">
        <v>313</v>
      </c>
      <c r="F12" s="261"/>
      <c r="G12" s="261"/>
      <c r="H12" s="261"/>
      <c r="I12" s="262"/>
      <c r="J12" s="2013"/>
      <c r="K12" s="2012"/>
      <c r="L12" s="2012"/>
      <c r="M12" s="2012"/>
      <c r="N12" s="2012"/>
      <c r="O12" s="2012"/>
      <c r="P12" s="2012"/>
      <c r="Q12" s="2012"/>
      <c r="R12" s="2012"/>
      <c r="S12" s="2012"/>
      <c r="T12" s="2012"/>
      <c r="U12" s="2012"/>
      <c r="V12" s="2012"/>
    </row>
    <row r="13" spans="1:22" ht="14.25">
      <c r="A13" s="3973"/>
      <c r="B13" s="3974"/>
      <c r="C13" s="3984"/>
      <c r="D13" s="3985"/>
      <c r="E13" s="260" t="s">
        <v>314</v>
      </c>
      <c r="F13" s="261"/>
      <c r="G13" s="261"/>
      <c r="H13" s="261"/>
      <c r="I13" s="262"/>
      <c r="J13" s="2013"/>
      <c r="K13" s="2012"/>
      <c r="L13" s="2012"/>
      <c r="M13" s="2012"/>
      <c r="N13" s="2012"/>
      <c r="O13" s="2012"/>
      <c r="P13" s="2012"/>
      <c r="Q13" s="2012"/>
      <c r="R13" s="2012"/>
      <c r="S13" s="2012"/>
      <c r="T13" s="2012"/>
      <c r="U13" s="2012"/>
      <c r="V13" s="2012"/>
    </row>
    <row r="14" spans="1:22" ht="14.25">
      <c r="A14" s="3973" t="s">
        <v>315</v>
      </c>
      <c r="B14" s="3974">
        <v>30</v>
      </c>
      <c r="C14" s="3982">
        <v>40</v>
      </c>
      <c r="D14" s="3985">
        <v>60</v>
      </c>
      <c r="E14" s="260" t="s">
        <v>316</v>
      </c>
      <c r="F14" s="261"/>
      <c r="G14" s="261"/>
      <c r="H14" s="261"/>
      <c r="I14" s="262"/>
      <c r="J14" s="2013"/>
      <c r="K14" s="2012"/>
      <c r="L14" s="2012"/>
      <c r="M14" s="2012"/>
      <c r="N14" s="2012"/>
      <c r="O14" s="2012"/>
      <c r="P14" s="2012"/>
      <c r="Q14" s="2012"/>
      <c r="R14" s="2012"/>
      <c r="S14" s="2012"/>
      <c r="T14" s="2012"/>
      <c r="U14" s="2012"/>
      <c r="V14" s="2012"/>
    </row>
    <row r="15" spans="1:22" ht="14.25">
      <c r="A15" s="3973"/>
      <c r="B15" s="3974"/>
      <c r="C15" s="3983"/>
      <c r="D15" s="3985"/>
      <c r="E15" s="260" t="s">
        <v>317</v>
      </c>
      <c r="F15" s="261"/>
      <c r="G15" s="261"/>
      <c r="H15" s="261"/>
      <c r="I15" s="262"/>
      <c r="J15" s="2013"/>
      <c r="K15" s="2012"/>
      <c r="L15" s="2012"/>
      <c r="M15" s="2012"/>
      <c r="N15" s="2012"/>
      <c r="O15" s="2012"/>
      <c r="P15" s="2012"/>
      <c r="Q15" s="2012"/>
      <c r="R15" s="2012"/>
      <c r="S15" s="2012"/>
      <c r="T15" s="2012"/>
      <c r="U15" s="2012"/>
      <c r="V15" s="2012"/>
    </row>
    <row r="16" spans="1:22" ht="14.25">
      <c r="A16" s="3973"/>
      <c r="B16" s="3974"/>
      <c r="C16" s="3984"/>
      <c r="D16" s="3985"/>
      <c r="E16" s="260" t="s">
        <v>318</v>
      </c>
      <c r="F16" s="261"/>
      <c r="G16" s="261"/>
      <c r="H16" s="261"/>
      <c r="I16" s="262"/>
      <c r="J16" s="2013"/>
      <c r="K16" s="2012"/>
      <c r="L16" s="2012"/>
      <c r="M16" s="2012"/>
      <c r="N16" s="2012"/>
      <c r="O16" s="2012"/>
      <c r="P16" s="2012"/>
      <c r="Q16" s="2012"/>
      <c r="R16" s="2012"/>
      <c r="S16" s="2012"/>
      <c r="T16" s="2012"/>
      <c r="U16" s="2012"/>
      <c r="V16" s="2012"/>
    </row>
    <row r="17" spans="1:26" ht="15">
      <c r="A17" s="263" t="s">
        <v>319</v>
      </c>
      <c r="B17" s="144"/>
      <c r="C17" s="264">
        <f>SUM(C5:C16)</f>
        <v>40</v>
      </c>
      <c r="D17" s="264">
        <f>SUM(D5:D16)</f>
        <v>60</v>
      </c>
      <c r="E17" s="310"/>
      <c r="F17" s="310"/>
      <c r="G17" s="310"/>
      <c r="H17" s="310"/>
      <c r="I17" s="310"/>
      <c r="J17" s="2013"/>
      <c r="K17" s="2012"/>
      <c r="L17" s="2012"/>
      <c r="M17" s="2012"/>
      <c r="N17" s="2012"/>
      <c r="O17" s="2012"/>
      <c r="P17" s="2012"/>
      <c r="Q17" s="2012"/>
      <c r="R17" s="2012"/>
      <c r="S17" s="2012"/>
      <c r="T17" s="2012"/>
      <c r="U17" s="2012"/>
      <c r="V17" s="2012"/>
    </row>
    <row r="18" spans="1:26" ht="15.75" thickBot="1">
      <c r="A18" s="265" t="s">
        <v>320</v>
      </c>
      <c r="B18" s="105"/>
      <c r="C18" s="266">
        <f>ROUND(C17/SUM(C17:D17),2)</f>
        <v>0.4</v>
      </c>
      <c r="D18" s="266">
        <f>1-C18</f>
        <v>0.6</v>
      </c>
      <c r="E18" s="310"/>
      <c r="F18" s="310"/>
      <c r="G18" s="310"/>
      <c r="H18" s="310"/>
      <c r="I18" s="310"/>
      <c r="J18" s="2012"/>
      <c r="K18" s="2012"/>
      <c r="L18" s="2012"/>
      <c r="M18" s="2012"/>
      <c r="N18" s="2012"/>
      <c r="O18" s="2012"/>
      <c r="P18" s="2012"/>
      <c r="Q18" s="2012"/>
      <c r="R18" s="2012"/>
      <c r="S18" s="2012"/>
      <c r="T18" s="2012"/>
      <c r="U18" s="2012"/>
      <c r="V18" s="2012"/>
    </row>
    <row r="19" spans="1:26" ht="15">
      <c r="A19" s="267" t="s">
        <v>321</v>
      </c>
      <c r="B19" s="268" t="s">
        <v>322</v>
      </c>
      <c r="C19" s="269">
        <f ca="1">SUMIF(INDIRECT("'"&amp;C4&amp;"'"&amp;"!A:A"),结果表!B19,INDIRECT("'"&amp;C4&amp;"'"&amp;"!B:B"))</f>
        <v>17200</v>
      </c>
      <c r="D19" s="270">
        <f ca="1">SUMIF(INDIRECT("'"&amp;D4&amp;"'"&amp;"!A:A"),结果表!B19,INDIRECT("'"&amp;D4&amp;"'"&amp;"!B:B"))</f>
        <v>23847</v>
      </c>
      <c r="E19" s="267" t="s">
        <v>323</v>
      </c>
      <c r="F19" s="268" t="s">
        <v>322</v>
      </c>
      <c r="G19" s="271">
        <f ca="1">ROUND(C19*$C$18+D19*$D$18,0)</f>
        <v>21188</v>
      </c>
      <c r="H19" s="272" t="s">
        <v>324</v>
      </c>
      <c r="I19" s="310"/>
      <c r="J19" s="2012"/>
      <c r="K19" s="2012"/>
      <c r="L19" s="2012"/>
      <c r="M19" s="2012"/>
      <c r="N19" s="2012"/>
      <c r="O19" s="2012"/>
      <c r="P19" s="2012"/>
      <c r="Q19" s="2012"/>
      <c r="R19" s="2012"/>
      <c r="S19" s="2012"/>
      <c r="T19" s="2012"/>
      <c r="U19" s="2012"/>
      <c r="V19" s="2012"/>
    </row>
    <row r="20" spans="1:26" ht="15">
      <c r="A20" s="273"/>
      <c r="B20" s="274" t="s">
        <v>325</v>
      </c>
      <c r="C20" s="275">
        <f ca="1">SUMIF(INDIRECT("'"&amp;C4&amp;"'"&amp;"!A:A"),结果表!B20,INDIRECT("'"&amp;C4&amp;"'"&amp;"!B:B"))</f>
        <v>1052</v>
      </c>
      <c r="D20" s="276">
        <f ca="1">SUMIF(INDIRECT("'"&amp;D4&amp;"'"&amp;"!A:A"),结果表!B20,INDIRECT("'"&amp;D4&amp;"'"&amp;"!B:B"))</f>
        <v>1458</v>
      </c>
      <c r="E20" s="273"/>
      <c r="F20" s="274" t="s">
        <v>325</v>
      </c>
      <c r="G20" s="277">
        <f ca="1">ROUND(C20*$C$18+D20*$D$18,0)</f>
        <v>1296</v>
      </c>
      <c r="H20" s="278" t="s">
        <v>326</v>
      </c>
      <c r="I20" s="310"/>
      <c r="J20" s="2012"/>
      <c r="K20" s="2012"/>
      <c r="L20" s="2012"/>
      <c r="M20" s="2012"/>
      <c r="N20" s="2012"/>
      <c r="O20" s="2012"/>
      <c r="P20" s="2012"/>
      <c r="Q20" s="2012"/>
      <c r="R20" s="2012"/>
      <c r="S20" s="2012"/>
      <c r="T20" s="2012"/>
      <c r="U20" s="2012"/>
      <c r="V20" s="2012"/>
    </row>
    <row r="21" spans="1:26" ht="15" customHeight="1">
      <c r="A21" s="273"/>
      <c r="B21" s="279" t="s">
        <v>327</v>
      </c>
      <c r="C21" s="280">
        <f ca="1">SUMIF(INDIRECT("'"&amp;C4&amp;"'"&amp;"!A:A"),结果表!B21,INDIRECT("'"&amp;C4&amp;"'"&amp;"!B:B"))</f>
        <v>6319</v>
      </c>
      <c r="D21" s="151">
        <f ca="1">SUMIF(INDIRECT("'"&amp;D4&amp;"'"&amp;"!A:A"),结果表!B21,INDIRECT("'"&amp;D4&amp;"'"&amp;"!B:B"))</f>
        <v>8761</v>
      </c>
      <c r="E21" s="273"/>
      <c r="F21" s="279" t="s">
        <v>327</v>
      </c>
      <c r="G21" s="281">
        <f ca="1">ROUND(C21*$C$18+D21*$D$18,0)</f>
        <v>7784</v>
      </c>
      <c r="H21" s="1246" t="s">
        <v>326</v>
      </c>
      <c r="I21" s="310"/>
      <c r="J21" s="2012"/>
      <c r="K21" s="2012"/>
      <c r="L21" s="2012"/>
      <c r="M21" s="2012"/>
      <c r="N21" s="2012"/>
      <c r="O21" s="2012"/>
      <c r="P21" s="2012"/>
      <c r="Q21" s="2012"/>
      <c r="R21" s="2012"/>
      <c r="S21" s="2012"/>
      <c r="T21" s="2012"/>
      <c r="U21" s="2012"/>
      <c r="V21" s="2012"/>
    </row>
    <row r="22" spans="1:26" ht="15.75" thickBot="1">
      <c r="A22" s="126" t="s">
        <v>328</v>
      </c>
      <c r="B22" s="1247"/>
      <c r="C22" s="1248"/>
      <c r="D22" s="282">
        <f ca="1">IF(C19&lt;D19,D19/C19-1,C19/D19-1)</f>
        <v>0.38645348837209292</v>
      </c>
      <c r="E22" s="283"/>
      <c r="F22" s="284"/>
      <c r="G22" s="285">
        <f ca="1">ROUND(G19/('数据-汇总表'!D3/666.67),0)</f>
        <v>519</v>
      </c>
      <c r="H22" s="286" t="s">
        <v>329</v>
      </c>
      <c r="I22" s="310"/>
      <c r="J22" s="2012"/>
      <c r="K22" s="2012"/>
      <c r="L22" s="2012"/>
      <c r="M22" s="2012"/>
      <c r="N22" s="2012"/>
      <c r="O22" s="2012"/>
      <c r="P22" s="2012"/>
      <c r="Q22" s="2012"/>
      <c r="R22" s="2012"/>
      <c r="S22" s="2012"/>
      <c r="T22" s="2012"/>
      <c r="U22" s="2012"/>
      <c r="V22" s="2012"/>
    </row>
    <row r="23" spans="1:26" ht="13.5" thickBot="1">
      <c r="A23" s="310"/>
      <c r="B23" s="310"/>
      <c r="C23" s="310"/>
      <c r="D23" s="310"/>
      <c r="E23" s="310"/>
      <c r="F23" s="310"/>
      <c r="G23" s="310"/>
      <c r="H23" s="310"/>
      <c r="I23" s="310"/>
      <c r="J23" s="2012"/>
      <c r="K23" s="2012"/>
      <c r="L23" s="2012"/>
      <c r="M23" s="2012"/>
      <c r="N23" s="2012"/>
      <c r="O23" s="2012"/>
      <c r="P23" s="2012"/>
      <c r="Q23" s="2012"/>
      <c r="R23" s="2012"/>
      <c r="S23" s="2012"/>
      <c r="T23" s="2012"/>
      <c r="U23" s="2012"/>
      <c r="V23" s="2012"/>
    </row>
    <row r="24" spans="1:26" ht="15" thickBot="1">
      <c r="A24" s="3946" t="s">
        <v>330</v>
      </c>
      <c r="B24" s="268" t="s">
        <v>322</v>
      </c>
      <c r="C24" s="287">
        <f>IF(B30=0,0,D30)</f>
        <v>0</v>
      </c>
      <c r="D24" s="288"/>
      <c r="E24" s="310"/>
      <c r="F24" s="310"/>
      <c r="G24" s="310"/>
      <c r="H24" s="310"/>
      <c r="I24" s="310"/>
      <c r="J24" s="2012"/>
      <c r="K24" s="2012"/>
      <c r="L24" s="2012"/>
      <c r="M24" s="2012"/>
      <c r="N24" s="2012"/>
      <c r="O24" s="2012"/>
      <c r="P24" s="2012"/>
      <c r="Q24" s="2012"/>
      <c r="R24" s="2012"/>
      <c r="S24" s="2012"/>
      <c r="T24" s="2012"/>
      <c r="U24" s="2012"/>
      <c r="V24" s="2012"/>
    </row>
    <row r="25" spans="1:26" ht="18">
      <c r="A25" s="3988"/>
      <c r="B25" s="1316" t="s">
        <v>331</v>
      </c>
      <c r="C25" s="289">
        <f>IF(B30=0,0,C30)</f>
        <v>0</v>
      </c>
      <c r="D25" s="290"/>
      <c r="E25" s="310"/>
      <c r="F25" s="310"/>
      <c r="G25" s="310"/>
      <c r="H25" s="310"/>
      <c r="I25" s="310"/>
      <c r="J25" s="2012"/>
      <c r="K25" s="1250" t="str">
        <f ca="1">项目基本情况!B16&amp;"国有建设用地使用权价格："&amp;O38&amp;"万元"</f>
        <v>出让国有建设用地使用权价格：21188万元</v>
      </c>
      <c r="L25" s="1251"/>
      <c r="M25" s="1251"/>
      <c r="N25" s="1251"/>
      <c r="O25" s="1252"/>
      <c r="P25" s="2012"/>
      <c r="Q25" s="2012"/>
      <c r="R25" s="2012"/>
      <c r="S25" s="2012"/>
      <c r="T25" s="2012"/>
      <c r="U25" s="2012"/>
      <c r="V25" s="2012"/>
    </row>
    <row r="26" spans="1:26" s="1249" customFormat="1" ht="18">
      <c r="A26" s="292" t="s">
        <v>332</v>
      </c>
      <c r="B26" s="293" t="s">
        <v>333</v>
      </c>
      <c r="C26" s="293" t="s">
        <v>334</v>
      </c>
      <c r="D26" s="294" t="s">
        <v>335</v>
      </c>
      <c r="E26" s="310"/>
      <c r="F26" s="310"/>
      <c r="G26" s="310"/>
      <c r="H26" s="310"/>
      <c r="I26" s="310"/>
      <c r="J26" s="2012"/>
      <c r="K26" s="1253" t="str">
        <f ca="1">"大写金额：人民币"&amp;NUMBERSTRING(INT(O38*10000),2)&amp;"元整"</f>
        <v>大写金额：人民币贰亿壹仟壹佰捌拾捌万元整</v>
      </c>
      <c r="L26" s="1247"/>
      <c r="M26" s="1247"/>
      <c r="N26" s="1247"/>
      <c r="O26" s="1246"/>
      <c r="P26" s="2012"/>
      <c r="Q26" s="2012"/>
      <c r="R26" s="2012"/>
      <c r="S26" s="2012"/>
      <c r="T26" s="2012"/>
      <c r="U26" s="2012"/>
      <c r="V26" s="2012"/>
      <c r="W26" s="291"/>
      <c r="X26" s="291"/>
      <c r="Y26" s="291"/>
      <c r="Z26" s="291"/>
    </row>
    <row r="27" spans="1:26" ht="18">
      <c r="A27" s="292"/>
      <c r="B27" s="293"/>
      <c r="C27" s="293"/>
      <c r="D27" s="294"/>
      <c r="E27" s="310"/>
      <c r="F27" s="310"/>
      <c r="G27" s="310"/>
      <c r="H27" s="310"/>
      <c r="I27" s="310"/>
      <c r="J27" s="2012"/>
      <c r="K27" s="1253" t="str">
        <f ca="1">"单位面积地价："&amp;M38&amp;"元/平方米"</f>
        <v>单位面积地价：7784元/平方米</v>
      </c>
      <c r="L27" s="1247"/>
      <c r="M27" s="1247"/>
      <c r="N27" s="1247"/>
      <c r="O27" s="1246"/>
      <c r="P27" s="2012"/>
      <c r="Q27" s="2012"/>
      <c r="R27" s="2012"/>
      <c r="S27" s="2012"/>
      <c r="T27" s="2012"/>
      <c r="U27" s="2012"/>
      <c r="V27" s="2012"/>
    </row>
    <row r="28" spans="1:26" ht="18.75" customHeight="1">
      <c r="A28" s="292"/>
      <c r="B28" s="293"/>
      <c r="C28" s="293"/>
      <c r="D28" s="294"/>
      <c r="E28" s="310"/>
      <c r="F28" s="310"/>
      <c r="G28" s="310"/>
      <c r="H28" s="310"/>
      <c r="I28" s="310"/>
      <c r="J28" s="2012"/>
      <c r="K28" s="1253" t="str">
        <f ca="1">"楼面地价："&amp;N38&amp;"元/平方米"</f>
        <v>楼面地价：1295元/平方米</v>
      </c>
      <c r="L28" s="1247"/>
      <c r="M28" s="1247"/>
      <c r="N28" s="1247"/>
      <c r="O28" s="1246"/>
      <c r="P28" s="2012"/>
      <c r="V28" s="2012"/>
    </row>
    <row r="29" spans="1:26" ht="18">
      <c r="A29" s="292"/>
      <c r="B29" s="293"/>
      <c r="C29" s="293"/>
      <c r="D29" s="294"/>
      <c r="E29" s="310"/>
      <c r="F29" s="310"/>
      <c r="G29" s="310"/>
      <c r="H29" s="310"/>
      <c r="I29" s="310"/>
      <c r="J29" s="2012"/>
      <c r="K29" s="1253" t="str">
        <f ca="1">IF(OR(项目基本情况!E8="抵押价格",项目基本情况!E8="已注销及未注销"),"抵押价格："&amp;O39&amp;"万元","——")</f>
        <v>抵押价格：21188万元</v>
      </c>
      <c r="L29" s="1247"/>
      <c r="M29" s="1247"/>
      <c r="N29" s="1247"/>
      <c r="O29" s="1246"/>
      <c r="P29" s="2012"/>
      <c r="V29" s="2012"/>
    </row>
    <row r="30" spans="1:26" ht="18.75" thickBot="1">
      <c r="A30" s="3077" t="s">
        <v>336</v>
      </c>
      <c r="B30" s="308"/>
      <c r="C30" s="308"/>
      <c r="D30" s="309"/>
      <c r="E30" s="3078" t="s">
        <v>2964</v>
      </c>
      <c r="F30" s="310"/>
      <c r="G30" s="310"/>
      <c r="H30" s="310"/>
      <c r="I30" s="310"/>
      <c r="J30" s="2012"/>
      <c r="K30" s="1253" t="str">
        <f ca="1">IF(K29="——","——","大写金额：人民币"&amp;NUMBERSTRING(INT(O39*10000),2)&amp;"元整")</f>
        <v>大写金额：人民币贰亿壹仟壹佰捌拾捌万元整</v>
      </c>
      <c r="L30" s="1247"/>
      <c r="M30" s="1247"/>
      <c r="N30" s="1247"/>
      <c r="O30" s="1246"/>
      <c r="P30" s="2012"/>
      <c r="V30" s="2012"/>
    </row>
    <row r="31" spans="1:26" ht="24" customHeight="1" thickBot="1">
      <c r="A31" s="310"/>
      <c r="B31" s="310"/>
      <c r="C31" s="310"/>
      <c r="D31" s="310"/>
      <c r="E31" s="310"/>
      <c r="F31" s="310"/>
      <c r="G31" s="310"/>
      <c r="H31" s="310"/>
      <c r="I31" s="310"/>
      <c r="J31" s="2012"/>
      <c r="K31" s="2431" t="str">
        <f>IF(项目基本情况!E8="抵押价格","——","抵押担保权已注销时的抵押价格："&amp;O40&amp;"万元")</f>
        <v>——</v>
      </c>
      <c r="L31" s="2427"/>
      <c r="M31" s="2427"/>
      <c r="N31" s="2427"/>
      <c r="O31" s="2428"/>
      <c r="P31" s="2012"/>
      <c r="V31" s="2012"/>
    </row>
    <row r="32" spans="1:26" ht="18.75" thickBot="1">
      <c r="A32" s="267" t="s">
        <v>337</v>
      </c>
      <c r="B32" s="1376" t="s">
        <v>1688</v>
      </c>
      <c r="C32" s="1377">
        <f ca="1">G19-C24</f>
        <v>21188</v>
      </c>
      <c r="D32" s="1378" t="s">
        <v>1689</v>
      </c>
      <c r="E32" s="310"/>
      <c r="F32" s="310"/>
      <c r="G32" s="310"/>
      <c r="H32" s="310"/>
      <c r="I32" s="310"/>
      <c r="J32" s="2012"/>
      <c r="K32" s="2426" t="str">
        <f>IF(K31="——","——","大写金额：人民币"&amp;NUMBERSTRING(INT(O40*10000),2)&amp;"元整")</f>
        <v>——</v>
      </c>
      <c r="L32" s="2429"/>
      <c r="M32" s="2429"/>
      <c r="N32" s="2429"/>
      <c r="O32" s="2430"/>
      <c r="P32" s="2012"/>
      <c r="V32" s="2012"/>
    </row>
    <row r="33" spans="1:26" ht="18.75" thickBot="1">
      <c r="A33" s="297" t="s">
        <v>340</v>
      </c>
      <c r="B33" s="1379" t="s">
        <v>1690</v>
      </c>
      <c r="C33" s="263">
        <f ca="1">ROUND(C32*10000/'数据-汇总表'!E3,0)</f>
        <v>1295</v>
      </c>
      <c r="D33" s="1380" t="s">
        <v>1691</v>
      </c>
      <c r="E33" s="3946" t="s">
        <v>338</v>
      </c>
      <c r="F33" s="295" t="s">
        <v>339</v>
      </c>
      <c r="G33" s="296"/>
      <c r="H33" s="979"/>
      <c r="I33" s="1254"/>
      <c r="J33" s="2012"/>
      <c r="K33" s="1253" t="str">
        <f>IF(项目基本情况!E9="——","——","抵押净值："&amp;C46&amp;"万元")</f>
        <v>抵押净值：——万元</v>
      </c>
      <c r="L33" s="1247"/>
      <c r="M33" s="1247"/>
      <c r="N33" s="1247"/>
      <c r="O33" s="1246"/>
      <c r="P33" s="2012"/>
      <c r="V33" s="2012"/>
    </row>
    <row r="34" spans="1:26" s="1249" customFormat="1" ht="18.75" thickBot="1">
      <c r="A34" s="299"/>
      <c r="B34" s="1381" t="s">
        <v>1692</v>
      </c>
      <c r="C34" s="263">
        <f ca="1">ROUND(C32*10000/'数据-汇总表'!D3,0)</f>
        <v>7784</v>
      </c>
      <c r="D34" s="1382" t="s">
        <v>1691</v>
      </c>
      <c r="E34" s="3947"/>
      <c r="F34" s="127" t="s">
        <v>341</v>
      </c>
      <c r="G34" s="298"/>
      <c r="H34" s="105"/>
      <c r="I34" s="310"/>
      <c r="J34" s="2012"/>
      <c r="K34" s="1256" t="e">
        <f>IF(K33="——","——","大写金额：人民币"&amp;NUMBERSTRING(INT(O41*10000),2)&amp;"元整")</f>
        <v>#VALUE!</v>
      </c>
      <c r="L34" s="1257"/>
      <c r="M34" s="1257"/>
      <c r="N34" s="1257"/>
      <c r="O34" s="1258"/>
      <c r="P34" s="2012"/>
      <c r="Q34" s="291"/>
      <c r="R34" s="291"/>
      <c r="S34" s="291"/>
      <c r="T34" s="291"/>
      <c r="U34" s="291"/>
      <c r="V34" s="2012"/>
      <c r="W34" s="291"/>
      <c r="X34" s="291"/>
      <c r="Y34" s="291"/>
      <c r="Z34" s="291"/>
    </row>
    <row r="35" spans="1:26" ht="15.75" thickBot="1">
      <c r="A35" s="283"/>
      <c r="B35" s="1383"/>
      <c r="C35" s="1384">
        <f ca="1">ROUND(C32/('数据-汇总表'!D3/666.67),0)</f>
        <v>519</v>
      </c>
      <c r="D35" s="1385" t="s">
        <v>1693</v>
      </c>
      <c r="E35" s="3948"/>
      <c r="F35" s="300" t="s">
        <v>342</v>
      </c>
      <c r="G35" s="981"/>
      <c r="H35" s="980" t="s">
        <v>343</v>
      </c>
      <c r="I35" s="310"/>
      <c r="J35" s="2012"/>
      <c r="K35" s="3952" t="s">
        <v>350</v>
      </c>
      <c r="L35" s="3952" t="s">
        <v>351</v>
      </c>
      <c r="M35" s="1259" t="s">
        <v>352</v>
      </c>
      <c r="N35" s="3952" t="s">
        <v>353</v>
      </c>
      <c r="O35" s="3952" t="s">
        <v>354</v>
      </c>
      <c r="P35" s="2012"/>
      <c r="V35" s="2012"/>
    </row>
    <row r="36" spans="1:26" ht="16.5" customHeight="1">
      <c r="A36" s="302" t="s">
        <v>344</v>
      </c>
      <c r="B36" s="303" t="s">
        <v>333</v>
      </c>
      <c r="C36" s="304" t="s">
        <v>345</v>
      </c>
      <c r="D36" s="304" t="s">
        <v>346</v>
      </c>
      <c r="E36" s="305" t="s">
        <v>347</v>
      </c>
      <c r="F36" s="310"/>
      <c r="G36" s="310"/>
      <c r="H36" s="310"/>
      <c r="I36" s="310"/>
      <c r="J36" s="2014"/>
      <c r="K36" s="3953"/>
      <c r="L36" s="3953"/>
      <c r="M36" s="1261" t="s">
        <v>355</v>
      </c>
      <c r="N36" s="3953"/>
      <c r="O36" s="3953"/>
      <c r="P36" s="2012"/>
      <c r="V36" s="2012"/>
    </row>
    <row r="37" spans="1:26" ht="16.5" customHeight="1" thickBot="1">
      <c r="A37" s="1255" t="s">
        <v>348</v>
      </c>
      <c r="B37" s="306"/>
      <c r="C37" s="293"/>
      <c r="D37" s="293"/>
      <c r="E37" s="294"/>
      <c r="F37" s="310"/>
      <c r="G37" s="310"/>
      <c r="H37" s="310"/>
      <c r="I37" s="310"/>
      <c r="J37" s="2014"/>
      <c r="K37" s="3954"/>
      <c r="L37" s="3954"/>
      <c r="M37" s="1262"/>
      <c r="N37" s="3954"/>
      <c r="O37" s="3954"/>
      <c r="P37" s="2012"/>
      <c r="V37" s="2012"/>
    </row>
    <row r="38" spans="1:26" ht="16.5" customHeight="1" thickBot="1">
      <c r="A38" s="1255" t="s">
        <v>349</v>
      </c>
      <c r="B38" s="306"/>
      <c r="C38" s="293"/>
      <c r="D38" s="293"/>
      <c r="E38" s="294"/>
      <c r="F38" s="310"/>
      <c r="G38" s="310"/>
      <c r="H38" s="310"/>
      <c r="I38" s="310"/>
      <c r="J38" s="2014"/>
      <c r="K38" s="1263">
        <f>'数据-汇总表'!D3</f>
        <v>27220.14</v>
      </c>
      <c r="L38" s="1264">
        <f>'数据-汇总表'!E3</f>
        <v>163564.33000000002</v>
      </c>
      <c r="M38" s="1264">
        <f ca="1">C34</f>
        <v>7784</v>
      </c>
      <c r="N38" s="1264">
        <f ca="1">C33</f>
        <v>1295</v>
      </c>
      <c r="O38" s="1265">
        <f ca="1">C32</f>
        <v>21188</v>
      </c>
      <c r="P38" s="2012"/>
      <c r="V38" s="2012"/>
    </row>
    <row r="39" spans="1:26" ht="16.5" customHeight="1" thickBot="1">
      <c r="A39" s="1260"/>
      <c r="B39" s="307"/>
      <c r="C39" s="308"/>
      <c r="D39" s="308"/>
      <c r="E39" s="309"/>
      <c r="F39" s="310"/>
      <c r="G39" s="310"/>
      <c r="H39" s="310"/>
      <c r="I39" s="310"/>
      <c r="J39" s="2014"/>
      <c r="K39" s="3929" t="str">
        <f>MID(A44,3,LEN(A44)-2)</f>
        <v>抵押价格</v>
      </c>
      <c r="L39" s="3930"/>
      <c r="M39" s="3930"/>
      <c r="N39" s="3931"/>
      <c r="O39" s="1387">
        <f ca="1">C44</f>
        <v>21188</v>
      </c>
      <c r="P39" s="2012"/>
      <c r="V39" s="2012"/>
    </row>
    <row r="40" spans="1:26" ht="19.5" thickBot="1">
      <c r="A40" s="104" t="s">
        <v>873</v>
      </c>
      <c r="B40" s="310"/>
      <c r="C40" s="310"/>
      <c r="D40" s="310"/>
      <c r="E40" s="310"/>
      <c r="F40" s="310"/>
      <c r="G40" s="310"/>
      <c r="H40" s="310"/>
      <c r="I40" s="310"/>
      <c r="J40" s="2014"/>
      <c r="K40" s="3929" t="str">
        <f t="shared" ref="K40:K41" si="0">MID(A45,3,LEN(A45)-2)</f>
        <v/>
      </c>
      <c r="L40" s="3930"/>
      <c r="M40" s="3930"/>
      <c r="N40" s="3931"/>
      <c r="O40" s="1387" t="str">
        <f>C45</f>
        <v>——</v>
      </c>
      <c r="P40" s="2012"/>
      <c r="V40" s="2012"/>
    </row>
    <row r="41" spans="1:26" ht="16.5" thickBot="1">
      <c r="A41" s="311" t="s">
        <v>356</v>
      </c>
      <c r="B41" s="312"/>
      <c r="C41" s="313" t="s">
        <v>357</v>
      </c>
      <c r="D41" s="314" t="s">
        <v>358</v>
      </c>
      <c r="E41" s="314" t="s">
        <v>359</v>
      </c>
      <c r="F41" s="315" t="s">
        <v>360</v>
      </c>
      <c r="G41" s="310"/>
      <c r="H41" s="310"/>
      <c r="I41" s="310"/>
      <c r="J41" s="2014"/>
      <c r="K41" s="3929" t="str">
        <f t="shared" si="0"/>
        <v/>
      </c>
      <c r="L41" s="3930"/>
      <c r="M41" s="3930"/>
      <c r="N41" s="3931"/>
      <c r="O41" s="1387" t="str">
        <f>C46</f>
        <v>——</v>
      </c>
      <c r="P41" s="2012"/>
      <c r="V41" s="2012"/>
    </row>
    <row r="42" spans="1:26" ht="29.25">
      <c r="A42" s="3989" t="s">
        <v>2067</v>
      </c>
      <c r="B42" s="3990"/>
      <c r="C42" s="263">
        <f ca="1">C32</f>
        <v>21188</v>
      </c>
      <c r="D42" s="316">
        <f ca="1">C33</f>
        <v>1295</v>
      </c>
      <c r="E42" s="316">
        <f ca="1">C34</f>
        <v>7784</v>
      </c>
      <c r="F42" s="317">
        <f ca="1">C35</f>
        <v>519</v>
      </c>
      <c r="G42" s="310"/>
      <c r="H42" s="310"/>
      <c r="I42" s="318"/>
      <c r="J42" s="2014"/>
      <c r="K42" s="1266" t="s">
        <v>361</v>
      </c>
      <c r="L42" s="2031" t="s">
        <v>362</v>
      </c>
      <c r="M42" s="1267" t="s">
        <v>363</v>
      </c>
      <c r="N42" s="2032" t="s">
        <v>364</v>
      </c>
      <c r="O42" s="2033" t="s">
        <v>365</v>
      </c>
      <c r="P42" s="2012"/>
      <c r="V42" s="2012"/>
    </row>
    <row r="43" spans="1:26" ht="30">
      <c r="A43" s="3999" t="s">
        <v>2729</v>
      </c>
      <c r="B43" s="4000"/>
      <c r="C43" s="263">
        <f>IF(H33="正常操作",G33+G34+G35,G34+G35)</f>
        <v>0</v>
      </c>
      <c r="D43" s="316" t="s">
        <v>43</v>
      </c>
      <c r="E43" s="316" t="s">
        <v>44</v>
      </c>
      <c r="F43" s="317" t="s">
        <v>44</v>
      </c>
      <c r="G43" s="2820" t="s">
        <v>952</v>
      </c>
      <c r="H43" s="310"/>
      <c r="I43" s="318"/>
      <c r="J43" s="2014"/>
      <c r="K43" s="1268" t="str">
        <f>C4</f>
        <v>比较法-住宅、综合</v>
      </c>
      <c r="L43" s="1269">
        <f ca="1">IF(L42="估价结果/万元",C19,C20)</f>
        <v>17200</v>
      </c>
      <c r="M43" s="1270">
        <f>C18</f>
        <v>0.4</v>
      </c>
      <c r="N43" s="1271">
        <f ca="1">IF(N42="测算结果/万元",G19,G20)</f>
        <v>21188</v>
      </c>
      <c r="O43" s="1272">
        <f ca="1">IF(O42="最终结果/万元",C32,C33)</f>
        <v>21188</v>
      </c>
      <c r="P43" s="2012"/>
      <c r="V43" s="2012"/>
    </row>
    <row r="44" spans="1:26" ht="30.75" thickBot="1">
      <c r="A44" s="3989" t="str">
        <f>IF(OR(项目基本情况!E8="抵押价格",项目基本情况!E8="已注销及未注销"),"3.抵押价格","——")</f>
        <v>3.抵押价格</v>
      </c>
      <c r="B44" s="3990"/>
      <c r="C44" s="263">
        <f ca="1">IF(A44="——","——",C42-C43)</f>
        <v>21188</v>
      </c>
      <c r="D44" s="316">
        <f ca="1">ROUND(C44*10000/'数据-汇总表'!E3,0)</f>
        <v>1295</v>
      </c>
      <c r="E44" s="316">
        <f ca="1">ROUND(C44*10000/'数据-汇总表'!D3,0)</f>
        <v>7784</v>
      </c>
      <c r="F44" s="317">
        <f ca="1">ROUND(C44/('数据-汇总表'!D3/666.67),0)</f>
        <v>519</v>
      </c>
      <c r="G44" s="310"/>
      <c r="H44" s="310"/>
      <c r="I44" s="318"/>
      <c r="J44" s="2014"/>
      <c r="K44" s="1273" t="str">
        <f>D4</f>
        <v>剩余法-待开发</v>
      </c>
      <c r="L44" s="1274">
        <f ca="1">IF(L42="估价结果/万元",D19,D20)</f>
        <v>23847</v>
      </c>
      <c r="M44" s="1275">
        <f>D18</f>
        <v>0.6</v>
      </c>
      <c r="N44" s="1276"/>
      <c r="O44" s="1277"/>
      <c r="P44" s="2012"/>
      <c r="V44" s="2012"/>
    </row>
    <row r="45" spans="1:26" ht="15">
      <c r="A45" s="3994" t="str">
        <f>IF(项目基本情况!E8="已注销及未注销","4.抵押担保权已注销时的抵押价格",IF(项目基本情况!E8="已注销","3.抵押担保权已注销时的抵押价格","——"))</f>
        <v>——</v>
      </c>
      <c r="B45" s="3995"/>
      <c r="C45" s="1787"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4"/>
      <c r="K45" s="2012"/>
      <c r="L45" s="2012"/>
      <c r="M45" s="2012"/>
      <c r="N45" s="2012"/>
      <c r="O45" s="2012"/>
      <c r="P45" s="2012"/>
      <c r="V45" s="2012"/>
    </row>
    <row r="46" spans="1:26" ht="15.75" thickBot="1">
      <c r="A46" s="3991" t="str">
        <f>IF(项目基本情况!E9="抵押净值",IF(A45="——","4.抵押净值","5.抵押净值"),"——")</f>
        <v>——</v>
      </c>
      <c r="B46" s="3992"/>
      <c r="C46" s="319" t="str">
        <f>IF(A46="——","——",O79)</f>
        <v>——</v>
      </c>
      <c r="D46" s="316" t="e">
        <f>ROUND(C46*10000/'数据-汇总表'!E3,0)</f>
        <v>#VALUE!</v>
      </c>
      <c r="E46" s="316" t="e">
        <f>ROUND(C46*10000/'数据-汇总表'!D3,0)</f>
        <v>#VALUE!</v>
      </c>
      <c r="F46" s="317" t="e">
        <f>ROUND(C46/('数据-汇总表'!D3/666.67),0)</f>
        <v>#VALUE!</v>
      </c>
      <c r="G46" s="310"/>
      <c r="H46" s="310"/>
      <c r="I46" s="318"/>
      <c r="J46" s="2014"/>
      <c r="K46" s="2012"/>
      <c r="L46" s="2012"/>
      <c r="M46" s="2012"/>
      <c r="N46" s="2012"/>
      <c r="O46" s="2012"/>
      <c r="P46" s="2012"/>
      <c r="Q46" s="2012"/>
      <c r="R46" s="2012"/>
      <c r="S46" s="2012"/>
      <c r="T46" s="2012"/>
      <c r="U46" s="2012"/>
      <c r="V46" s="2012"/>
    </row>
    <row r="47" spans="1:26" ht="15.75">
      <c r="A47" s="320" t="s">
        <v>366</v>
      </c>
      <c r="B47" s="1278"/>
      <c r="C47" s="321" t="s">
        <v>367</v>
      </c>
      <c r="D47" s="322"/>
      <c r="E47" s="322"/>
      <c r="F47" s="322"/>
      <c r="G47" s="323"/>
      <c r="H47" s="324"/>
      <c r="I47" s="325"/>
      <c r="J47" s="2014"/>
      <c r="K47" s="310"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6">
        <v>1</v>
      </c>
      <c r="B48" s="327"/>
      <c r="C48" s="327"/>
      <c r="D48" s="322"/>
      <c r="E48" s="322"/>
      <c r="F48" s="322"/>
      <c r="G48" s="322"/>
      <c r="H48" s="328"/>
      <c r="I48" s="329"/>
      <c r="J48" s="2014"/>
      <c r="K48" s="2012"/>
      <c r="L48" s="2012"/>
      <c r="M48" s="2012"/>
      <c r="N48" s="2012"/>
      <c r="O48" s="2012"/>
      <c r="P48" s="2012"/>
      <c r="Q48" s="2012"/>
      <c r="R48" s="2012"/>
      <c r="S48" s="2012"/>
      <c r="T48" s="2012"/>
      <c r="U48" s="2012"/>
      <c r="V48" s="2012"/>
    </row>
    <row r="49" spans="1:22" ht="12.75">
      <c r="A49" s="326">
        <v>2</v>
      </c>
      <c r="B49" s="327"/>
      <c r="C49" s="327"/>
      <c r="D49" s="322"/>
      <c r="E49" s="322"/>
      <c r="F49" s="322"/>
      <c r="G49" s="322"/>
      <c r="H49" s="328"/>
      <c r="I49" s="329"/>
      <c r="J49" s="2015"/>
      <c r="K49" s="2012"/>
      <c r="L49" s="2012"/>
      <c r="M49" s="2012"/>
      <c r="N49" s="2012"/>
      <c r="O49" s="2012"/>
      <c r="P49" s="2012"/>
      <c r="Q49" s="2012"/>
      <c r="R49" s="2012"/>
      <c r="S49" s="2012"/>
      <c r="T49" s="2012"/>
      <c r="U49" s="2012"/>
      <c r="V49" s="2012"/>
    </row>
    <row r="50" spans="1:22" ht="12.75">
      <c r="A50" s="326">
        <v>3</v>
      </c>
      <c r="B50" s="327"/>
      <c r="C50" s="327"/>
      <c r="D50" s="322"/>
      <c r="E50" s="322"/>
      <c r="F50" s="322"/>
      <c r="G50" s="322"/>
      <c r="H50" s="328"/>
      <c r="I50" s="329"/>
      <c r="J50" s="2015"/>
      <c r="K50" s="2012"/>
      <c r="L50" s="2012"/>
      <c r="M50" s="2012"/>
      <c r="N50" s="2012"/>
      <c r="O50" s="2012"/>
      <c r="P50" s="2012"/>
      <c r="Q50" s="2012"/>
      <c r="R50" s="2012"/>
      <c r="S50" s="2012"/>
      <c r="T50" s="2012"/>
      <c r="U50" s="2012"/>
      <c r="V50" s="2012"/>
    </row>
    <row r="51" spans="1:22" ht="12.75">
      <c r="A51" s="330"/>
      <c r="B51" s="331"/>
      <c r="C51" s="331"/>
      <c r="D51" s="332"/>
      <c r="E51" s="332"/>
      <c r="F51" s="332"/>
      <c r="G51" s="332"/>
      <c r="H51" s="333"/>
      <c r="I51" s="334"/>
      <c r="J51" s="2015"/>
      <c r="K51" s="2012"/>
      <c r="L51" s="2012"/>
      <c r="M51" s="2012"/>
      <c r="N51" s="2012"/>
      <c r="O51" s="2012"/>
      <c r="P51" s="2012"/>
      <c r="Q51" s="2012"/>
      <c r="R51" s="2012"/>
      <c r="S51" s="2012"/>
      <c r="T51" s="2012"/>
      <c r="U51" s="2012"/>
      <c r="V51" s="2012"/>
    </row>
    <row r="52" spans="1:22" ht="12.75">
      <c r="A52" s="327"/>
      <c r="B52" s="327"/>
      <c r="C52" s="327"/>
      <c r="D52" s="322"/>
      <c r="E52" s="322"/>
      <c r="F52" s="322"/>
      <c r="G52" s="322"/>
      <c r="H52" s="328"/>
      <c r="I52" s="256"/>
      <c r="J52" s="2015"/>
      <c r="K52" s="2012"/>
      <c r="L52" s="2012"/>
      <c r="M52" s="2012"/>
      <c r="N52" s="2012"/>
      <c r="O52" s="2012"/>
      <c r="P52" s="2012"/>
      <c r="Q52" s="2012"/>
      <c r="R52" s="2012"/>
      <c r="S52" s="2012"/>
      <c r="T52" s="2012"/>
      <c r="U52" s="2012"/>
      <c r="V52" s="2012"/>
    </row>
    <row r="53" spans="1:22" ht="12.75">
      <c r="A53" s="256"/>
      <c r="B53" s="256"/>
      <c r="C53" s="256"/>
      <c r="D53" s="256"/>
      <c r="E53" s="256"/>
      <c r="F53" s="335" t="s">
        <v>368</v>
      </c>
      <c r="G53" s="336"/>
      <c r="H53" s="336"/>
      <c r="I53" s="337" t="s">
        <v>369</v>
      </c>
      <c r="J53" s="2015"/>
      <c r="K53" s="2012"/>
      <c r="L53" s="2012"/>
      <c r="M53" s="2012"/>
      <c r="N53" s="2012"/>
      <c r="O53" s="2012"/>
      <c r="P53" s="2012"/>
      <c r="Q53" s="2012"/>
      <c r="R53" s="2012"/>
      <c r="S53" s="2012"/>
      <c r="T53" s="2012"/>
      <c r="U53" s="2012"/>
      <c r="V53" s="2012"/>
    </row>
    <row r="54" spans="1:22" ht="12.75">
      <c r="A54" s="256"/>
      <c r="B54" s="338" t="s">
        <v>370</v>
      </c>
      <c r="C54" s="256"/>
      <c r="D54" s="256"/>
      <c r="E54" s="256"/>
      <c r="F54" s="256"/>
      <c r="G54" s="256"/>
      <c r="H54" s="256"/>
      <c r="I54" s="256"/>
      <c r="J54" s="2015"/>
      <c r="K54" s="2012"/>
      <c r="L54" s="2012"/>
      <c r="M54" s="2012"/>
      <c r="N54" s="2012"/>
      <c r="O54" s="2012"/>
      <c r="P54" s="2012"/>
      <c r="Q54" s="2012"/>
      <c r="R54" s="2012"/>
      <c r="S54" s="2012"/>
      <c r="T54" s="2012"/>
      <c r="U54" s="2012"/>
      <c r="V54" s="2012"/>
    </row>
    <row r="55" spans="1:22" ht="12.75">
      <c r="A55" s="256"/>
      <c r="B55" s="256"/>
      <c r="C55" s="256"/>
      <c r="D55" s="256"/>
      <c r="E55" s="256"/>
      <c r="F55" s="256"/>
      <c r="G55" s="256"/>
      <c r="H55" s="256"/>
      <c r="I55" s="256"/>
      <c r="J55" s="2015"/>
      <c r="K55" s="2012"/>
      <c r="L55" s="2012"/>
      <c r="M55" s="2012"/>
      <c r="N55" s="2012"/>
      <c r="O55" s="2012"/>
      <c r="P55" s="2012"/>
      <c r="Q55" s="2012"/>
      <c r="R55" s="2012"/>
      <c r="S55" s="2012"/>
      <c r="T55" s="2012"/>
      <c r="U55" s="2012"/>
      <c r="V55" s="2012"/>
    </row>
    <row r="56" spans="1:22" ht="12.75">
      <c r="A56" s="256"/>
      <c r="B56" s="336"/>
      <c r="C56" s="336"/>
      <c r="D56" s="336"/>
      <c r="E56" s="336"/>
      <c r="F56" s="336"/>
      <c r="G56" s="336"/>
      <c r="H56" s="336"/>
      <c r="I56" s="337" t="s">
        <v>371</v>
      </c>
      <c r="J56" s="2015"/>
      <c r="K56" s="2012"/>
      <c r="L56" s="2012"/>
      <c r="M56" s="2012"/>
      <c r="N56" s="2012"/>
      <c r="O56" s="2012"/>
      <c r="P56" s="2012"/>
      <c r="Q56" s="2012"/>
      <c r="R56" s="2012"/>
      <c r="S56" s="2012"/>
      <c r="T56" s="2012"/>
      <c r="U56" s="2012"/>
      <c r="V56" s="2012"/>
    </row>
    <row r="57" spans="1:22" ht="12.75">
      <c r="A57" s="256"/>
      <c r="B57" s="338" t="s">
        <v>372</v>
      </c>
      <c r="C57" s="256"/>
      <c r="D57" s="256"/>
      <c r="E57" s="256"/>
      <c r="F57" s="256"/>
      <c r="G57" s="256"/>
      <c r="H57" s="256"/>
      <c r="I57" s="256"/>
      <c r="J57" s="2015"/>
      <c r="K57" s="2012"/>
      <c r="L57" s="2012"/>
      <c r="M57" s="2012"/>
      <c r="N57" s="2012"/>
      <c r="O57" s="2012"/>
      <c r="P57" s="2012"/>
      <c r="Q57" s="2012"/>
      <c r="R57" s="2012"/>
      <c r="S57" s="2012"/>
      <c r="T57" s="2012"/>
      <c r="U57" s="2012"/>
      <c r="V57" s="2012"/>
    </row>
    <row r="58" spans="1:22" ht="12.75">
      <c r="A58" s="256"/>
      <c r="B58" s="338"/>
      <c r="C58" s="256"/>
      <c r="D58" s="256"/>
      <c r="E58" s="256"/>
      <c r="F58" s="256"/>
      <c r="G58" s="256"/>
      <c r="H58" s="256"/>
      <c r="I58" s="256"/>
      <c r="J58" s="2015"/>
      <c r="K58" s="2012"/>
      <c r="L58" s="2012"/>
      <c r="M58" s="2012"/>
      <c r="N58" s="2012"/>
      <c r="O58" s="2012"/>
      <c r="P58" s="2012"/>
      <c r="Q58" s="2012"/>
      <c r="R58" s="2012"/>
      <c r="S58" s="2012"/>
      <c r="T58" s="2012"/>
      <c r="U58" s="2012"/>
      <c r="V58" s="2012"/>
    </row>
    <row r="59" spans="1:22" ht="12.75">
      <c r="A59" s="256"/>
      <c r="B59" s="336"/>
      <c r="C59" s="336"/>
      <c r="D59" s="336"/>
      <c r="E59" s="336"/>
      <c r="F59" s="336"/>
      <c r="G59" s="336"/>
      <c r="H59" s="336"/>
      <c r="I59" s="337" t="s">
        <v>371</v>
      </c>
      <c r="J59" s="2015"/>
      <c r="K59" s="2012"/>
      <c r="L59" s="2012"/>
      <c r="M59" s="2012"/>
      <c r="N59" s="2012"/>
      <c r="O59" s="2012"/>
      <c r="P59" s="2012"/>
      <c r="Q59" s="2012"/>
      <c r="R59" s="2012"/>
      <c r="S59" s="2012"/>
      <c r="T59" s="2012"/>
      <c r="U59" s="2012"/>
      <c r="V59" s="2012"/>
    </row>
    <row r="60" spans="1:22" ht="12.75">
      <c r="A60" s="256"/>
      <c r="B60" s="256"/>
      <c r="C60" s="256"/>
      <c r="D60" s="256"/>
      <c r="E60" s="256"/>
      <c r="F60" s="256"/>
      <c r="G60" s="256"/>
      <c r="H60" s="256"/>
      <c r="I60" s="256"/>
      <c r="J60" s="2015"/>
      <c r="K60" s="2012"/>
      <c r="L60" s="2012"/>
      <c r="M60" s="2012"/>
      <c r="N60" s="2012"/>
      <c r="O60" s="2012"/>
      <c r="P60" s="2012"/>
      <c r="Q60" s="2012"/>
      <c r="R60" s="2012"/>
      <c r="S60" s="2012"/>
      <c r="T60" s="2012"/>
      <c r="U60" s="2012"/>
      <c r="V60" s="2012"/>
    </row>
    <row r="61" spans="1:22" ht="12.75">
      <c r="A61" s="256"/>
      <c r="B61" s="338"/>
      <c r="C61" s="339"/>
      <c r="D61" s="216"/>
      <c r="E61" s="216"/>
      <c r="F61" s="252"/>
      <c r="G61" s="256"/>
      <c r="H61" s="256"/>
      <c r="I61" s="256"/>
      <c r="J61" s="2015"/>
      <c r="K61" s="2012"/>
      <c r="L61" s="2012"/>
      <c r="M61" s="2012"/>
      <c r="N61" s="2012"/>
      <c r="O61" s="2012"/>
      <c r="P61" s="2012"/>
      <c r="Q61" s="2012"/>
      <c r="R61" s="2012"/>
      <c r="S61" s="2012"/>
      <c r="T61" s="2012"/>
      <c r="U61" s="2012"/>
      <c r="V61" s="2012"/>
    </row>
    <row r="62" spans="1:22" ht="18.75">
      <c r="A62" s="1279" t="s">
        <v>373</v>
      </c>
      <c r="B62" s="1280"/>
      <c r="C62" s="1280"/>
      <c r="D62" s="1281"/>
      <c r="E62" s="1281"/>
      <c r="F62" s="1282"/>
      <c r="G62" s="1282"/>
      <c r="H62" s="1282"/>
      <c r="I62" s="1282"/>
      <c r="J62" s="2016"/>
      <c r="K62" s="2012"/>
      <c r="L62" s="2012"/>
      <c r="M62" s="2012"/>
      <c r="N62" s="2012"/>
      <c r="O62" s="2012"/>
      <c r="P62" s="2012"/>
      <c r="Q62" s="2012"/>
      <c r="R62" s="2012"/>
      <c r="S62" s="2012"/>
      <c r="T62" s="2012"/>
      <c r="U62" s="2012"/>
      <c r="V62" s="2012"/>
    </row>
    <row r="63" spans="1:22" ht="14.25" customHeight="1" thickBot="1">
      <c r="A63" s="3957" t="s">
        <v>374</v>
      </c>
      <c r="B63" s="3958"/>
      <c r="C63" s="3959"/>
      <c r="D63" s="340">
        <f ca="1">ROUND(C42*F63,0)</f>
        <v>21188</v>
      </c>
      <c r="E63" s="301" t="s">
        <v>375</v>
      </c>
      <c r="F63" s="341">
        <v>1</v>
      </c>
      <c r="G63" s="342" t="s">
        <v>376</v>
      </c>
      <c r="H63" s="310"/>
      <c r="I63" s="310"/>
      <c r="J63" s="2012"/>
      <c r="K63" s="2012"/>
      <c r="L63" s="2012"/>
      <c r="M63" s="2012"/>
      <c r="N63" s="2012"/>
      <c r="O63" s="2012"/>
      <c r="P63" s="310"/>
      <c r="Q63" s="2012"/>
      <c r="R63" s="2012"/>
      <c r="S63" s="2012"/>
      <c r="T63" s="2012"/>
      <c r="U63" s="2012"/>
      <c r="V63" s="2012"/>
    </row>
    <row r="64" spans="1:22" ht="14.25" customHeight="1">
      <c r="A64" s="3996" t="s">
        <v>378</v>
      </c>
      <c r="B64" s="3997"/>
      <c r="C64" s="3997"/>
      <c r="D64" s="3997"/>
      <c r="E64" s="3997"/>
      <c r="F64" s="3997"/>
      <c r="G64" s="3998"/>
      <c r="H64" s="1283"/>
      <c r="I64" s="947"/>
      <c r="J64" s="1974"/>
      <c r="K64" s="1546" t="s">
        <v>377</v>
      </c>
      <c r="L64" s="11"/>
      <c r="M64" s="11"/>
      <c r="N64" s="11"/>
      <c r="O64" s="11"/>
      <c r="P64" s="310"/>
      <c r="Q64" s="2012"/>
      <c r="R64" s="2012"/>
      <c r="S64" s="2012"/>
      <c r="T64" s="2012"/>
      <c r="U64" s="2012"/>
      <c r="V64" s="2012"/>
    </row>
    <row r="65" spans="1:22" ht="12" customHeight="1">
      <c r="A65" s="343" t="s">
        <v>380</v>
      </c>
      <c r="B65" s="344"/>
      <c r="C65" s="345"/>
      <c r="D65" s="346" t="s">
        <v>381</v>
      </c>
      <c r="E65" s="53" t="s">
        <v>382</v>
      </c>
      <c r="F65" s="347" t="s">
        <v>383</v>
      </c>
      <c r="G65" s="348" t="s">
        <v>384</v>
      </c>
      <c r="H65" s="1283"/>
      <c r="I65" s="947"/>
      <c r="J65" s="1974"/>
      <c r="K65" s="1284"/>
      <c r="L65" s="1285"/>
      <c r="M65" s="1285"/>
      <c r="N65" s="1317" t="s">
        <v>379</v>
      </c>
      <c r="O65" s="1318"/>
      <c r="P65" s="1319"/>
      <c r="Q65" s="2012"/>
      <c r="R65" s="2012"/>
      <c r="S65" s="2012"/>
      <c r="T65" s="2012"/>
      <c r="U65" s="2012"/>
      <c r="V65" s="2012"/>
    </row>
    <row r="66" spans="1:22" ht="25.5">
      <c r="A66" s="3993" t="s">
        <v>386</v>
      </c>
      <c r="B66" s="3964"/>
      <c r="C66" s="3964"/>
      <c r="D66" s="260">
        <f ca="1">IF(H66="情况1",0,IF(H66="情况2",D70,IF(H66="情况3",D71,IF(H66="情况4",D72))))</f>
        <v>1110</v>
      </c>
      <c r="E66" s="992" t="str">
        <f>IF(H66="情况4","(销售额-原购置价)×税（费）率","销售额×税（费）率")</f>
        <v>销售额×税（费）率</v>
      </c>
      <c r="F66" s="349">
        <f>IF(H66="情况1","免征",'数据-取费表'!B41)</f>
        <v>5.5000000000000007E-2</v>
      </c>
      <c r="G66" s="350" t="s">
        <v>387</v>
      </c>
      <c r="H66" s="191" t="s">
        <v>388</v>
      </c>
      <c r="I66" s="1283"/>
      <c r="J66" s="2018"/>
      <c r="K66" s="1286">
        <v>1</v>
      </c>
      <c r="L66" s="3933" t="s">
        <v>385</v>
      </c>
      <c r="M66" s="3934"/>
      <c r="N66" s="2421"/>
      <c r="O66" s="2422"/>
      <c r="P66" s="2423"/>
      <c r="Q66" s="2012"/>
      <c r="R66" s="2012"/>
      <c r="S66" s="2012"/>
      <c r="T66" s="2012"/>
      <c r="U66" s="2012"/>
      <c r="V66" s="2012"/>
    </row>
    <row r="67" spans="1:22" ht="25.5" customHeight="1">
      <c r="A67" s="351" t="s">
        <v>390</v>
      </c>
      <c r="B67" s="3976" t="s">
        <v>391</v>
      </c>
      <c r="C67" s="3976"/>
      <c r="D67" s="352">
        <v>0</v>
      </c>
      <c r="E67" s="41" t="s">
        <v>392</v>
      </c>
      <c r="F67" s="62" t="s">
        <v>21</v>
      </c>
      <c r="G67" s="3960"/>
      <c r="H67" s="310"/>
      <c r="I67" s="1287"/>
      <c r="J67" s="2019"/>
      <c r="K67" s="1960">
        <v>2</v>
      </c>
      <c r="L67" s="3932" t="s">
        <v>389</v>
      </c>
      <c r="M67" s="3932"/>
      <c r="N67" s="1320">
        <f>'数据-取费表'!B2</f>
        <v>43647</v>
      </c>
      <c r="O67" s="1320"/>
      <c r="P67" s="1320"/>
      <c r="Q67" s="2012"/>
      <c r="R67" s="2012"/>
      <c r="S67" s="2012"/>
      <c r="T67" s="2012"/>
      <c r="U67" s="2012"/>
      <c r="V67" s="2012"/>
    </row>
    <row r="68" spans="1:22" ht="25.5" customHeight="1">
      <c r="A68" s="353"/>
      <c r="B68" s="3976" t="s">
        <v>394</v>
      </c>
      <c r="C68" s="3976"/>
      <c r="D68" s="354"/>
      <c r="E68" s="77"/>
      <c r="F68" s="355"/>
      <c r="G68" s="3961"/>
      <c r="H68" s="310"/>
      <c r="I68" s="1287"/>
      <c r="J68" s="2019"/>
      <c r="K68" s="1960">
        <v>3</v>
      </c>
      <c r="L68" s="3932" t="s">
        <v>393</v>
      </c>
      <c r="M68" s="3932"/>
      <c r="N68" s="1288">
        <f ca="1">C42</f>
        <v>21188</v>
      </c>
      <c r="O68" s="1288"/>
      <c r="P68" s="1288"/>
      <c r="Q68" s="2012"/>
      <c r="R68" s="2012"/>
      <c r="S68" s="2012"/>
      <c r="T68" s="2012"/>
      <c r="U68" s="2012"/>
      <c r="V68" s="2012"/>
    </row>
    <row r="69" spans="1:22" ht="12" customHeight="1">
      <c r="A69" s="356"/>
      <c r="B69" s="3976" t="s">
        <v>395</v>
      </c>
      <c r="C69" s="3976"/>
      <c r="D69" s="357"/>
      <c r="E69" s="73"/>
      <c r="F69" s="355"/>
      <c r="G69" s="3962"/>
      <c r="H69" s="310"/>
      <c r="I69" s="1287"/>
      <c r="J69" s="2019"/>
      <c r="K69" s="1289">
        <v>4</v>
      </c>
      <c r="L69" s="3938" t="s">
        <v>2882</v>
      </c>
      <c r="M69" s="3939"/>
      <c r="N69" s="1290">
        <f ca="1">C44</f>
        <v>21188</v>
      </c>
      <c r="O69" s="1290"/>
      <c r="P69" s="1290"/>
      <c r="Q69" s="2012"/>
      <c r="R69" s="2012"/>
      <c r="S69" s="2012"/>
      <c r="T69" s="2012"/>
      <c r="U69" s="2012"/>
      <c r="V69" s="2012"/>
    </row>
    <row r="70" spans="1:22" ht="24" customHeight="1">
      <c r="A70" s="358" t="s">
        <v>396</v>
      </c>
      <c r="B70" s="3976" t="s">
        <v>397</v>
      </c>
      <c r="C70" s="3976"/>
      <c r="D70" s="357">
        <f ca="1">ROUND(D63*'数据-取费表'!B41/(1+'数据-取费表'!C42),0)</f>
        <v>1110</v>
      </c>
      <c r="E70" s="17" t="s">
        <v>398</v>
      </c>
      <c r="F70" s="359">
        <f>'数据-取费表'!B41</f>
        <v>5.5000000000000007E-2</v>
      </c>
      <c r="G70" s="360"/>
      <c r="H70" s="310"/>
      <c r="I70" s="1287"/>
      <c r="J70" s="2019"/>
      <c r="K70" s="3010"/>
      <c r="L70" s="3011"/>
      <c r="M70" s="3011"/>
      <c r="N70" s="3012" t="s">
        <v>2886</v>
      </c>
      <c r="O70" s="3011"/>
      <c r="P70" s="3013"/>
      <c r="Q70" s="2012"/>
      <c r="R70" s="2012"/>
      <c r="S70" s="2012"/>
      <c r="T70" s="2012"/>
      <c r="U70" s="2012"/>
      <c r="V70" s="2012"/>
    </row>
    <row r="71" spans="1:22" ht="12" customHeight="1">
      <c r="A71" s="358" t="s">
        <v>404</v>
      </c>
      <c r="B71" s="3975" t="s">
        <v>405</v>
      </c>
      <c r="C71" s="3987"/>
      <c r="D71" s="357">
        <f ca="1">ROUND(D63*'数据-取费表'!B41/(1+'数据-取费表'!C42),0)</f>
        <v>1110</v>
      </c>
      <c r="E71" s="17" t="s">
        <v>398</v>
      </c>
      <c r="F71" s="359">
        <f>'数据-取费表'!B41</f>
        <v>5.5000000000000007E-2</v>
      </c>
      <c r="G71" s="360"/>
      <c r="H71" s="310"/>
      <c r="I71" s="1287"/>
      <c r="J71" s="2019"/>
      <c r="K71" s="3009" t="s">
        <v>399</v>
      </c>
      <c r="L71" s="3940" t="s">
        <v>400</v>
      </c>
      <c r="M71" s="3940"/>
      <c r="N71" s="3009" t="s">
        <v>401</v>
      </c>
      <c r="O71" s="3009" t="s">
        <v>402</v>
      </c>
      <c r="P71" s="3009" t="s">
        <v>403</v>
      </c>
      <c r="Q71" s="2012"/>
      <c r="R71" s="2012"/>
      <c r="S71" s="2012"/>
      <c r="T71" s="2012"/>
      <c r="U71" s="2012"/>
      <c r="V71" s="2012"/>
    </row>
    <row r="72" spans="1:22" ht="12" customHeight="1">
      <c r="A72" s="358" t="s">
        <v>407</v>
      </c>
      <c r="B72" s="3975" t="s">
        <v>408</v>
      </c>
      <c r="C72" s="3987"/>
      <c r="D72" s="357">
        <f ca="1">C86</f>
        <v>1000</v>
      </c>
      <c r="E72" s="73" t="s">
        <v>409</v>
      </c>
      <c r="F72" s="359">
        <f>'数据-取费表'!B41</f>
        <v>5.5000000000000007E-2</v>
      </c>
      <c r="G72" s="360"/>
      <c r="H72" s="1293"/>
      <c r="I72" s="1287"/>
      <c r="J72" s="2019"/>
      <c r="K72" s="1960">
        <v>1</v>
      </c>
      <c r="L72" s="3937" t="s">
        <v>406</v>
      </c>
      <c r="M72" s="3937"/>
      <c r="N72" s="1291">
        <f ca="1">D66</f>
        <v>1110</v>
      </c>
      <c r="O72" s="1843" t="str">
        <f>E66</f>
        <v>销售额×税（费）率</v>
      </c>
      <c r="P72" s="1292">
        <f>F66</f>
        <v>5.5000000000000007E-2</v>
      </c>
      <c r="Q72" s="2012"/>
      <c r="R72" s="2012"/>
      <c r="S72" s="2012"/>
      <c r="T72" s="2012"/>
      <c r="U72" s="2012"/>
      <c r="V72" s="2012"/>
    </row>
    <row r="73" spans="1:22" ht="24" customHeight="1">
      <c r="A73" s="3963" t="s">
        <v>411</v>
      </c>
      <c r="B73" s="3964"/>
      <c r="C73" s="3964"/>
      <c r="D73" s="361">
        <f ca="1">IF(H73="个人住宅",0,ROUND(D63*I73,0))</f>
        <v>11</v>
      </c>
      <c r="E73" s="17" t="s">
        <v>412</v>
      </c>
      <c r="F73" s="359">
        <f>IF(H73="正常",I73,"免征")</f>
        <v>5.0000000000000001E-4</v>
      </c>
      <c r="G73" s="360"/>
      <c r="H73" s="191" t="s">
        <v>3012</v>
      </c>
      <c r="I73" s="359">
        <f>'数据-取费表'!B49</f>
        <v>5.0000000000000001E-4</v>
      </c>
      <c r="J73" s="2019"/>
      <c r="K73" s="1960">
        <v>2</v>
      </c>
      <c r="L73" s="3937" t="s">
        <v>410</v>
      </c>
      <c r="M73" s="3937"/>
      <c r="N73" s="1291">
        <f t="shared" ref="N73:P74" ca="1" si="1">D73</f>
        <v>11</v>
      </c>
      <c r="O73" s="1843" t="str">
        <f t="shared" si="1"/>
        <v>销售额×税（费）率</v>
      </c>
      <c r="P73" s="1292">
        <f t="shared" si="1"/>
        <v>5.0000000000000001E-4</v>
      </c>
      <c r="Q73" s="2012"/>
      <c r="R73" s="2012"/>
      <c r="S73" s="2012"/>
      <c r="T73" s="2012"/>
      <c r="U73" s="2012"/>
      <c r="V73" s="2012"/>
    </row>
    <row r="74" spans="1:22" ht="24.75">
      <c r="A74" s="3963" t="s">
        <v>415</v>
      </c>
      <c r="B74" s="3964"/>
      <c r="C74" s="3964"/>
      <c r="D74" s="361">
        <f ca="1">IF(H74="个人住宅",D75,D76)</f>
        <v>7035</v>
      </c>
      <c r="E74" s="17" t="s">
        <v>416</v>
      </c>
      <c r="F74" s="359" t="str">
        <f>IF(H74="正常",F76,"免征")</f>
        <v>——</v>
      </c>
      <c r="G74" s="982" t="s">
        <v>417</v>
      </c>
      <c r="H74" s="362" t="s">
        <v>413</v>
      </c>
      <c r="I74" s="42"/>
      <c r="J74" s="2019"/>
      <c r="K74" s="1960">
        <v>3</v>
      </c>
      <c r="L74" s="3937" t="s">
        <v>414</v>
      </c>
      <c r="M74" s="3937"/>
      <c r="N74" s="1291">
        <f t="shared" ca="1" si="1"/>
        <v>7035</v>
      </c>
      <c r="O74" s="1843" t="str">
        <f t="shared" si="1"/>
        <v>增值额×税（费）率</v>
      </c>
      <c r="P74" s="1294" t="str">
        <f t="shared" si="1"/>
        <v>——</v>
      </c>
      <c r="Q74" s="2012"/>
      <c r="R74" s="2012"/>
      <c r="S74" s="2012"/>
      <c r="T74" s="2012"/>
      <c r="U74" s="2012"/>
      <c r="V74" s="2012"/>
    </row>
    <row r="75" spans="1:22" ht="12.75">
      <c r="A75" s="358" t="s">
        <v>418</v>
      </c>
      <c r="B75" s="3944" t="s">
        <v>419</v>
      </c>
      <c r="C75" s="3945"/>
      <c r="D75" s="363">
        <v>0</v>
      </c>
      <c r="E75" s="41" t="s">
        <v>420</v>
      </c>
      <c r="F75" s="364"/>
      <c r="G75" s="360"/>
      <c r="H75" s="42"/>
      <c r="I75" s="42"/>
      <c r="J75" s="2019"/>
      <c r="K75" s="3002" t="str">
        <f>IF(H77="非个人房产","",4)</f>
        <v/>
      </c>
      <c r="L75" s="3937" t="str">
        <f>IF(H77="非个人房产","——","个人所得税")</f>
        <v>——</v>
      </c>
      <c r="M75" s="3937"/>
      <c r="N75" s="1295" t="str">
        <f>D77</f>
        <v>——</v>
      </c>
      <c r="O75" s="1856" t="str">
        <f>E77</f>
        <v>——</v>
      </c>
      <c r="P75" s="1296" t="str">
        <f>F77</f>
        <v>——</v>
      </c>
      <c r="Q75" s="2012"/>
      <c r="R75" s="2012"/>
      <c r="S75" s="2012"/>
      <c r="T75" s="2012"/>
      <c r="U75" s="2012"/>
      <c r="V75" s="2012"/>
    </row>
    <row r="76" spans="1:22" ht="24.75">
      <c r="A76" s="358" t="s">
        <v>396</v>
      </c>
      <c r="B76" s="3944" t="s">
        <v>422</v>
      </c>
      <c r="C76" s="3986"/>
      <c r="D76" s="361">
        <f ca="1">IF(H76="转让取得",C99,C115)</f>
        <v>7035</v>
      </c>
      <c r="E76" s="17" t="s">
        <v>423</v>
      </c>
      <c r="F76" s="53" t="s">
        <v>21</v>
      </c>
      <c r="G76" s="360"/>
      <c r="H76" s="362" t="s">
        <v>424</v>
      </c>
      <c r="I76" s="42"/>
      <c r="J76" s="2019"/>
      <c r="K76" s="3002" t="str">
        <f>IF(项目基本情况!K6="上海银行",IF(K75="",4,K75+1),"")</f>
        <v/>
      </c>
      <c r="L76" s="3925" t="str">
        <f>IF(项目基本情况!K6="上海银行","其他处置费用","")</f>
        <v/>
      </c>
      <c r="M76" s="3926"/>
      <c r="N76" s="1291" t="str">
        <f>IF(项目基本情况!K6="上海银行",N89,"")</f>
        <v/>
      </c>
      <c r="O76" s="3927" t="str">
        <f>IF(项目基本情况!K6="上海银行","包含处置中涉及的律师、诉讼、拍卖、评估等费用","")</f>
        <v/>
      </c>
      <c r="P76" s="3928"/>
      <c r="Q76" s="2012"/>
      <c r="R76" s="2012"/>
      <c r="S76" s="2012"/>
      <c r="T76" s="2012"/>
      <c r="U76" s="2012"/>
      <c r="V76" s="2012"/>
    </row>
    <row r="77" spans="1:22" ht="24.75" thickBot="1">
      <c r="A77" s="3955" t="s">
        <v>426</v>
      </c>
      <c r="B77" s="3956"/>
      <c r="C77" s="3956"/>
      <c r="D77" s="365" t="str">
        <f>IF(H77="非个人房产","——",IF(H77="个人住宅",0,ROUND(D63*I77,0)))</f>
        <v>——</v>
      </c>
      <c r="E77" s="366" t="str">
        <f>IF(H77="非个人房产","——","销售额×税（费）率")</f>
        <v>——</v>
      </c>
      <c r="F77" s="367" t="str">
        <f>IF(H77="非个人房产","——",IF(H77="个人住宅","免征",I77))</f>
        <v>——</v>
      </c>
      <c r="G77" s="983" t="s">
        <v>417</v>
      </c>
      <c r="H77" s="362" t="s">
        <v>3582</v>
      </c>
      <c r="I77" s="368">
        <v>0.01</v>
      </c>
      <c r="J77" s="2019"/>
      <c r="K77" s="3951">
        <f>IF(AND(K75="",K76=""),4,IF(项目基本情况!K6="上海银行",K76+1,K75+1))</f>
        <v>4</v>
      </c>
      <c r="L77" s="3937" t="s">
        <v>2883</v>
      </c>
      <c r="M77" s="3008" t="s">
        <v>421</v>
      </c>
      <c r="N77" s="1297"/>
      <c r="O77" s="1298">
        <f ca="1">SUMIF(N72:N76,"&lt;9e307")</f>
        <v>8156</v>
      </c>
      <c r="P77" s="1299"/>
      <c r="Q77" s="3006">
        <f ca="1">O77/N69</f>
        <v>0.38493486879365679</v>
      </c>
      <c r="R77" s="2012"/>
      <c r="S77" s="2012"/>
      <c r="T77" s="2012"/>
      <c r="U77" s="2012"/>
      <c r="V77" s="2012"/>
    </row>
    <row r="78" spans="1:22" ht="12" customHeight="1">
      <c r="A78" s="1300"/>
      <c r="B78" s="310"/>
      <c r="C78" s="310"/>
      <c r="D78" s="310"/>
      <c r="E78" s="42"/>
      <c r="F78" s="42"/>
      <c r="G78" s="42"/>
      <c r="H78" s="1002"/>
      <c r="I78" s="310"/>
      <c r="J78" s="2019"/>
      <c r="K78" s="3951"/>
      <c r="L78" s="3937"/>
      <c r="M78" s="3008" t="s">
        <v>425</v>
      </c>
      <c r="N78" s="1297"/>
      <c r="O78" s="1298" t="str">
        <f ca="1">NUMBERSTRING(INT(O77*10000),2)&amp;"元整"</f>
        <v>捌仟壹佰伍拾陆万元整</v>
      </c>
      <c r="P78" s="1299"/>
      <c r="Q78" s="2012"/>
      <c r="R78" s="2012"/>
      <c r="S78" s="2012"/>
      <c r="T78" s="2012"/>
      <c r="U78" s="2012"/>
      <c r="V78" s="2012"/>
    </row>
    <row r="79" spans="1:22" ht="13.5" thickBot="1">
      <c r="A79" s="3941" t="s">
        <v>427</v>
      </c>
      <c r="B79" s="3941"/>
      <c r="C79" s="3941"/>
      <c r="D79" s="3941"/>
      <c r="E79" s="3941"/>
      <c r="F79" s="42"/>
      <c r="G79" s="42"/>
      <c r="H79" s="1002"/>
      <c r="I79" s="310"/>
      <c r="J79" s="2019"/>
      <c r="K79" s="3935">
        <f>K77+1</f>
        <v>5</v>
      </c>
      <c r="L79" s="3937" t="s">
        <v>2884</v>
      </c>
      <c r="M79" s="3008" t="s">
        <v>421</v>
      </c>
      <c r="N79" s="1297"/>
      <c r="O79" s="1298">
        <f ca="1">N69-O77</f>
        <v>13032</v>
      </c>
      <c r="P79" s="1299"/>
      <c r="Q79" s="2012"/>
      <c r="R79" s="2012"/>
      <c r="S79" s="2012"/>
      <c r="T79" s="2012"/>
      <c r="U79" s="2012"/>
      <c r="V79" s="2012"/>
    </row>
    <row r="80" spans="1:22" ht="25.5">
      <c r="A80" s="3942" t="s">
        <v>428</v>
      </c>
      <c r="B80" s="3943"/>
      <c r="C80" s="993"/>
      <c r="D80" s="993" t="s">
        <v>429</v>
      </c>
      <c r="E80" s="369" t="s">
        <v>430</v>
      </c>
      <c r="F80" s="42"/>
      <c r="G80" s="42"/>
      <c r="H80" s="1002"/>
      <c r="I80" s="310"/>
      <c r="J80" s="2012"/>
      <c r="K80" s="3936"/>
      <c r="L80" s="3937"/>
      <c r="M80" s="3008" t="s">
        <v>425</v>
      </c>
      <c r="N80" s="1297"/>
      <c r="O80" s="1298" t="str">
        <f ca="1">NUMBERSTRING(INT(O79*10000),2)&amp;"元整"</f>
        <v>壹亿叁仟零叁拾贰万元整</v>
      </c>
      <c r="P80" s="1299"/>
      <c r="Q80" s="2012"/>
      <c r="R80" s="2012"/>
      <c r="S80" s="2012"/>
      <c r="T80" s="2012"/>
      <c r="U80" s="2012"/>
      <c r="V80" s="2012"/>
    </row>
    <row r="81" spans="1:26" ht="13.5" thickBot="1">
      <c r="A81" s="380" t="s">
        <v>1823</v>
      </c>
      <c r="B81" s="370" t="s">
        <v>431</v>
      </c>
      <c r="C81" s="371">
        <f ca="1">ROUND((C82+C83)/(1+'数据-取费表'!C42),0)</f>
        <v>20179</v>
      </c>
      <c r="D81" s="372"/>
      <c r="E81" s="373"/>
      <c r="F81" s="42"/>
      <c r="G81" s="42"/>
      <c r="H81" s="1002"/>
      <c r="I81" s="310"/>
      <c r="J81" s="2012"/>
      <c r="K81" s="3002">
        <f>K79+1</f>
        <v>6</v>
      </c>
      <c r="L81" s="3949" t="s">
        <v>2885</v>
      </c>
      <c r="M81" s="3950"/>
      <c r="N81" s="1301"/>
      <c r="O81" s="1302">
        <f ca="1">ROUND(O79*10000/'数据-汇总表'!E3,0)</f>
        <v>797</v>
      </c>
      <c r="P81" s="1303"/>
      <c r="Q81" s="2012"/>
      <c r="R81" s="2012"/>
      <c r="S81" s="2012"/>
      <c r="T81" s="2012"/>
      <c r="U81" s="2012"/>
      <c r="V81" s="2012"/>
    </row>
    <row r="82" spans="1:26" ht="13.5" thickTop="1">
      <c r="A82" s="374" t="s">
        <v>1824</v>
      </c>
      <c r="B82" s="375" t="s">
        <v>432</v>
      </c>
      <c r="C82" s="376">
        <f ca="1">D63</f>
        <v>21188</v>
      </c>
      <c r="D82" s="377" t="s">
        <v>19</v>
      </c>
      <c r="E82" s="378"/>
      <c r="F82" s="42"/>
      <c r="G82" s="42"/>
      <c r="H82" s="1002"/>
      <c r="I82" s="310"/>
      <c r="J82" s="2012"/>
      <c r="K82" s="2012"/>
      <c r="L82" s="2012"/>
      <c r="M82" s="2012"/>
      <c r="N82" s="2012"/>
      <c r="O82" s="2012"/>
      <c r="P82" s="2012"/>
      <c r="Q82" s="2012"/>
      <c r="R82" s="2012"/>
      <c r="S82" s="2012"/>
      <c r="T82" s="2012"/>
      <c r="U82" s="2012"/>
      <c r="V82" s="2012"/>
    </row>
    <row r="83" spans="1:26" ht="12.75">
      <c r="A83" s="374" t="s">
        <v>1825</v>
      </c>
      <c r="B83" s="375" t="s">
        <v>433</v>
      </c>
      <c r="C83" s="379">
        <v>0</v>
      </c>
      <c r="D83" s="377"/>
      <c r="E83" s="378"/>
      <c r="F83" s="42"/>
      <c r="G83" s="42"/>
      <c r="H83" s="1002"/>
      <c r="I83" s="310"/>
      <c r="J83" s="2012"/>
      <c r="K83" s="3924" t="s">
        <v>2873</v>
      </c>
      <c r="L83" s="3014" t="s">
        <v>2874</v>
      </c>
      <c r="M83" s="3004">
        <f ca="1">IF(N69&gt;10000,N69*0.5%,IF(AND(N69&gt;1000,N69&lt;=10000),N69*1%,IF(AND(N69&gt;100,N69&lt;=1000),N69*3%,IF(AND(N69&gt;10,N69&lt;=100),N69*5%,N69*8%))))</f>
        <v>105.94</v>
      </c>
      <c r="N83" s="53">
        <f ca="1">ROUND(M83,1)</f>
        <v>105.9</v>
      </c>
      <c r="O83" s="3007"/>
      <c r="P83" s="2012"/>
      <c r="Q83" s="2012"/>
      <c r="R83" s="2012"/>
      <c r="S83" s="2012"/>
      <c r="T83" s="2012"/>
      <c r="U83" s="2012"/>
      <c r="V83" s="2012"/>
    </row>
    <row r="84" spans="1:26" ht="12.75">
      <c r="A84" s="380" t="s">
        <v>1826</v>
      </c>
      <c r="B84" s="381" t="s">
        <v>434</v>
      </c>
      <c r="C84" s="382">
        <v>2000</v>
      </c>
      <c r="D84" s="383" t="s">
        <v>19</v>
      </c>
      <c r="E84" s="3048" t="s">
        <v>2937</v>
      </c>
      <c r="F84" s="42"/>
      <c r="G84" s="42"/>
      <c r="H84" s="1002"/>
      <c r="I84" s="310"/>
      <c r="J84" s="2012"/>
      <c r="K84" s="3924"/>
      <c r="L84" s="3014" t="s">
        <v>2875</v>
      </c>
      <c r="M84" s="3004">
        <f ca="1">IF(N69&gt;2000,N69*0.5%,IF(AND(N69&gt;1000,N69&lt;=2000),N69*0.6%,IF(AND(N69&gt;500,N69&lt;=1000),N69*0.7%,IF(AND(N69&gt;200,N69&lt;=500),N69*0.8%,IF(AND(N69&gt;100,N69&lt;=200),N69*0.9%,IF(AND(N69&gt;50,N69&lt;=100),N69*1%,IF(AND(N69&gt;20,N69&lt;=50),N69*1.5%,IF(AND(N69&gt;10,N69&lt;=20),N69*2%,IF(AND(N69&gt;1,N69&lt;=10),N69*2.5%)))))))))</f>
        <v>105.94</v>
      </c>
      <c r="N84" s="53">
        <f t="shared" ref="N84:N85" ca="1" si="2">ROUND(M84,1)</f>
        <v>105.9</v>
      </c>
      <c r="O84" s="2012" t="s">
        <v>2876</v>
      </c>
      <c r="P84" s="2012">
        <f ca="1">O79+[3]结果表!$O$79</f>
        <v>21484</v>
      </c>
      <c r="Q84" s="2012"/>
      <c r="R84" s="2012"/>
      <c r="S84" s="2012"/>
      <c r="T84" s="2012"/>
      <c r="U84" s="2012"/>
      <c r="V84" s="2012"/>
    </row>
    <row r="85" spans="1:26" ht="12.75">
      <c r="A85" s="380" t="s">
        <v>1827</v>
      </c>
      <c r="B85" s="381" t="s">
        <v>435</v>
      </c>
      <c r="C85" s="384">
        <f ca="1">C81-C84</f>
        <v>18179</v>
      </c>
      <c r="D85" s="377" t="s">
        <v>19</v>
      </c>
      <c r="E85" s="378"/>
      <c r="F85" s="42"/>
      <c r="G85" s="42"/>
      <c r="H85" s="1002"/>
      <c r="I85" s="310"/>
      <c r="J85" s="2012"/>
      <c r="K85" s="3924"/>
      <c r="L85" s="3014" t="s">
        <v>2877</v>
      </c>
      <c r="M85" s="3004">
        <f ca="1">IF(N69&gt;1000,N69*0.1%,IF(AND(N69&gt;500,N69&lt;=1000),N69*0.5%,IF(AND(N69&gt;50,N69&lt;=500),N69*1%,IF(AND(N69&gt;1,N69&lt;=50),N69*1.5%))))</f>
        <v>21.187999999999999</v>
      </c>
      <c r="N85" s="53">
        <f t="shared" ca="1" si="2"/>
        <v>21.2</v>
      </c>
      <c r="O85" s="2012" t="s">
        <v>2876</v>
      </c>
      <c r="P85" s="2012"/>
      <c r="Q85" s="2012"/>
      <c r="R85" s="2012"/>
      <c r="S85" s="2012"/>
      <c r="T85" s="2012"/>
      <c r="U85" s="2012"/>
      <c r="V85" s="2012"/>
    </row>
    <row r="86" spans="1:26" ht="13.5" thickBot="1">
      <c r="A86" s="385" t="s">
        <v>1828</v>
      </c>
      <c r="B86" s="386" t="s">
        <v>436</v>
      </c>
      <c r="C86" s="387">
        <f ca="1">IF(C85&lt;=0,0,ROUND(C85*D86,0))</f>
        <v>1000</v>
      </c>
      <c r="D86" s="388">
        <f>'数据-取费表'!B41</f>
        <v>5.5000000000000007E-2</v>
      </c>
      <c r="E86" s="389"/>
      <c r="F86" s="42"/>
      <c r="G86" s="42"/>
      <c r="H86" s="1002"/>
      <c r="I86" s="310"/>
      <c r="J86" s="2012"/>
      <c r="K86" s="3924"/>
      <c r="L86" s="3014" t="s">
        <v>2878</v>
      </c>
      <c r="M86" s="3004">
        <f ca="1">N69*0.5%</f>
        <v>105.94</v>
      </c>
      <c r="N86" s="53">
        <f ca="1">IF(M86&gt;0.5,0.5,ROUND(M86,0))</f>
        <v>0.5</v>
      </c>
      <c r="O86" s="2012" t="s">
        <v>2879</v>
      </c>
      <c r="P86" s="2012"/>
      <c r="Q86" s="2012"/>
      <c r="R86" s="2012"/>
      <c r="S86" s="2012"/>
      <c r="T86" s="2012"/>
      <c r="U86" s="2012"/>
      <c r="V86" s="2012"/>
    </row>
    <row r="87" spans="1:26" s="1249" customFormat="1" ht="14.25" customHeight="1">
      <c r="A87" s="1304"/>
      <c r="B87" s="1305"/>
      <c r="C87" s="1306"/>
      <c r="D87" s="1307"/>
      <c r="E87" s="1308"/>
      <c r="F87" s="42"/>
      <c r="G87" s="42"/>
      <c r="H87" s="1002"/>
      <c r="I87" s="310"/>
      <c r="J87" s="2012"/>
      <c r="K87" s="3924"/>
      <c r="L87" s="3014" t="s">
        <v>2880</v>
      </c>
      <c r="M87" s="3004">
        <f ca="1">IF(N69&gt;=10000,(8.25+(N69-10000)*0.01%),IF(AND(N69&gt;=8000,N69&lt;10000),(7.85+(N69-8000)*0.02%),IF(AND(N69&gt;=5000,N69&lt;8000),(6.65+(N69-5000)*0.04%),IF(AND(N69&gt;=2000,N69&lt;5000),(4.25+(PN69-2000)*0.08%),IF(AND(N69&gt;=1000,N69&lt;2000),(2.75+(N69-1000)*0.15%),IF(AND(N69&gt;=100,N69&lt;1000),(0.5+(N69-100)*0.25%),IF(AND(N69&gt;0,N69&lt;100),N69*0.5%)))))))</f>
        <v>9.3688000000000002</v>
      </c>
      <c r="N87" s="53">
        <f ca="1">ROUND(M87*0.9,1)</f>
        <v>8.4</v>
      </c>
      <c r="O87" s="3007"/>
      <c r="P87" s="310"/>
      <c r="Q87" s="2012"/>
      <c r="R87" s="2012"/>
      <c r="S87" s="2012"/>
      <c r="T87" s="2012"/>
      <c r="U87" s="2012"/>
      <c r="V87" s="2012"/>
      <c r="W87" s="291"/>
      <c r="X87" s="291"/>
      <c r="Y87" s="291"/>
      <c r="Z87" s="291"/>
    </row>
    <row r="88" spans="1:26" s="1309" customFormat="1" ht="15" thickBot="1">
      <c r="A88" s="3978" t="s">
        <v>437</v>
      </c>
      <c r="B88" s="3979"/>
      <c r="C88" s="3979"/>
      <c r="D88" s="3979"/>
      <c r="E88" s="3979"/>
      <c r="F88" s="3979"/>
      <c r="G88" s="3979"/>
      <c r="H88" s="3979"/>
      <c r="I88" s="1310"/>
      <c r="J88" s="2020"/>
      <c r="K88" s="3924"/>
      <c r="L88" s="3014" t="s">
        <v>2881</v>
      </c>
      <c r="M88" s="3004">
        <f ca="1">IF(N69&gt;10000,N69*0.5%,IF(AND(N69&gt;5000,N69&lt;=10000),N69*1%,IF(AND(N69&gt;1000,N69&lt;=5000),N69*2%,IF(AND(N69&gt;200,N69&lt;=1000),N69*3%,N69*5%))))</f>
        <v>105.94</v>
      </c>
      <c r="N88" s="53">
        <f ca="1">ROUND(M88,1)</f>
        <v>105.9</v>
      </c>
      <c r="O88" s="3007"/>
      <c r="P88" s="11"/>
      <c r="Q88" s="2017"/>
      <c r="R88" s="2017"/>
      <c r="S88" s="2017"/>
      <c r="T88" s="2017"/>
      <c r="U88" s="2017"/>
      <c r="V88" s="2017"/>
      <c r="W88" s="2021"/>
      <c r="X88" s="2021"/>
      <c r="Y88" s="2021"/>
      <c r="Z88" s="2021"/>
    </row>
    <row r="89" spans="1:26" s="1309" customFormat="1" ht="14.25">
      <c r="A89" s="3942" t="s">
        <v>428</v>
      </c>
      <c r="B89" s="3943"/>
      <c r="C89" s="993"/>
      <c r="D89" s="993" t="s">
        <v>429</v>
      </c>
      <c r="E89" s="390" t="s">
        <v>438</v>
      </c>
      <c r="F89" s="391"/>
      <c r="G89" s="391"/>
      <c r="H89" s="392"/>
      <c r="I89" s="1311"/>
      <c r="J89" s="2022"/>
      <c r="K89" s="3924"/>
      <c r="L89" s="3014" t="s">
        <v>27</v>
      </c>
      <c r="M89" s="3005"/>
      <c r="N89" s="53">
        <f ca="1">ROUND(SUM(N83:N88),0)</f>
        <v>348</v>
      </c>
      <c r="O89" s="3015">
        <f ca="1">N89/N69</f>
        <v>1.642439116481027E-2</v>
      </c>
      <c r="P89" s="2017"/>
      <c r="Q89" s="2017"/>
      <c r="R89" s="2017"/>
      <c r="S89" s="2017"/>
      <c r="T89" s="2017"/>
      <c r="U89" s="2017"/>
      <c r="V89" s="2017"/>
      <c r="W89" s="2021"/>
      <c r="X89" s="2021"/>
      <c r="Y89" s="2021"/>
      <c r="Z89" s="2021"/>
    </row>
    <row r="90" spans="1:26" s="1309" customFormat="1" ht="14.25">
      <c r="A90" s="380" t="s">
        <v>1823</v>
      </c>
      <c r="B90" s="381" t="s">
        <v>439</v>
      </c>
      <c r="C90" s="384">
        <f ca="1">ROUND(D63/(1+'数据-取费表'!C42),0)</f>
        <v>20179</v>
      </c>
      <c r="D90" s="377" t="s">
        <v>19</v>
      </c>
      <c r="E90" s="990"/>
      <c r="F90" s="989"/>
      <c r="G90" s="989"/>
      <c r="H90" s="393"/>
      <c r="I90" s="1311"/>
      <c r="J90" s="2022"/>
      <c r="K90" s="2017"/>
      <c r="L90" s="2017"/>
      <c r="M90" s="2017"/>
      <c r="N90" s="2017"/>
      <c r="O90" s="2017"/>
      <c r="P90" s="2017"/>
      <c r="Q90" s="2017"/>
      <c r="R90" s="2017"/>
      <c r="S90" s="2017"/>
      <c r="T90" s="2017"/>
      <c r="U90" s="2017"/>
      <c r="V90" s="2017"/>
      <c r="W90" s="2021"/>
      <c r="X90" s="2021"/>
      <c r="Y90" s="2021"/>
      <c r="Z90" s="2021"/>
    </row>
    <row r="91" spans="1:26" s="1309" customFormat="1" ht="14.25">
      <c r="A91" s="380" t="s">
        <v>1829</v>
      </c>
      <c r="B91" s="347" t="s">
        <v>440</v>
      </c>
      <c r="C91" s="384">
        <f ca="1">C92+C96</f>
        <v>2662</v>
      </c>
      <c r="D91" s="377" t="s">
        <v>19</v>
      </c>
      <c r="E91" s="990"/>
      <c r="F91" s="989"/>
      <c r="G91" s="989"/>
      <c r="H91" s="393"/>
      <c r="I91" s="1311"/>
      <c r="J91" s="2022"/>
      <c r="K91" s="2017"/>
      <c r="L91" s="2017"/>
      <c r="M91" s="2017"/>
      <c r="N91" s="2017"/>
      <c r="O91" s="2017"/>
      <c r="P91" s="2017"/>
      <c r="Q91" s="2017"/>
      <c r="R91" s="2017"/>
      <c r="S91" s="2017"/>
      <c r="T91" s="2017"/>
      <c r="U91" s="2017"/>
      <c r="V91" s="2017"/>
      <c r="W91" s="2021"/>
      <c r="X91" s="2021"/>
      <c r="Y91" s="2021"/>
      <c r="Z91" s="2021"/>
    </row>
    <row r="92" spans="1:26" s="1309" customFormat="1" ht="24">
      <c r="A92" s="394" t="s">
        <v>1830</v>
      </c>
      <c r="B92" s="375" t="s">
        <v>441</v>
      </c>
      <c r="C92" s="377">
        <f>ROUND(IF(G95="2016年5月1日后购买",C93/(1+'数据-取费表'!C30)+C94+C95,C93+C94+C95),0)</f>
        <v>2561</v>
      </c>
      <c r="D92" s="377" t="s">
        <v>19</v>
      </c>
      <c r="E92" s="990"/>
      <c r="F92" s="989"/>
      <c r="G92" s="989"/>
      <c r="H92" s="393"/>
      <c r="I92" s="1311"/>
      <c r="J92" s="2022"/>
      <c r="K92" s="2017"/>
      <c r="L92" s="2017"/>
      <c r="M92" s="2017"/>
      <c r="N92" s="2017"/>
      <c r="O92" s="2017"/>
      <c r="P92" s="2017"/>
      <c r="Q92" s="2017"/>
      <c r="R92" s="2017"/>
      <c r="S92" s="2017"/>
      <c r="T92" s="2017"/>
      <c r="U92" s="2017"/>
      <c r="V92" s="2017"/>
      <c r="W92" s="2021"/>
      <c r="X92" s="2021"/>
      <c r="Y92" s="2021"/>
      <c r="Z92" s="2021"/>
    </row>
    <row r="93" spans="1:26" s="1309" customFormat="1" ht="14.25">
      <c r="A93" s="394" t="s">
        <v>1831</v>
      </c>
      <c r="B93" s="375" t="s">
        <v>442</v>
      </c>
      <c r="C93" s="395">
        <v>2000</v>
      </c>
      <c r="D93" s="377" t="s">
        <v>19</v>
      </c>
      <c r="E93" s="396" t="s">
        <v>443</v>
      </c>
      <c r="F93" s="397" t="s">
        <v>444</v>
      </c>
      <c r="G93" s="396" t="s">
        <v>445</v>
      </c>
      <c r="H93" s="398">
        <v>5</v>
      </c>
      <c r="I93" s="11"/>
      <c r="J93" s="2017"/>
      <c r="K93" s="2017"/>
      <c r="L93" s="2017"/>
      <c r="M93" s="2017"/>
      <c r="N93" s="2017"/>
      <c r="O93" s="2017"/>
      <c r="P93" s="2017"/>
      <c r="Q93" s="2017"/>
      <c r="R93" s="2017"/>
      <c r="S93" s="2017"/>
      <c r="T93" s="2017"/>
      <c r="U93" s="2017"/>
      <c r="V93" s="2017"/>
      <c r="W93" s="2021"/>
      <c r="X93" s="2021"/>
      <c r="Y93" s="2021"/>
      <c r="Z93" s="2021"/>
    </row>
    <row r="94" spans="1:26" s="1309" customFormat="1" ht="24.75" customHeight="1">
      <c r="A94" s="394" t="s">
        <v>1832</v>
      </c>
      <c r="B94" s="399" t="s">
        <v>446</v>
      </c>
      <c r="C94" s="377">
        <f>IF(F93="购房发票",ROUND(C93*H93*5%,0),0)</f>
        <v>500</v>
      </c>
      <c r="D94" s="400">
        <v>0.05</v>
      </c>
      <c r="E94" s="3975" t="s">
        <v>447</v>
      </c>
      <c r="F94" s="3976"/>
      <c r="G94" s="3976"/>
      <c r="H94" s="3977"/>
      <c r="I94" s="1311"/>
      <c r="J94" s="2022"/>
      <c r="K94" s="2017"/>
      <c r="L94" s="2017"/>
      <c r="M94" s="2017"/>
      <c r="N94" s="2017"/>
      <c r="O94" s="2017"/>
      <c r="P94" s="2017"/>
      <c r="Q94" s="2017"/>
      <c r="R94" s="2017"/>
      <c r="S94" s="2017"/>
      <c r="T94" s="2017"/>
      <c r="U94" s="2017"/>
      <c r="V94" s="2017"/>
      <c r="W94" s="2021"/>
      <c r="X94" s="2021"/>
      <c r="Y94" s="2021"/>
      <c r="Z94" s="2021"/>
    </row>
    <row r="95" spans="1:26" s="1309" customFormat="1" ht="24.75" customHeight="1">
      <c r="A95" s="394" t="s">
        <v>1833</v>
      </c>
      <c r="B95" s="375" t="s">
        <v>448</v>
      </c>
      <c r="C95" s="377">
        <f>ROUND(IF(G95="个人买卖住房",0,IF(G95="2016年5月1日前购买",C93*D95,C93*D95/(1+'数据-取费表'!C42))),0)</f>
        <v>61</v>
      </c>
      <c r="D95" s="401">
        <f>'数据-取费表'!B48+'数据-取费表'!B49</f>
        <v>3.0499999999999999E-2</v>
      </c>
      <c r="E95" s="26" t="s">
        <v>449</v>
      </c>
      <c r="F95" s="402"/>
      <c r="G95" s="403" t="s">
        <v>2429</v>
      </c>
      <c r="H95" s="998" t="str">
        <f>IF(G95="个人买卖住房","免征印花税"," ")</f>
        <v xml:space="preserve"> </v>
      </c>
      <c r="I95" s="1311"/>
      <c r="J95" s="2022"/>
      <c r="K95" s="2017"/>
      <c r="L95" s="2017"/>
      <c r="M95" s="2017"/>
      <c r="N95" s="2017"/>
      <c r="O95" s="2017"/>
      <c r="P95" s="2017"/>
      <c r="Q95" s="2017"/>
      <c r="R95" s="2017"/>
      <c r="S95" s="2017"/>
      <c r="T95" s="2017"/>
      <c r="U95" s="2017"/>
      <c r="V95" s="2017"/>
      <c r="W95" s="2021"/>
      <c r="X95" s="2021"/>
      <c r="Y95" s="2021"/>
      <c r="Z95" s="2021"/>
    </row>
    <row r="96" spans="1:26" s="1309" customFormat="1" ht="24.75" customHeight="1">
      <c r="A96" s="394" t="s">
        <v>1834</v>
      </c>
      <c r="B96" s="375" t="s">
        <v>450</v>
      </c>
      <c r="C96" s="404">
        <f ca="1">ROUND(D63*D96/(1+'数据-取费表'!C42),0)</f>
        <v>101</v>
      </c>
      <c r="D96" s="405">
        <f>'数据-取费表'!B43</f>
        <v>5.000000000000001E-3</v>
      </c>
      <c r="E96" s="3965" t="s">
        <v>2428</v>
      </c>
      <c r="F96" s="3966"/>
      <c r="G96" s="3966"/>
      <c r="H96" s="3967"/>
      <c r="I96" s="1312"/>
      <c r="J96" s="2023"/>
      <c r="K96" s="2017"/>
      <c r="L96" s="2017"/>
      <c r="M96" s="2017"/>
      <c r="N96" s="2017"/>
      <c r="O96" s="2017"/>
      <c r="P96" s="2017"/>
      <c r="Q96" s="2017"/>
      <c r="R96" s="2017"/>
      <c r="S96" s="2017"/>
      <c r="T96" s="2017"/>
      <c r="U96" s="2017"/>
      <c r="V96" s="2017"/>
      <c r="W96" s="2021"/>
      <c r="X96" s="2021"/>
      <c r="Y96" s="2021"/>
      <c r="Z96" s="2021"/>
    </row>
    <row r="97" spans="1:26" s="1309" customFormat="1" ht="14.25">
      <c r="A97" s="1601" t="s">
        <v>1835</v>
      </c>
      <c r="B97" s="381" t="s">
        <v>451</v>
      </c>
      <c r="C97" s="384">
        <f ca="1">C90-C91</f>
        <v>17517</v>
      </c>
      <c r="D97" s="377" t="s">
        <v>19</v>
      </c>
      <c r="E97" s="990"/>
      <c r="F97" s="989"/>
      <c r="G97" s="989"/>
      <c r="H97" s="393"/>
      <c r="I97" s="1311"/>
      <c r="J97" s="2022"/>
      <c r="K97" s="2017"/>
      <c r="L97" s="2017"/>
      <c r="M97" s="2017"/>
      <c r="N97" s="2017"/>
      <c r="O97" s="2017"/>
      <c r="P97" s="2017"/>
      <c r="Q97" s="2017"/>
      <c r="R97" s="2017"/>
      <c r="S97" s="2017"/>
      <c r="T97" s="2017"/>
      <c r="U97" s="2017"/>
      <c r="V97" s="2017"/>
      <c r="W97" s="2021"/>
      <c r="X97" s="2021"/>
      <c r="Y97" s="2021"/>
      <c r="Z97" s="2021"/>
    </row>
    <row r="98" spans="1:26" s="1309" customFormat="1" ht="24">
      <c r="A98" s="1601" t="s">
        <v>1836</v>
      </c>
      <c r="B98" s="381" t="s">
        <v>452</v>
      </c>
      <c r="C98" s="406">
        <f ca="1">IF(C97&lt;=0,0,C97/C91)</f>
        <v>6.5803906836964687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1"/>
      <c r="J98" s="2022"/>
      <c r="K98" s="2017"/>
      <c r="L98" s="2017"/>
      <c r="M98" s="2017"/>
      <c r="N98" s="2017"/>
      <c r="O98" s="2017"/>
      <c r="P98" s="2017"/>
      <c r="Q98" s="2017"/>
      <c r="R98" s="2017"/>
      <c r="S98" s="2017"/>
      <c r="T98" s="2017"/>
      <c r="U98" s="2017"/>
      <c r="V98" s="2017"/>
      <c r="W98" s="2021"/>
      <c r="X98" s="2021"/>
      <c r="Y98" s="2021"/>
      <c r="Z98" s="2021"/>
    </row>
    <row r="99" spans="1:26" s="1309" customFormat="1" ht="24.75" thickBot="1">
      <c r="A99" s="1602" t="s">
        <v>1837</v>
      </c>
      <c r="B99" s="386" t="s">
        <v>453</v>
      </c>
      <c r="C99" s="407">
        <f ca="1">ROUND(IF(C97&lt;=0,0,IF(C98&gt;=200%,C97*60%-C91*35%,IF(C98&gt;=100%,C97*50%-C91*15%,IF(C98&gt;=50%,C97*40%-C91*5%,IF(C98&lt;50%,C97*30%,0))))),0)</f>
        <v>9579</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1"/>
      <c r="J99" s="2022"/>
      <c r="K99" s="2017"/>
      <c r="L99" s="2017"/>
      <c r="M99" s="2017"/>
      <c r="N99" s="2017"/>
      <c r="O99" s="2017"/>
      <c r="P99" s="2017"/>
      <c r="Q99" s="2017"/>
      <c r="R99" s="2017"/>
      <c r="S99" s="2017"/>
      <c r="T99" s="2017"/>
      <c r="U99" s="2017"/>
      <c r="V99" s="2017"/>
      <c r="W99" s="2021"/>
      <c r="X99" s="2021"/>
      <c r="Y99" s="2021"/>
      <c r="Z99" s="2021"/>
    </row>
    <row r="100" spans="1:26" s="1309" customFormat="1" ht="7.5" customHeight="1">
      <c r="A100" s="1313"/>
      <c r="B100" s="1314"/>
      <c r="C100" s="11"/>
      <c r="D100" s="11"/>
      <c r="E100" s="1314"/>
      <c r="F100" s="1314"/>
      <c r="G100" s="1314"/>
      <c r="H100" s="1315"/>
      <c r="I100" s="1312"/>
      <c r="J100" s="2023"/>
      <c r="K100" s="2017"/>
      <c r="L100" s="2017"/>
      <c r="M100" s="2017"/>
      <c r="N100" s="2017"/>
      <c r="O100" s="2017"/>
      <c r="P100" s="2017"/>
      <c r="Q100" s="2017"/>
      <c r="R100" s="2017"/>
      <c r="S100" s="2017"/>
      <c r="T100" s="2017"/>
      <c r="U100" s="2017"/>
      <c r="V100" s="2017"/>
      <c r="W100" s="2021"/>
      <c r="X100" s="2021"/>
      <c r="Y100" s="2021"/>
      <c r="Z100" s="2021"/>
    </row>
    <row r="101" spans="1:26" s="1309" customFormat="1" ht="15" thickBot="1">
      <c r="A101" s="3978" t="s">
        <v>454</v>
      </c>
      <c r="B101" s="3979"/>
      <c r="C101" s="3979"/>
      <c r="D101" s="3979"/>
      <c r="E101" s="3979"/>
      <c r="F101" s="3979"/>
      <c r="G101" s="3979"/>
      <c r="H101" s="3979"/>
      <c r="I101" s="11"/>
      <c r="J101" s="2017"/>
      <c r="K101" s="2017"/>
      <c r="L101" s="2017"/>
      <c r="M101" s="2017"/>
      <c r="N101" s="2017"/>
      <c r="O101" s="2017"/>
      <c r="P101" s="2017"/>
      <c r="Q101" s="2017"/>
      <c r="R101" s="2017"/>
      <c r="S101" s="2017"/>
      <c r="T101" s="2017"/>
      <c r="U101" s="2017"/>
      <c r="V101" s="2017"/>
      <c r="W101" s="2021"/>
      <c r="X101" s="2021"/>
      <c r="Y101" s="2021"/>
      <c r="Z101" s="2021"/>
    </row>
    <row r="102" spans="1:26" s="1309" customFormat="1" ht="14.25">
      <c r="A102" s="3942" t="s">
        <v>428</v>
      </c>
      <c r="B102" s="3943"/>
      <c r="C102" s="993"/>
      <c r="D102" s="993" t="s">
        <v>429</v>
      </c>
      <c r="E102" s="390" t="s">
        <v>438</v>
      </c>
      <c r="F102" s="391"/>
      <c r="G102" s="391"/>
      <c r="H102" s="412"/>
      <c r="I102" s="11"/>
      <c r="J102" s="2017"/>
      <c r="K102" s="2017"/>
      <c r="L102" s="2017"/>
      <c r="M102" s="2017"/>
      <c r="N102" s="2017"/>
      <c r="O102" s="2017"/>
      <c r="P102" s="2017"/>
      <c r="Q102" s="2017"/>
      <c r="R102" s="2017"/>
      <c r="S102" s="2017"/>
      <c r="T102" s="2017"/>
      <c r="U102" s="2017"/>
      <c r="V102" s="2017"/>
      <c r="W102" s="2021"/>
      <c r="X102" s="2021"/>
      <c r="Y102" s="2021"/>
      <c r="Z102" s="2021"/>
    </row>
    <row r="103" spans="1:26" s="1309" customFormat="1" ht="14.25">
      <c r="A103" s="380" t="s">
        <v>1823</v>
      </c>
      <c r="B103" s="381" t="s">
        <v>439</v>
      </c>
      <c r="C103" s="384">
        <f ca="1">ROUND(D63/(1+'数据-取费表'!C42),0)</f>
        <v>20179</v>
      </c>
      <c r="D103" s="377" t="s">
        <v>19</v>
      </c>
      <c r="E103" s="990"/>
      <c r="F103" s="989"/>
      <c r="G103" s="989"/>
      <c r="H103" s="413"/>
      <c r="I103" s="11"/>
      <c r="J103" s="2017"/>
      <c r="K103" s="2017"/>
      <c r="L103" s="2017"/>
      <c r="M103" s="2017"/>
      <c r="N103" s="2017"/>
      <c r="O103" s="2017"/>
      <c r="P103" s="2017"/>
      <c r="Q103" s="2017"/>
      <c r="R103" s="2017"/>
      <c r="S103" s="2017"/>
      <c r="T103" s="2017"/>
      <c r="U103" s="2017"/>
      <c r="V103" s="2017"/>
      <c r="W103" s="2021"/>
      <c r="X103" s="2021"/>
      <c r="Y103" s="2021"/>
      <c r="Z103" s="2021"/>
    </row>
    <row r="104" spans="1:26" s="1309" customFormat="1" ht="14.25">
      <c r="A104" s="380" t="s">
        <v>1829</v>
      </c>
      <c r="B104" s="347" t="s">
        <v>440</v>
      </c>
      <c r="C104" s="384">
        <f ca="1">IF(H106="仅含出让金",C105+C108+C109+C110+C111+C112,C105+C109+C110+C111+C112)</f>
        <v>5339.58</v>
      </c>
      <c r="D104" s="414"/>
      <c r="E104" s="990"/>
      <c r="F104" s="989"/>
      <c r="G104" s="989"/>
      <c r="H104" s="413"/>
      <c r="I104" s="11"/>
      <c r="J104" s="2017"/>
      <c r="K104" s="2017"/>
      <c r="L104" s="2017"/>
      <c r="M104" s="2017"/>
      <c r="N104" s="2017"/>
      <c r="O104" s="2017"/>
      <c r="P104" s="2017"/>
      <c r="Q104" s="2017"/>
      <c r="R104" s="2017"/>
      <c r="S104" s="2017"/>
      <c r="T104" s="2017"/>
      <c r="U104" s="2017"/>
      <c r="V104" s="2017"/>
      <c r="W104" s="2021"/>
      <c r="X104" s="2021"/>
      <c r="Y104" s="2021"/>
      <c r="Z104" s="2021"/>
    </row>
    <row r="105" spans="1:26" s="1309" customFormat="1" ht="14.25">
      <c r="A105" s="394" t="s">
        <v>1830</v>
      </c>
      <c r="B105" s="375" t="s">
        <v>455</v>
      </c>
      <c r="C105" s="404">
        <f>C106+C107</f>
        <v>4707.58</v>
      </c>
      <c r="D105" s="405"/>
      <c r="E105" s="984"/>
      <c r="F105" s="985"/>
      <c r="G105" s="985"/>
      <c r="H105" s="986"/>
      <c r="I105" s="11"/>
      <c r="J105" s="2017"/>
      <c r="K105" s="2017"/>
      <c r="L105" s="2017"/>
      <c r="M105" s="2017"/>
      <c r="N105" s="2017"/>
      <c r="O105" s="2017"/>
      <c r="P105" s="2017"/>
      <c r="Q105" s="2017"/>
      <c r="R105" s="2017"/>
      <c r="S105" s="2017"/>
      <c r="T105" s="2017"/>
      <c r="U105" s="2017"/>
      <c r="V105" s="2017"/>
      <c r="W105" s="2021"/>
      <c r="X105" s="2021"/>
      <c r="Y105" s="2021"/>
      <c r="Z105" s="2021"/>
    </row>
    <row r="106" spans="1:26" s="1309" customFormat="1" ht="14.25">
      <c r="A106" s="394" t="s">
        <v>1831</v>
      </c>
      <c r="B106" s="375" t="s">
        <v>456</v>
      </c>
      <c r="C106" s="415">
        <f>110*27.95+116*12.88</f>
        <v>4568.58</v>
      </c>
      <c r="D106" s="405"/>
      <c r="E106" s="416" t="s">
        <v>457</v>
      </c>
      <c r="F106" s="985"/>
      <c r="G106" s="417" t="s">
        <v>458</v>
      </c>
      <c r="H106" s="418" t="s">
        <v>2439</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9" customFormat="1" ht="14.25">
      <c r="A107" s="394" t="s">
        <v>1832</v>
      </c>
      <c r="B107" s="375" t="s">
        <v>448</v>
      </c>
      <c r="C107" s="404">
        <f>ROUND(C106*D107,0)</f>
        <v>139</v>
      </c>
      <c r="D107" s="405">
        <f>'数据-取费表'!B48+'数据-取费表'!B49</f>
        <v>3.0499999999999999E-2</v>
      </c>
      <c r="E107" s="416" t="s">
        <v>459</v>
      </c>
      <c r="F107" s="985"/>
      <c r="G107" s="985"/>
      <c r="H107" s="986"/>
      <c r="I107" s="11"/>
      <c r="J107" s="2017"/>
      <c r="K107" s="2017"/>
      <c r="L107" s="2017"/>
      <c r="M107" s="2017"/>
      <c r="N107" s="2017"/>
      <c r="O107" s="2017"/>
      <c r="P107" s="2017"/>
      <c r="Q107" s="2017"/>
      <c r="R107" s="2017"/>
      <c r="S107" s="2017"/>
      <c r="T107" s="2017"/>
      <c r="U107" s="2017"/>
      <c r="V107" s="2017"/>
      <c r="W107" s="2021"/>
      <c r="X107" s="2021"/>
      <c r="Y107" s="2021"/>
      <c r="Z107" s="2021"/>
    </row>
    <row r="108" spans="1:26" s="1309" customFormat="1" ht="14.25">
      <c r="A108" s="394" t="s">
        <v>1834</v>
      </c>
      <c r="B108" s="375" t="s">
        <v>460</v>
      </c>
      <c r="C108" s="415"/>
      <c r="D108" s="405"/>
      <c r="E108" s="416" t="str">
        <f>IF(H106="-","土地取得成本中已包含该笔费用"," ")</f>
        <v xml:space="preserve"> </v>
      </c>
      <c r="F108" s="985"/>
      <c r="G108" s="985"/>
      <c r="H108" s="986"/>
      <c r="I108" s="11"/>
      <c r="J108" s="2017"/>
      <c r="K108" s="2017"/>
      <c r="L108" s="2017"/>
      <c r="M108" s="2017"/>
      <c r="N108" s="2017"/>
      <c r="O108" s="2017"/>
      <c r="P108" s="2017"/>
      <c r="Q108" s="2017"/>
      <c r="R108" s="2017"/>
      <c r="S108" s="2017"/>
      <c r="T108" s="2017"/>
      <c r="U108" s="2017"/>
      <c r="V108" s="2017"/>
      <c r="W108" s="2021"/>
      <c r="X108" s="2021"/>
      <c r="Y108" s="2021"/>
      <c r="Z108" s="2021"/>
    </row>
    <row r="109" spans="1:26" s="1309" customFormat="1" ht="24" customHeight="1">
      <c r="A109" s="1603" t="s">
        <v>1838</v>
      </c>
      <c r="B109" s="375" t="s">
        <v>461</v>
      </c>
      <c r="C109" s="404">
        <f>IF(H109="——",IF(F1="现房",'剩余法-现房'!C18,'剩余法-待开发'!C18),I109)</f>
        <v>55</v>
      </c>
      <c r="D109" s="405"/>
      <c r="E109" s="3968" t="s">
        <v>462</v>
      </c>
      <c r="F109" s="3966"/>
      <c r="G109" s="3966"/>
      <c r="H109" s="1925" t="s">
        <v>2279</v>
      </c>
      <c r="I109" s="1926">
        <v>55</v>
      </c>
      <c r="J109" s="2017"/>
      <c r="K109" s="2017"/>
      <c r="L109" s="2017"/>
      <c r="M109" s="2017"/>
      <c r="N109" s="2017"/>
      <c r="O109" s="2017"/>
      <c r="P109" s="2017"/>
      <c r="Q109" s="2017"/>
      <c r="R109" s="2017"/>
      <c r="S109" s="2017"/>
      <c r="T109" s="2017"/>
      <c r="U109" s="2017"/>
      <c r="V109" s="2017"/>
      <c r="W109" s="2021"/>
      <c r="X109" s="2021"/>
      <c r="Y109" s="2021"/>
      <c r="Z109" s="2021"/>
    </row>
    <row r="110" spans="1:26" s="1309" customFormat="1" ht="25.5" customHeight="1">
      <c r="A110" s="1603" t="s">
        <v>1839</v>
      </c>
      <c r="B110" s="375" t="s">
        <v>463</v>
      </c>
      <c r="C110" s="404">
        <f>ROUND((C105+C108+C109)*D110,0)</f>
        <v>476</v>
      </c>
      <c r="D110" s="405">
        <v>0.1</v>
      </c>
      <c r="E110" s="3968" t="s">
        <v>464</v>
      </c>
      <c r="F110" s="3966"/>
      <c r="G110" s="3966"/>
      <c r="H110" s="3967"/>
      <c r="I110" s="11"/>
      <c r="J110" s="2017"/>
      <c r="K110" s="2017"/>
      <c r="L110" s="2017"/>
      <c r="M110" s="2017"/>
      <c r="N110" s="2017"/>
      <c r="O110" s="2017"/>
      <c r="P110" s="2017"/>
      <c r="Q110" s="2017"/>
      <c r="R110" s="2017"/>
      <c r="S110" s="2017"/>
      <c r="T110" s="2017"/>
      <c r="U110" s="2017"/>
      <c r="V110" s="2017"/>
      <c r="W110" s="2021"/>
      <c r="X110" s="2021"/>
      <c r="Y110" s="2021"/>
      <c r="Z110" s="2021"/>
    </row>
    <row r="111" spans="1:26" s="1309" customFormat="1" ht="25.5" customHeight="1">
      <c r="A111" s="1603" t="s">
        <v>1840</v>
      </c>
      <c r="B111" s="375" t="s">
        <v>450</v>
      </c>
      <c r="C111" s="404">
        <f ca="1">ROUND(D63*D111/(1+'数据-取费表'!C42),0)</f>
        <v>101</v>
      </c>
      <c r="D111" s="405">
        <f>'数据-取费表'!B43</f>
        <v>5.000000000000001E-3</v>
      </c>
      <c r="E111" s="3965" t="s">
        <v>2428</v>
      </c>
      <c r="F111" s="3966"/>
      <c r="G111" s="3966"/>
      <c r="H111" s="3967"/>
      <c r="I111" s="11"/>
      <c r="J111" s="2017"/>
      <c r="K111" s="2017"/>
      <c r="L111" s="2017"/>
      <c r="M111" s="2017"/>
      <c r="N111" s="2017"/>
      <c r="O111" s="2017"/>
      <c r="P111" s="2017"/>
      <c r="Q111" s="2017"/>
      <c r="R111" s="2017"/>
      <c r="S111" s="2017"/>
      <c r="T111" s="2017"/>
      <c r="U111" s="2017"/>
      <c r="V111" s="2017"/>
      <c r="W111" s="2021"/>
      <c r="X111" s="2021"/>
      <c r="Y111" s="2021"/>
      <c r="Z111" s="2021"/>
    </row>
    <row r="112" spans="1:26" s="1309" customFormat="1" ht="25.5" customHeight="1">
      <c r="A112" s="1603" t="s">
        <v>1841</v>
      </c>
      <c r="B112" s="375" t="s">
        <v>465</v>
      </c>
      <c r="C112" s="404">
        <f>ROUND(C108*D112,0)</f>
        <v>0</v>
      </c>
      <c r="D112" s="405">
        <v>0.2</v>
      </c>
      <c r="E112" s="3968" t="s">
        <v>2453</v>
      </c>
      <c r="F112" s="3966"/>
      <c r="G112" s="3966"/>
      <c r="H112" s="3967"/>
      <c r="I112" s="11"/>
      <c r="J112" s="2017"/>
      <c r="K112" s="2017"/>
      <c r="L112" s="2017"/>
      <c r="M112" s="2017"/>
      <c r="N112" s="2017"/>
      <c r="O112" s="2017"/>
      <c r="P112" s="2017"/>
      <c r="Q112" s="2017"/>
      <c r="R112" s="2017"/>
      <c r="S112" s="2017"/>
      <c r="T112" s="2017"/>
      <c r="U112" s="2017"/>
      <c r="V112" s="2017"/>
      <c r="W112" s="2021"/>
      <c r="X112" s="2021"/>
      <c r="Y112" s="2021"/>
      <c r="Z112" s="2021"/>
    </row>
    <row r="113" spans="1:26" s="1309" customFormat="1" ht="14.25">
      <c r="A113" s="1601" t="s">
        <v>1835</v>
      </c>
      <c r="B113" s="381" t="s">
        <v>451</v>
      </c>
      <c r="C113" s="384">
        <f ca="1">ROUND(C103-C104,0)</f>
        <v>14839</v>
      </c>
      <c r="D113" s="377" t="s">
        <v>19</v>
      </c>
      <c r="E113" s="990"/>
      <c r="F113" s="989"/>
      <c r="G113" s="989"/>
      <c r="H113" s="413"/>
      <c r="I113" s="11"/>
      <c r="J113" s="2017"/>
      <c r="K113" s="2017"/>
      <c r="L113" s="2017"/>
      <c r="M113" s="2017"/>
      <c r="N113" s="2017"/>
      <c r="O113" s="2017"/>
      <c r="P113" s="2017"/>
      <c r="Q113" s="2017"/>
      <c r="R113" s="2017"/>
      <c r="S113" s="2017"/>
      <c r="T113" s="2017"/>
      <c r="U113" s="2017"/>
      <c r="V113" s="2017"/>
      <c r="W113" s="2021"/>
      <c r="X113" s="2021"/>
      <c r="Y113" s="2021"/>
      <c r="Z113" s="2021"/>
    </row>
    <row r="114" spans="1:26" s="1309" customFormat="1" ht="24">
      <c r="A114" s="1601" t="s">
        <v>1836</v>
      </c>
      <c r="B114" s="381" t="s">
        <v>452</v>
      </c>
      <c r="C114" s="406">
        <f ca="1">IF(C113&lt;=0,0,C113/C104)</f>
        <v>2.7790575288693118</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17"/>
      <c r="K114" s="2017"/>
      <c r="L114" s="2017"/>
      <c r="M114" s="2017"/>
      <c r="N114" s="2017"/>
      <c r="O114" s="2017"/>
      <c r="P114" s="2017"/>
      <c r="Q114" s="2017"/>
      <c r="R114" s="2017"/>
      <c r="S114" s="2017"/>
      <c r="T114" s="2017"/>
      <c r="U114" s="2017"/>
      <c r="V114" s="2017"/>
      <c r="W114" s="2021"/>
      <c r="X114" s="2021"/>
      <c r="Y114" s="2021"/>
      <c r="Z114" s="2021"/>
    </row>
    <row r="115" spans="1:26" s="1309" customFormat="1" ht="24.75" thickBot="1">
      <c r="A115" s="1602" t="s">
        <v>1837</v>
      </c>
      <c r="B115" s="386" t="s">
        <v>453</v>
      </c>
      <c r="C115" s="407">
        <f ca="1">ROUND(IF(C113&lt;=0,0,IF(C114&gt;=200%,C113*60%-C104*35%,IF(C114&gt;=100%,C113*50%-C104*15%,IF(C114&gt;=50%,C113*40%-C104*5%,IF(C114&lt;50%,C113*30%,0))))),0)</f>
        <v>7035</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6" customFormat="1" ht="21.75" customHeight="1">
      <c r="K185" s="2025"/>
      <c r="L185" s="2025"/>
      <c r="M185" s="2025"/>
      <c r="N185" s="2025"/>
      <c r="O185" s="202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E7" sqref="E7:F7"/>
    </sheetView>
  </sheetViews>
  <sheetFormatPr defaultColWidth="9" defaultRowHeight="14.25"/>
  <cols>
    <col min="1" max="1" width="15.625" style="1332" customWidth="1"/>
    <col min="2" max="2" width="15.75" style="1332" customWidth="1"/>
    <col min="3" max="3" width="22.7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1" t="s">
        <v>516</v>
      </c>
      <c r="B1" s="502"/>
      <c r="C1" s="503" t="s">
        <v>517</v>
      </c>
      <c r="D1" s="504" t="s">
        <v>518</v>
      </c>
      <c r="E1" s="505"/>
      <c r="F1" s="427"/>
      <c r="G1" s="505"/>
      <c r="H1" s="505"/>
      <c r="I1" s="505"/>
      <c r="J1" s="505"/>
      <c r="K1" s="506"/>
      <c r="L1" s="1547"/>
      <c r="M1" s="1548"/>
      <c r="N1" s="1548"/>
      <c r="O1" s="1548"/>
      <c r="P1" s="1549"/>
      <c r="Q1" s="1549"/>
      <c r="R1" s="1549"/>
      <c r="S1" s="1549"/>
      <c r="T1" s="1549"/>
      <c r="U1" s="1549"/>
      <c r="V1" s="1549"/>
      <c r="W1" s="1549"/>
      <c r="X1" s="1549"/>
      <c r="Y1" s="1549"/>
      <c r="Z1" s="1549"/>
      <c r="AA1" s="1549"/>
      <c r="AB1" s="1549"/>
      <c r="AC1" s="1550"/>
      <c r="AD1" s="1330"/>
    </row>
    <row r="2" spans="1:30" s="1331" customFormat="1" ht="28.5" customHeight="1">
      <c r="A2" s="422" t="s">
        <v>467</v>
      </c>
      <c r="B2" s="507">
        <f>F68</f>
        <v>17200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30"/>
    </row>
    <row r="3" spans="1:30" s="1331" customFormat="1" ht="28.5" customHeight="1">
      <c r="A3" s="1374" t="s">
        <v>1684</v>
      </c>
      <c r="B3" s="509">
        <f>ROUND(B2*10000/'数据-汇总表'!E3,0)</f>
        <v>1052</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7"/>
    </row>
    <row r="4" spans="1:30" s="1331" customFormat="1" ht="28.5" customHeight="1">
      <c r="A4" s="510" t="s">
        <v>520</v>
      </c>
      <c r="B4" s="426">
        <f>IF(B48="单位面积地价",C50,ROUND(B2*10000/'数据-汇总表'!D3,0))</f>
        <v>6319</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7"/>
    </row>
    <row r="5" spans="1:30" s="1331" customFormat="1" ht="28.5" customHeight="1" thickBot="1">
      <c r="A5" s="428"/>
      <c r="B5" s="429">
        <f>ROUND(B2/('数据-汇总表'!D3/666.67),0)</f>
        <v>421</v>
      </c>
      <c r="C5" s="430"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7"/>
    </row>
    <row r="6" spans="1:30" ht="20.25">
      <c r="A6" s="511" t="s">
        <v>521</v>
      </c>
      <c r="B6" s="512"/>
      <c r="C6" s="4023" t="s">
        <v>522</v>
      </c>
      <c r="D6" s="4024"/>
      <c r="E6" s="4023" t="s">
        <v>523</v>
      </c>
      <c r="F6" s="4024"/>
      <c r="G6" s="4023" t="s">
        <v>524</v>
      </c>
      <c r="H6" s="4024"/>
      <c r="I6" s="4023" t="s">
        <v>525</v>
      </c>
      <c r="J6" s="4024"/>
      <c r="K6" s="513" t="s">
        <v>526</v>
      </c>
      <c r="L6" s="2117"/>
      <c r="M6" s="2116"/>
      <c r="N6" s="2116"/>
      <c r="O6" s="2118"/>
      <c r="P6" s="4025" t="s">
        <v>527</v>
      </c>
      <c r="Q6" s="4026"/>
      <c r="R6" s="4011" t="s">
        <v>523</v>
      </c>
      <c r="S6" s="4012"/>
      <c r="T6" s="4011" t="s">
        <v>524</v>
      </c>
      <c r="U6" s="4012"/>
      <c r="V6" s="4031" t="s">
        <v>525</v>
      </c>
      <c r="W6" s="4031"/>
      <c r="X6" s="1552"/>
      <c r="Y6" s="4011" t="s">
        <v>527</v>
      </c>
      <c r="Z6" s="4012"/>
      <c r="AA6" s="4006" t="s">
        <v>523</v>
      </c>
      <c r="AB6" s="4007" t="s">
        <v>524</v>
      </c>
      <c r="AC6" s="4006" t="s">
        <v>525</v>
      </c>
    </row>
    <row r="7" spans="1:30" ht="39" customHeight="1">
      <c r="A7" s="514"/>
      <c r="B7" s="515"/>
      <c r="C7" s="4034" t="s">
        <v>2926</v>
      </c>
      <c r="D7" s="4035"/>
      <c r="E7" s="4034" t="str">
        <f>Sheet2!A2</f>
        <v>工业园区南区G9-02/01(规划编号E-53-02)地块</v>
      </c>
      <c r="F7" s="4035"/>
      <c r="G7" s="4034" t="str">
        <f>Sheet2!A8</f>
        <v>组团江北新城分区D6-6号地块</v>
      </c>
      <c r="H7" s="4035"/>
      <c r="I7" s="4034" t="str">
        <f>Sheet2!A16</f>
        <v>江北新城组团两桥片区分区B-92-01/01地块</v>
      </c>
      <c r="J7" s="4035"/>
      <c r="K7" s="513"/>
      <c r="L7" s="2117"/>
      <c r="M7" s="2116"/>
      <c r="N7" s="2116"/>
      <c r="O7" s="2118"/>
      <c r="P7" s="4027"/>
      <c r="Q7" s="4028"/>
      <c r="R7" s="4013"/>
      <c r="S7" s="4014"/>
      <c r="T7" s="4013"/>
      <c r="U7" s="4014"/>
      <c r="V7" s="4031"/>
      <c r="W7" s="4031"/>
      <c r="X7" s="1552"/>
      <c r="Y7" s="4013"/>
      <c r="Z7" s="4014"/>
      <c r="AA7" s="4007"/>
      <c r="AB7" s="4007"/>
      <c r="AC7" s="4007"/>
    </row>
    <row r="8" spans="1:30" ht="21" thickBot="1">
      <c r="A8" s="514"/>
      <c r="B8" s="515"/>
      <c r="C8" s="4036" t="s">
        <v>2930</v>
      </c>
      <c r="D8" s="4037"/>
      <c r="E8" s="4036" t="s">
        <v>2930</v>
      </c>
      <c r="F8" s="4037"/>
      <c r="G8" s="4032" t="s">
        <v>2930</v>
      </c>
      <c r="H8" s="4033"/>
      <c r="I8" s="4032" t="s">
        <v>2930</v>
      </c>
      <c r="J8" s="4033"/>
      <c r="K8" s="513" t="s">
        <v>528</v>
      </c>
      <c r="L8" s="2117"/>
      <c r="M8" s="2116"/>
      <c r="N8" s="2116"/>
      <c r="O8" s="2118"/>
      <c r="P8" s="4029"/>
      <c r="Q8" s="4030"/>
      <c r="R8" s="4013"/>
      <c r="S8" s="4014"/>
      <c r="T8" s="4015"/>
      <c r="U8" s="4016"/>
      <c r="V8" s="4031"/>
      <c r="W8" s="4031"/>
      <c r="X8" s="1552"/>
      <c r="Y8" s="4015"/>
      <c r="Z8" s="4016"/>
      <c r="AA8" s="4008"/>
      <c r="AB8" s="4008"/>
      <c r="AC8" s="4008"/>
    </row>
    <row r="9" spans="1:30" s="1215" customFormat="1" ht="21" thickBot="1">
      <c r="A9" s="2865"/>
      <c r="B9" s="2872" t="s">
        <v>529</v>
      </c>
      <c r="C9" s="2864">
        <f>'数据-取费表'!B2</f>
        <v>43647</v>
      </c>
      <c r="D9" s="519">
        <v>100</v>
      </c>
      <c r="E9" s="520" t="str">
        <f>Sheet2!H2</f>
        <v>2019-06-25</v>
      </c>
      <c r="F9" s="521">
        <f>SUMIF(72:72,YEAR(E9)&amp;"-"&amp;INT((MONTH(E9)+2)/3),73:73)</f>
        <v>99</v>
      </c>
      <c r="G9" s="522" t="str">
        <f>Sheet2!H8</f>
        <v>2019-02-20</v>
      </c>
      <c r="H9" s="519">
        <f>SUMIF(72:72,YEAR(G9)&amp;"-"&amp;INT((MONTH(G9)+2)/3),73:73)</f>
        <v>98</v>
      </c>
      <c r="I9" s="522" t="str">
        <f>Sheet2!H16</f>
        <v>2018-11-20</v>
      </c>
      <c r="J9" s="519">
        <f>SUMIF(72:72,YEAR(I9)&amp;"-"&amp;INT((MONTH(I9)+2)/3),73:73)</f>
        <v>97</v>
      </c>
      <c r="K9" s="523"/>
      <c r="L9" s="2119"/>
      <c r="M9" s="2116"/>
      <c r="N9" s="2116"/>
      <c r="O9" s="2120"/>
      <c r="P9" s="4009" t="s">
        <v>530</v>
      </c>
      <c r="Q9" s="4018"/>
      <c r="R9" s="1553" t="s">
        <v>8</v>
      </c>
      <c r="S9" s="1554">
        <f t="shared" ref="S9:S17" si="0">F9</f>
        <v>99</v>
      </c>
      <c r="T9" s="1553" t="s">
        <v>8</v>
      </c>
      <c r="U9" s="1554">
        <f t="shared" ref="U9:U17" si="1">H9</f>
        <v>98</v>
      </c>
      <c r="V9" s="1553" t="s">
        <v>8</v>
      </c>
      <c r="W9" s="1554">
        <f t="shared" ref="W9:W17" si="2">J9</f>
        <v>97</v>
      </c>
      <c r="X9" s="1555"/>
      <c r="Y9" s="4009" t="s">
        <v>530</v>
      </c>
      <c r="Z9" s="4010"/>
      <c r="AA9" s="1556">
        <f>D9/F9</f>
        <v>1.0101010101010102</v>
      </c>
      <c r="AB9" s="1556">
        <f>D9/H9</f>
        <v>1.0204081632653061</v>
      </c>
      <c r="AC9" s="1556">
        <f>D9/J9</f>
        <v>1.0309278350515463</v>
      </c>
    </row>
    <row r="10" spans="1:30" s="1215" customFormat="1" ht="21" thickBot="1">
      <c r="A10" s="2866"/>
      <c r="B10" s="2873" t="s">
        <v>531</v>
      </c>
      <c r="C10" s="855" t="s">
        <v>532</v>
      </c>
      <c r="D10" s="519">
        <v>100</v>
      </c>
      <c r="E10" s="524" t="s">
        <v>3012</v>
      </c>
      <c r="F10" s="521">
        <f>SUMIF(75:75,E10,76:76)-SUMIF(75:75,C10,76:76)+100</f>
        <v>100</v>
      </c>
      <c r="G10" s="524" t="s">
        <v>3012</v>
      </c>
      <c r="H10" s="519">
        <f>SUMIF(75:75,G10,76:76)-SUMIF(75:75,C10,76:76)+100</f>
        <v>100</v>
      </c>
      <c r="I10" s="524" t="s">
        <v>3012</v>
      </c>
      <c r="J10" s="519">
        <f>SUMIF(75:75,I10,76:76)-SUMIF(75:75,C10,76:76)+100</f>
        <v>100</v>
      </c>
      <c r="K10" s="523"/>
      <c r="L10" s="2119"/>
      <c r="M10" s="2116"/>
      <c r="N10" s="2116"/>
      <c r="O10" s="2120"/>
      <c r="P10" s="4009" t="s">
        <v>533</v>
      </c>
      <c r="Q10" s="4010"/>
      <c r="R10" s="1553" t="s">
        <v>8</v>
      </c>
      <c r="S10" s="1554">
        <f t="shared" si="0"/>
        <v>100</v>
      </c>
      <c r="T10" s="1553" t="s">
        <v>8</v>
      </c>
      <c r="U10" s="1554">
        <f t="shared" si="1"/>
        <v>100</v>
      </c>
      <c r="V10" s="1553" t="s">
        <v>8</v>
      </c>
      <c r="W10" s="1554">
        <f t="shared" si="2"/>
        <v>100</v>
      </c>
      <c r="X10" s="1555"/>
      <c r="Y10" s="4009" t="s">
        <v>533</v>
      </c>
      <c r="Z10" s="4010"/>
      <c r="AA10" s="1556">
        <f t="shared" ref="AA10:AA47" si="3">D10/F10</f>
        <v>1</v>
      </c>
      <c r="AB10" s="1556">
        <f t="shared" ref="AB10:AB47" si="4">D10/H10</f>
        <v>1</v>
      </c>
      <c r="AC10" s="1556">
        <f t="shared" ref="AC10:AC47" si="5">D10/J10</f>
        <v>1</v>
      </c>
    </row>
    <row r="11" spans="1:30" s="1215" customFormat="1" ht="20.25">
      <c r="A11" s="2867"/>
      <c r="B11" s="2874" t="s">
        <v>2755</v>
      </c>
      <c r="C11" s="3322" t="s">
        <v>923</v>
      </c>
      <c r="D11" s="253">
        <v>100</v>
      </c>
      <c r="E11" s="525" t="s">
        <v>923</v>
      </c>
      <c r="F11" s="253">
        <f>SUMIF(77:77,E11,78:78)-SUMIF(77:77,C11,78:78)+100</f>
        <v>100</v>
      </c>
      <c r="G11" s="525" t="s">
        <v>923</v>
      </c>
      <c r="H11" s="253">
        <f>SUMIF(77:77,G11,78:78)-SUMIF(77:77,C11,78:78)+100</f>
        <v>100</v>
      </c>
      <c r="I11" s="525" t="s">
        <v>923</v>
      </c>
      <c r="J11" s="253">
        <f>SUMIF(77:77,I11,78:78)-SUMIF(77:77,C11,78:78)+100</f>
        <v>100</v>
      </c>
      <c r="K11" s="523"/>
      <c r="L11" s="2119"/>
      <c r="M11" s="2116"/>
      <c r="N11" s="2116"/>
      <c r="O11" s="2121"/>
      <c r="P11" s="4017" t="s">
        <v>535</v>
      </c>
      <c r="Q11" s="1146" t="str">
        <f t="shared" ref="Q11:Q17" si="6">B11</f>
        <v>用途</v>
      </c>
      <c r="R11" s="1553" t="s">
        <v>8</v>
      </c>
      <c r="S11" s="1554">
        <f t="shared" si="0"/>
        <v>100</v>
      </c>
      <c r="T11" s="1553" t="s">
        <v>8</v>
      </c>
      <c r="U11" s="1554">
        <f t="shared" si="1"/>
        <v>100</v>
      </c>
      <c r="V11" s="1553" t="s">
        <v>8</v>
      </c>
      <c r="W11" s="1554">
        <f t="shared" si="2"/>
        <v>100</v>
      </c>
      <c r="X11" s="1555"/>
      <c r="Y11" s="3974" t="s">
        <v>536</v>
      </c>
      <c r="Z11" s="1145" t="str">
        <f t="shared" ref="Z11:Z17" si="7">Q11</f>
        <v>用途</v>
      </c>
      <c r="AA11" s="1556">
        <f t="shared" si="3"/>
        <v>1</v>
      </c>
      <c r="AB11" s="1556">
        <f t="shared" si="4"/>
        <v>1</v>
      </c>
      <c r="AC11" s="1556">
        <f t="shared" si="5"/>
        <v>1</v>
      </c>
    </row>
    <row r="12" spans="1:30" s="1333" customFormat="1" ht="27">
      <c r="A12" s="2868"/>
      <c r="B12" s="2873" t="s">
        <v>2756</v>
      </c>
      <c r="C12" s="909"/>
      <c r="D12" s="254">
        <v>100</v>
      </c>
      <c r="E12" s="528"/>
      <c r="F12" s="254">
        <f>ROUND(100/'数据-取费表'!G16,0)</f>
        <v>104</v>
      </c>
      <c r="G12" s="529"/>
      <c r="H12" s="254">
        <f>ROUND(100/'数据-取费表'!G16,0)</f>
        <v>104</v>
      </c>
      <c r="I12" s="529"/>
      <c r="J12" s="254">
        <f>ROUND(100/'数据-取费表'!G16,0)</f>
        <v>104</v>
      </c>
      <c r="K12" s="530"/>
      <c r="L12" s="2122"/>
      <c r="M12" s="2116"/>
      <c r="N12" s="2116"/>
      <c r="O12" s="2123"/>
      <c r="P12" s="4017"/>
      <c r="Q12" s="1146" t="str">
        <f t="shared" si="6"/>
        <v>土地使用年限（年）</v>
      </c>
      <c r="R12" s="1553" t="s">
        <v>8</v>
      </c>
      <c r="S12" s="1554">
        <f t="shared" si="0"/>
        <v>104</v>
      </c>
      <c r="T12" s="1553" t="s">
        <v>8</v>
      </c>
      <c r="U12" s="1554">
        <f t="shared" si="1"/>
        <v>104</v>
      </c>
      <c r="V12" s="1553" t="s">
        <v>8</v>
      </c>
      <c r="W12" s="1554">
        <f t="shared" si="2"/>
        <v>104</v>
      </c>
      <c r="X12" s="1555"/>
      <c r="Y12" s="3974"/>
      <c r="Z12" s="1145" t="str">
        <f t="shared" si="7"/>
        <v>土地使用年限（年）</v>
      </c>
      <c r="AA12" s="1556">
        <f t="shared" si="3"/>
        <v>0.96153846153846156</v>
      </c>
      <c r="AB12" s="1556">
        <f t="shared" si="4"/>
        <v>0.96153846153846156</v>
      </c>
      <c r="AC12" s="1556">
        <f t="shared" si="5"/>
        <v>0.96153846153846156</v>
      </c>
    </row>
    <row r="13" spans="1:30" ht="20.25">
      <c r="A13" s="2869"/>
      <c r="B13" s="2873" t="s">
        <v>2757</v>
      </c>
      <c r="C13" s="3314">
        <f>'数据-汇总表'!I7</f>
        <v>4.8</v>
      </c>
      <c r="D13" s="254">
        <v>100</v>
      </c>
      <c r="E13" s="532">
        <v>1.5</v>
      </c>
      <c r="F13" s="254">
        <f>LOOKUP(E13,82:82,83:83)-LOOKUP(C13,82:82,83:83)+100</f>
        <v>109</v>
      </c>
      <c r="G13" s="533">
        <v>2.5</v>
      </c>
      <c r="H13" s="254">
        <f>LOOKUP(G13,82:82,83:83)-LOOKUP(C13,82:82,83:83)+100</f>
        <v>106</v>
      </c>
      <c r="I13" s="532">
        <v>2</v>
      </c>
      <c r="J13" s="254">
        <f>LOOKUP(I13,82:82,83:83)-LOOKUP(C13,82:82,83:83)+100</f>
        <v>106</v>
      </c>
      <c r="K13" s="534">
        <v>3</v>
      </c>
      <c r="L13" s="2124"/>
      <c r="M13" s="2116"/>
      <c r="N13" s="2116"/>
      <c r="O13" s="2125"/>
      <c r="P13" s="4017"/>
      <c r="Q13" s="1146" t="str">
        <f t="shared" si="6"/>
        <v>容积率</v>
      </c>
      <c r="R13" s="1553" t="s">
        <v>8</v>
      </c>
      <c r="S13" s="1554">
        <f t="shared" si="0"/>
        <v>109</v>
      </c>
      <c r="T13" s="1553" t="s">
        <v>8</v>
      </c>
      <c r="U13" s="1554">
        <f t="shared" si="1"/>
        <v>106</v>
      </c>
      <c r="V13" s="1553" t="s">
        <v>8</v>
      </c>
      <c r="W13" s="1554">
        <f t="shared" si="2"/>
        <v>106</v>
      </c>
      <c r="X13" s="1555"/>
      <c r="Y13" s="3974"/>
      <c r="Z13" s="1145" t="str">
        <f t="shared" si="7"/>
        <v>容积率</v>
      </c>
      <c r="AA13" s="1556">
        <f t="shared" si="3"/>
        <v>0.91743119266055051</v>
      </c>
      <c r="AB13" s="1556">
        <f t="shared" si="4"/>
        <v>0.94339622641509435</v>
      </c>
      <c r="AC13" s="1556">
        <f t="shared" si="5"/>
        <v>0.94339622641509435</v>
      </c>
    </row>
    <row r="14" spans="1:30" s="1215" customFormat="1" ht="20.25">
      <c r="A14" s="2866"/>
      <c r="B14" s="2875" t="s">
        <v>2758</v>
      </c>
      <c r="C14" s="2862"/>
      <c r="D14" s="537">
        <v>100</v>
      </c>
      <c r="E14" s="2862"/>
      <c r="F14" s="254">
        <f>SUMIF(84:84,E14,85:85)-SUMIF(84:84,C14,85:85)+100</f>
        <v>100</v>
      </c>
      <c r="G14" s="2862"/>
      <c r="H14" s="254">
        <f>SUMIF(84:84,G14,85:85)-SUMIF(84:84,C14,85:85)+100</f>
        <v>100</v>
      </c>
      <c r="I14" s="2862"/>
      <c r="J14" s="254">
        <f>SUMIF(84:84,I14,85:85)-SUMIF(84:84,C14,85:85)+100</f>
        <v>100</v>
      </c>
      <c r="K14" s="530"/>
      <c r="L14" s="2119"/>
      <c r="M14" s="2116"/>
      <c r="N14" s="2116"/>
      <c r="O14" s="2121"/>
      <c r="P14" s="4017"/>
      <c r="Q14" s="1146" t="str">
        <f t="shared" si="6"/>
        <v>配建</v>
      </c>
      <c r="R14" s="1553" t="s">
        <v>8</v>
      </c>
      <c r="S14" s="1554">
        <f t="shared" si="0"/>
        <v>100</v>
      </c>
      <c r="T14" s="1553" t="s">
        <v>8</v>
      </c>
      <c r="U14" s="1554">
        <f t="shared" si="1"/>
        <v>100</v>
      </c>
      <c r="V14" s="1553" t="s">
        <v>8</v>
      </c>
      <c r="W14" s="1554">
        <f t="shared" si="2"/>
        <v>100</v>
      </c>
      <c r="X14" s="1555"/>
      <c r="Y14" s="3974"/>
      <c r="Z14" s="1145" t="str">
        <f t="shared" si="7"/>
        <v>配建</v>
      </c>
      <c r="AA14" s="1556">
        <f>D14/F14</f>
        <v>1</v>
      </c>
      <c r="AB14" s="1556">
        <f>D14/H14</f>
        <v>1</v>
      </c>
      <c r="AC14" s="1556">
        <f>D14/J14</f>
        <v>1</v>
      </c>
    </row>
    <row r="15" spans="1:30" ht="20.25">
      <c r="A15" s="2870"/>
      <c r="B15" s="2876">
        <v>111</v>
      </c>
      <c r="C15" s="911"/>
      <c r="D15" s="539">
        <v>100</v>
      </c>
      <c r="E15" s="540"/>
      <c r="F15" s="254">
        <f>SUMIF(86:86,E15,87:87)-SUMIF(86:86,C15,87:87)+100</f>
        <v>100</v>
      </c>
      <c r="G15" s="541"/>
      <c r="H15" s="539">
        <f>SUMIF(86:86,G15,87:87)-SUMIF(86:86,C15,87:87)+100</f>
        <v>100</v>
      </c>
      <c r="I15" s="541"/>
      <c r="J15" s="539">
        <f>SUMIF(86:86,I15,87:87)-SUMIF(86:86,C15,87:87)+100</f>
        <v>100</v>
      </c>
      <c r="K15" s="530"/>
      <c r="L15" s="2126"/>
      <c r="M15" s="2116"/>
      <c r="N15" s="2116"/>
      <c r="O15" s="2125"/>
      <c r="P15" s="4017"/>
      <c r="Q15" s="1146">
        <f t="shared" si="6"/>
        <v>111</v>
      </c>
      <c r="R15" s="1553" t="s">
        <v>8</v>
      </c>
      <c r="S15" s="1554">
        <f t="shared" si="0"/>
        <v>100</v>
      </c>
      <c r="T15" s="1553" t="s">
        <v>8</v>
      </c>
      <c r="U15" s="1554">
        <f t="shared" si="1"/>
        <v>100</v>
      </c>
      <c r="V15" s="1553" t="s">
        <v>8</v>
      </c>
      <c r="W15" s="1554">
        <f t="shared" si="2"/>
        <v>100</v>
      </c>
      <c r="X15" s="1555"/>
      <c r="Y15" s="3974"/>
      <c r="Z15" s="1145">
        <f t="shared" si="7"/>
        <v>111</v>
      </c>
      <c r="AA15" s="1556">
        <f>D15/F15</f>
        <v>1</v>
      </c>
      <c r="AB15" s="1556">
        <f>D15/H15</f>
        <v>1</v>
      </c>
      <c r="AC15" s="1556">
        <f>D15/J15</f>
        <v>1</v>
      </c>
    </row>
    <row r="16" spans="1:30" ht="21" thickBot="1">
      <c r="A16" s="2871"/>
      <c r="B16" s="2877">
        <v>111</v>
      </c>
      <c r="C16" s="914"/>
      <c r="D16" s="545">
        <v>100</v>
      </c>
      <c r="E16" s="540"/>
      <c r="F16" s="545">
        <f>SUMIF(88:88,E16,89:89)-SUMIF(88:88,C16,89:89)+100</f>
        <v>100</v>
      </c>
      <c r="G16" s="541"/>
      <c r="H16" s="545">
        <f>SUMIF(88:88,G16,89:89)-SUMIF(88:88,C16,89:89)+100</f>
        <v>100</v>
      </c>
      <c r="I16" s="541"/>
      <c r="J16" s="545">
        <f>SUMIF(88:88,I16,89:89)-SUMIF(88:88,C16,89:89)+100</f>
        <v>100</v>
      </c>
      <c r="K16" s="530"/>
      <c r="L16" s="2126"/>
      <c r="M16" s="2116"/>
      <c r="N16" s="2116"/>
      <c r="O16" s="2125"/>
      <c r="P16" s="4017"/>
      <c r="Q16" s="1146">
        <f t="shared" si="6"/>
        <v>111</v>
      </c>
      <c r="R16" s="1553" t="s">
        <v>8</v>
      </c>
      <c r="S16" s="1554">
        <f t="shared" si="0"/>
        <v>100</v>
      </c>
      <c r="T16" s="1553" t="s">
        <v>8</v>
      </c>
      <c r="U16" s="1554">
        <f t="shared" si="1"/>
        <v>100</v>
      </c>
      <c r="V16" s="1553" t="s">
        <v>8</v>
      </c>
      <c r="W16" s="1554">
        <f t="shared" si="2"/>
        <v>100</v>
      </c>
      <c r="X16" s="1555"/>
      <c r="Y16" s="3974"/>
      <c r="Z16" s="1145">
        <f t="shared" si="7"/>
        <v>111</v>
      </c>
      <c r="AA16" s="1556">
        <f>D16/F16</f>
        <v>1</v>
      </c>
      <c r="AB16" s="1556">
        <f>D16/H16</f>
        <v>1</v>
      </c>
      <c r="AC16" s="1556">
        <f>D16/J16</f>
        <v>1</v>
      </c>
    </row>
    <row r="17" spans="1:29" ht="81">
      <c r="A17" s="2863" t="s">
        <v>2753</v>
      </c>
      <c r="B17" s="577" t="s">
        <v>295</v>
      </c>
      <c r="C17" s="547" t="str">
        <f>估价对象房地状况!C15</f>
        <v>周边居住氛围一遍，有潼南天地、卓然铂金公馆等住宅小区，居住社区成熟度较好</v>
      </c>
      <c r="D17" s="550">
        <v>100</v>
      </c>
      <c r="E17" s="3203" t="s">
        <v>3157</v>
      </c>
      <c r="F17" s="548">
        <f>SUMIF(90:90,E18,91:91)-SUMIF(90:90,C18,91:91)+100</f>
        <v>100</v>
      </c>
      <c r="G17" s="3202" t="s">
        <v>3156</v>
      </c>
      <c r="H17" s="548">
        <f>SUMIF(90:90,G18,91:91)-SUMIF(90:90,C18,91:91)+100</f>
        <v>100</v>
      </c>
      <c r="I17" s="3203" t="s">
        <v>3156</v>
      </c>
      <c r="J17" s="548">
        <f>SUMIF(90:90,I18,91:91)-SUMIF(90:90,C18,91:91)+100</f>
        <v>100</v>
      </c>
      <c r="K17" s="534">
        <v>2</v>
      </c>
      <c r="L17" s="2126"/>
      <c r="M17" s="2116"/>
      <c r="N17" s="2116"/>
      <c r="O17" s="2125"/>
      <c r="P17" s="4019" t="s">
        <v>540</v>
      </c>
      <c r="Q17" s="1557" t="str">
        <f t="shared" si="6"/>
        <v>居住社区成熟度</v>
      </c>
      <c r="R17" s="1558" t="s">
        <v>8</v>
      </c>
      <c r="S17" s="1559">
        <f t="shared" si="0"/>
        <v>100</v>
      </c>
      <c r="T17" s="1558" t="s">
        <v>8</v>
      </c>
      <c r="U17" s="1559">
        <f t="shared" si="1"/>
        <v>100</v>
      </c>
      <c r="V17" s="1558" t="s">
        <v>8</v>
      </c>
      <c r="W17" s="1559">
        <f t="shared" si="2"/>
        <v>100</v>
      </c>
      <c r="X17" s="1552"/>
      <c r="Y17" s="4019" t="s">
        <v>540</v>
      </c>
      <c r="Z17" s="1560" t="str">
        <f t="shared" si="7"/>
        <v>居住社区成熟度</v>
      </c>
      <c r="AA17" s="1561">
        <f t="shared" si="3"/>
        <v>1</v>
      </c>
      <c r="AB17" s="1561">
        <f t="shared" si="4"/>
        <v>1</v>
      </c>
      <c r="AC17" s="1561">
        <f t="shared" si="5"/>
        <v>1</v>
      </c>
    </row>
    <row r="18" spans="1:29" ht="20.25">
      <c r="A18" s="531"/>
      <c r="B18" s="552"/>
      <c r="C18" s="553" t="s">
        <v>3014</v>
      </c>
      <c r="D18" s="556"/>
      <c r="E18" s="557" t="s">
        <v>3014</v>
      </c>
      <c r="F18" s="554"/>
      <c r="G18" s="555" t="s">
        <v>3014</v>
      </c>
      <c r="H18" s="558"/>
      <c r="I18" s="557" t="s">
        <v>3014</v>
      </c>
      <c r="J18" s="554"/>
      <c r="K18" s="530"/>
      <c r="L18" s="2126"/>
      <c r="M18" s="2116"/>
      <c r="N18" s="2116"/>
      <c r="O18" s="2125"/>
      <c r="P18" s="4020"/>
      <c r="Q18" s="1557"/>
      <c r="R18" s="1558"/>
      <c r="S18" s="1559"/>
      <c r="T18" s="1558"/>
      <c r="U18" s="1559"/>
      <c r="V18" s="1558"/>
      <c r="W18" s="1559"/>
      <c r="X18" s="1552"/>
      <c r="Y18" s="4020"/>
      <c r="Z18" s="1560"/>
      <c r="AA18" s="1561">
        <v>1</v>
      </c>
      <c r="AB18" s="1561">
        <v>1</v>
      </c>
      <c r="AC18" s="1561">
        <v>1</v>
      </c>
    </row>
    <row r="19" spans="1:29" ht="81">
      <c r="A19" s="531"/>
      <c r="B19" s="559" t="s">
        <v>541</v>
      </c>
      <c r="C19" s="560" t="str">
        <f>估价对象房地状况!C16</f>
        <v>估价对象周边商业为项目内部商业街，周边商业氛围较好，人流量较大，商业繁华度较好</v>
      </c>
      <c r="D19" s="562">
        <v>100</v>
      </c>
      <c r="E19" s="563" t="s">
        <v>3152</v>
      </c>
      <c r="F19" s="558">
        <f>SUMIF(92:92,E20,93:93)-SUMIF(92:92,C20,93:93)+100</f>
        <v>98</v>
      </c>
      <c r="G19" s="3199" t="s">
        <v>3569</v>
      </c>
      <c r="H19" s="564">
        <f>SUMIF(92:92,G20,93:93)-SUMIF(92:92,C20,93:93)+100</f>
        <v>100</v>
      </c>
      <c r="I19" s="3200" t="s">
        <v>3569</v>
      </c>
      <c r="J19" s="564">
        <f>SUMIF(92:92,I20,93:93)-SUMIF(92:92,C20,93:93)+100</f>
        <v>100</v>
      </c>
      <c r="K19" s="534">
        <v>2</v>
      </c>
      <c r="L19" s="2126"/>
      <c r="M19" s="2116"/>
      <c r="N19" s="2116"/>
      <c r="O19" s="2125"/>
      <c r="P19" s="4020"/>
      <c r="Q19" s="1557" t="str">
        <f>B19</f>
        <v>商业繁华度</v>
      </c>
      <c r="R19" s="1558" t="s">
        <v>8</v>
      </c>
      <c r="S19" s="1559">
        <f>F19</f>
        <v>98</v>
      </c>
      <c r="T19" s="1558" t="s">
        <v>8</v>
      </c>
      <c r="U19" s="1559">
        <f>H19</f>
        <v>100</v>
      </c>
      <c r="V19" s="1558" t="s">
        <v>8</v>
      </c>
      <c r="W19" s="1559">
        <f>J19</f>
        <v>100</v>
      </c>
      <c r="X19" s="1552"/>
      <c r="Y19" s="4020"/>
      <c r="Z19" s="1560" t="str">
        <f>Q19</f>
        <v>商业繁华度</v>
      </c>
      <c r="AA19" s="1561">
        <f t="shared" si="3"/>
        <v>1.0204081632653061</v>
      </c>
      <c r="AB19" s="1561">
        <f t="shared" si="4"/>
        <v>1</v>
      </c>
      <c r="AC19" s="1561">
        <f t="shared" si="5"/>
        <v>1</v>
      </c>
    </row>
    <row r="20" spans="1:29" ht="20.25">
      <c r="A20" s="531"/>
      <c r="B20" s="565"/>
      <c r="C20" s="566" t="s">
        <v>3014</v>
      </c>
      <c r="D20" s="562"/>
      <c r="E20" s="568" t="s">
        <v>3015</v>
      </c>
      <c r="F20" s="558"/>
      <c r="G20" s="567" t="s">
        <v>3014</v>
      </c>
      <c r="H20" s="554"/>
      <c r="I20" s="568" t="s">
        <v>3014</v>
      </c>
      <c r="J20" s="554"/>
      <c r="K20" s="530"/>
      <c r="L20" s="2126"/>
      <c r="M20" s="2116"/>
      <c r="N20" s="2116"/>
      <c r="O20" s="2125"/>
      <c r="P20" s="4020"/>
      <c r="Q20" s="1557"/>
      <c r="R20" s="1558"/>
      <c r="S20" s="1559"/>
      <c r="T20" s="1558"/>
      <c r="U20" s="1559"/>
      <c r="V20" s="1558"/>
      <c r="W20" s="1559"/>
      <c r="X20" s="1552"/>
      <c r="Y20" s="4020"/>
      <c r="Z20" s="1560"/>
      <c r="AA20" s="1561">
        <v>1</v>
      </c>
      <c r="AB20" s="1561">
        <v>1</v>
      </c>
      <c r="AC20" s="1561">
        <v>1</v>
      </c>
    </row>
    <row r="21" spans="1:29" ht="42.7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6"/>
      <c r="M21" s="2116"/>
      <c r="N21" s="2116"/>
      <c r="O21" s="2125"/>
      <c r="P21" s="4020"/>
      <c r="Q21" s="1557" t="str">
        <f>B21</f>
        <v>办公集聚程度</v>
      </c>
      <c r="R21" s="1558" t="s">
        <v>8</v>
      </c>
      <c r="S21" s="1559">
        <f>F21</f>
        <v>100</v>
      </c>
      <c r="T21" s="1558" t="s">
        <v>8</v>
      </c>
      <c r="U21" s="1559">
        <f>H21</f>
        <v>100</v>
      </c>
      <c r="V21" s="1558" t="s">
        <v>8</v>
      </c>
      <c r="W21" s="1559">
        <f>J21</f>
        <v>100</v>
      </c>
      <c r="X21" s="1552"/>
      <c r="Y21" s="4020"/>
      <c r="Z21" s="1560" t="str">
        <f>Q21</f>
        <v>办公集聚程度</v>
      </c>
      <c r="AA21" s="1561">
        <f t="shared" si="3"/>
        <v>1</v>
      </c>
      <c r="AB21" s="1561">
        <f t="shared" si="4"/>
        <v>1</v>
      </c>
      <c r="AC21" s="1561">
        <f t="shared" si="5"/>
        <v>1</v>
      </c>
    </row>
    <row r="22" spans="1:29" ht="20.25" hidden="1">
      <c r="A22" s="531"/>
      <c r="B22" s="565"/>
      <c r="C22" s="553"/>
      <c r="D22" s="556"/>
      <c r="E22" s="557"/>
      <c r="F22" s="554"/>
      <c r="G22" s="555"/>
      <c r="H22" s="554"/>
      <c r="I22" s="557"/>
      <c r="J22" s="554"/>
      <c r="K22" s="530"/>
      <c r="L22" s="2126"/>
      <c r="M22" s="2116"/>
      <c r="N22" s="2116"/>
      <c r="O22" s="2125"/>
      <c r="P22" s="4020"/>
      <c r="Q22" s="1557"/>
      <c r="R22" s="1558"/>
      <c r="S22" s="1559"/>
      <c r="T22" s="1558"/>
      <c r="U22" s="1559"/>
      <c r="V22" s="1558"/>
      <c r="W22" s="1559"/>
      <c r="X22" s="1552"/>
      <c r="Y22" s="4020"/>
      <c r="Z22" s="1560"/>
      <c r="AA22" s="1561">
        <v>1</v>
      </c>
      <c r="AB22" s="1561">
        <v>1</v>
      </c>
      <c r="AC22" s="1561">
        <v>1</v>
      </c>
    </row>
    <row r="23" spans="1:29" ht="114">
      <c r="A23" s="531"/>
      <c r="B23" s="559" t="s">
        <v>543</v>
      </c>
      <c r="C23" s="572" t="str">
        <f>估价对象房地状况!C18</f>
        <v>周边道路密集程度一般、公共交通通达情况一般，有107路，203路、等公交线路通过，停车便捷程度一般，综合评价交通便捷度一般。</v>
      </c>
      <c r="D23" s="562">
        <v>100</v>
      </c>
      <c r="E23" s="563" t="s">
        <v>3153</v>
      </c>
      <c r="F23" s="564">
        <f>SUMIF(96:96,E24,97:97)-SUMIF(96:96,C24,97:97)+100</f>
        <v>100</v>
      </c>
      <c r="G23" s="561" t="s">
        <v>3570</v>
      </c>
      <c r="H23" s="558">
        <f>SUMIF(96:96,G24,97:97)-SUMIF(96:96,C24,97:97)+100</f>
        <v>100</v>
      </c>
      <c r="I23" s="3200" t="s">
        <v>3158</v>
      </c>
      <c r="J23" s="558">
        <f>SUMIF(96:96,I24,97:97)-SUMIF(96:96,C24,97:97)+100</f>
        <v>100</v>
      </c>
      <c r="K23" s="534">
        <v>2</v>
      </c>
      <c r="L23" s="2126"/>
      <c r="M23" s="2116"/>
      <c r="N23" s="2116"/>
      <c r="O23" s="2125"/>
      <c r="P23" s="4020"/>
      <c r="Q23" s="1557" t="str">
        <f>B23</f>
        <v>交通便捷度</v>
      </c>
      <c r="R23" s="1558" t="s">
        <v>8</v>
      </c>
      <c r="S23" s="1559">
        <f>F23</f>
        <v>100</v>
      </c>
      <c r="T23" s="1558" t="s">
        <v>8</v>
      </c>
      <c r="U23" s="1559">
        <f>H23</f>
        <v>100</v>
      </c>
      <c r="V23" s="1558" t="s">
        <v>8</v>
      </c>
      <c r="W23" s="1559">
        <f>J23</f>
        <v>100</v>
      </c>
      <c r="X23" s="1552"/>
      <c r="Y23" s="4020"/>
      <c r="Z23" s="1560" t="str">
        <f>Q23</f>
        <v>交通便捷度</v>
      </c>
      <c r="AA23" s="1561">
        <f t="shared" si="3"/>
        <v>1</v>
      </c>
      <c r="AB23" s="1561">
        <f t="shared" si="4"/>
        <v>1</v>
      </c>
      <c r="AC23" s="1561">
        <f t="shared" si="5"/>
        <v>1</v>
      </c>
    </row>
    <row r="24" spans="1:29" ht="20.25">
      <c r="A24" s="531"/>
      <c r="B24" s="577"/>
      <c r="C24" s="553" t="s">
        <v>3015</v>
      </c>
      <c r="D24" s="556"/>
      <c r="E24" s="557" t="s">
        <v>3015</v>
      </c>
      <c r="F24" s="554"/>
      <c r="G24" s="555" t="s">
        <v>3015</v>
      </c>
      <c r="H24" s="554"/>
      <c r="I24" s="557" t="s">
        <v>3015</v>
      </c>
      <c r="J24" s="554"/>
      <c r="K24" s="530"/>
      <c r="L24" s="2126"/>
      <c r="M24" s="2116"/>
      <c r="N24" s="2116"/>
      <c r="O24" s="2125"/>
      <c r="P24" s="4020"/>
      <c r="Q24" s="1557"/>
      <c r="R24" s="1558"/>
      <c r="S24" s="1559"/>
      <c r="T24" s="1558"/>
      <c r="U24" s="1559"/>
      <c r="V24" s="1558"/>
      <c r="W24" s="1559"/>
      <c r="X24" s="1552"/>
      <c r="Y24" s="4020"/>
      <c r="Z24" s="1560"/>
      <c r="AA24" s="1561">
        <v>1</v>
      </c>
      <c r="AB24" s="1561">
        <v>1</v>
      </c>
      <c r="AC24" s="1561">
        <v>1</v>
      </c>
    </row>
    <row r="25" spans="1:29" ht="28.5">
      <c r="A25" s="514"/>
      <c r="B25" s="258" t="s">
        <v>544</v>
      </c>
      <c r="C25" s="572" t="str">
        <f>估价对象房地状况!C19</f>
        <v>区域土地利用方向较一致；</v>
      </c>
      <c r="D25" s="562">
        <v>100</v>
      </c>
      <c r="E25" s="563" t="s">
        <v>3146</v>
      </c>
      <c r="F25" s="564">
        <f>SUMIF(98:98,E26,99:99)-SUMIF(98:98,C26,99:99)+100</f>
        <v>100</v>
      </c>
      <c r="G25" s="561" t="s">
        <v>3146</v>
      </c>
      <c r="H25" s="558">
        <f>SUMIF(98:98,G26,99:99)-SUMIF(98:98,C26,99:99)+100</f>
        <v>100</v>
      </c>
      <c r="I25" s="563" t="s">
        <v>3146</v>
      </c>
      <c r="J25" s="558">
        <f>SUMIF(98:98,I26,99:99)-SUMIF(98:98,C26,99:99)+100</f>
        <v>100</v>
      </c>
      <c r="K25" s="534">
        <v>2</v>
      </c>
      <c r="L25" s="2126"/>
      <c r="M25" s="2116"/>
      <c r="N25" s="2116"/>
      <c r="O25" s="2125"/>
      <c r="P25" s="4020"/>
      <c r="Q25" s="1557" t="str">
        <f t="shared" ref="Q25:Q39" si="8">B25</f>
        <v>区域土地利用方向</v>
      </c>
      <c r="R25" s="1558" t="s">
        <v>8</v>
      </c>
      <c r="S25" s="1559">
        <f>F25</f>
        <v>100</v>
      </c>
      <c r="T25" s="1558" t="s">
        <v>8</v>
      </c>
      <c r="U25" s="1559">
        <f>H25</f>
        <v>100</v>
      </c>
      <c r="V25" s="1558" t="s">
        <v>8</v>
      </c>
      <c r="W25" s="1559">
        <f>J25</f>
        <v>100</v>
      </c>
      <c r="X25" s="1552"/>
      <c r="Y25" s="4020"/>
      <c r="Z25" s="1560" t="str">
        <f>Q25</f>
        <v>区域土地利用方向</v>
      </c>
      <c r="AA25" s="1561">
        <f t="shared" si="3"/>
        <v>1</v>
      </c>
      <c r="AB25" s="1561">
        <f t="shared" si="4"/>
        <v>1</v>
      </c>
      <c r="AC25" s="1561">
        <f t="shared" si="5"/>
        <v>1</v>
      </c>
    </row>
    <row r="26" spans="1:29" ht="20.25">
      <c r="A26" s="514"/>
      <c r="B26" s="1006"/>
      <c r="C26" s="553" t="s">
        <v>3014</v>
      </c>
      <c r="D26" s="556"/>
      <c r="E26" s="557" t="s">
        <v>3014</v>
      </c>
      <c r="F26" s="554"/>
      <c r="G26" s="555" t="s">
        <v>3014</v>
      </c>
      <c r="H26" s="554"/>
      <c r="I26" s="557" t="s">
        <v>3014</v>
      </c>
      <c r="J26" s="554"/>
      <c r="K26" s="530"/>
      <c r="L26" s="2126"/>
      <c r="M26" s="2116"/>
      <c r="N26" s="2116"/>
      <c r="O26" s="2125"/>
      <c r="P26" s="4020"/>
      <c r="Q26" s="1557"/>
      <c r="R26" s="1558"/>
      <c r="S26" s="1559"/>
      <c r="T26" s="1558"/>
      <c r="U26" s="1559"/>
      <c r="V26" s="1558"/>
      <c r="W26" s="1559"/>
      <c r="X26" s="1552"/>
      <c r="Y26" s="4020"/>
      <c r="Z26" s="1560"/>
      <c r="AA26" s="1561"/>
      <c r="AB26" s="1561"/>
      <c r="AC26" s="1561"/>
    </row>
    <row r="27" spans="1:29" ht="57" customHeight="1">
      <c r="A27" s="514"/>
      <c r="B27" s="577" t="s">
        <v>545</v>
      </c>
      <c r="C27" s="560" t="str">
        <f>估价对象房地状况!C20</f>
        <v>周边自然环境（项目内部天鹅湖）；人文环境（潼南区图书馆），综合评价环境状况较好；</v>
      </c>
      <c r="D27" s="562">
        <v>100</v>
      </c>
      <c r="E27" s="3200" t="s">
        <v>3154</v>
      </c>
      <c r="F27" s="558">
        <f>SUMIF(100:100,E28,101:101)-SUMIF(100:100,C28,101:101)+100</f>
        <v>96</v>
      </c>
      <c r="G27" s="3199" t="s">
        <v>3159</v>
      </c>
      <c r="H27" s="558">
        <f>SUMIF(100:100,G28,101:101)-SUMIF(100:100,C28,101:101)+100</f>
        <v>100</v>
      </c>
      <c r="I27" s="3200" t="s">
        <v>3159</v>
      </c>
      <c r="J27" s="558">
        <f>SUMIF(100:100,I28,101:101)-SUMIF(100:100,C28,101:101)+100</f>
        <v>100</v>
      </c>
      <c r="K27" s="534">
        <v>2</v>
      </c>
      <c r="L27" s="2126"/>
      <c r="M27" s="2116"/>
      <c r="N27" s="2116"/>
      <c r="O27" s="2125"/>
      <c r="P27" s="4020"/>
      <c r="Q27" s="1557" t="str">
        <f t="shared" si="8"/>
        <v>自然及人文环境状况</v>
      </c>
      <c r="R27" s="1558" t="s">
        <v>8</v>
      </c>
      <c r="S27" s="1559">
        <f>F27</f>
        <v>96</v>
      </c>
      <c r="T27" s="1558" t="s">
        <v>8</v>
      </c>
      <c r="U27" s="1559">
        <f>H27</f>
        <v>100</v>
      </c>
      <c r="V27" s="1558" t="s">
        <v>8</v>
      </c>
      <c r="W27" s="1559">
        <f>J27</f>
        <v>100</v>
      </c>
      <c r="X27" s="1552"/>
      <c r="Y27" s="4020"/>
      <c r="Z27" s="1560" t="str">
        <f>Q27</f>
        <v>自然及人文环境状况</v>
      </c>
      <c r="AA27" s="1561">
        <f t="shared" si="3"/>
        <v>1.0416666666666667</v>
      </c>
      <c r="AB27" s="1561">
        <f t="shared" si="4"/>
        <v>1</v>
      </c>
      <c r="AC27" s="1561">
        <f t="shared" si="5"/>
        <v>1</v>
      </c>
    </row>
    <row r="28" spans="1:29" ht="20.25">
      <c r="A28" s="514"/>
      <c r="B28" s="565"/>
      <c r="C28" s="553" t="s">
        <v>3014</v>
      </c>
      <c r="D28" s="556"/>
      <c r="E28" s="575" t="s">
        <v>3155</v>
      </c>
      <c r="F28" s="554"/>
      <c r="G28" s="553" t="s">
        <v>3014</v>
      </c>
      <c r="H28" s="554"/>
      <c r="I28" s="575" t="s">
        <v>3014</v>
      </c>
      <c r="J28" s="554"/>
      <c r="K28" s="530"/>
      <c r="L28" s="2126"/>
      <c r="M28" s="2116"/>
      <c r="N28" s="2116"/>
      <c r="O28" s="2125"/>
      <c r="P28" s="4020"/>
      <c r="Q28" s="1557"/>
      <c r="R28" s="1558"/>
      <c r="S28" s="1559"/>
      <c r="T28" s="1558"/>
      <c r="U28" s="1559"/>
      <c r="V28" s="1558"/>
      <c r="W28" s="1559"/>
      <c r="X28" s="1552"/>
      <c r="Y28" s="4020"/>
      <c r="Z28" s="1560"/>
      <c r="AA28" s="1561">
        <v>1</v>
      </c>
      <c r="AB28" s="1561">
        <v>1</v>
      </c>
      <c r="AC28" s="1561">
        <v>1</v>
      </c>
    </row>
    <row r="29" spans="1:29" s="1215" customFormat="1" ht="81" customHeight="1">
      <c r="A29" s="576"/>
      <c r="B29" s="2554" t="s">
        <v>2547</v>
      </c>
      <c r="C29" s="572" t="str">
        <f>估价对象房地状况!C21</f>
        <v>所在区域2公里范围内有银行（中国邮政储蓄银行）、学校（巴川中学）、商业（无）、医院（无）等配套设施，公共配套设施一般；</v>
      </c>
      <c r="D29" s="562">
        <v>100</v>
      </c>
      <c r="E29" s="3324" t="s">
        <v>3571</v>
      </c>
      <c r="F29" s="558">
        <f>SUMIF(102:102,E30,103:103)-SUMIF(102:102,C30,103:103)+100</f>
        <v>100</v>
      </c>
      <c r="G29" s="561" t="s">
        <v>3160</v>
      </c>
      <c r="H29" s="558">
        <f>SUMIF(102:102,G30,103:103)-SUMIF(102:102,C30,103:103)+100</f>
        <v>102</v>
      </c>
      <c r="I29" s="563" t="s">
        <v>3160</v>
      </c>
      <c r="J29" s="558">
        <f>SUMIF(102:102,I30,103:103)-SUMIF(102:102,C30,103:103)+100</f>
        <v>102</v>
      </c>
      <c r="K29" s="534">
        <v>2</v>
      </c>
      <c r="L29" s="2119"/>
      <c r="M29" s="2116"/>
      <c r="N29" s="2116"/>
      <c r="O29" s="2121"/>
      <c r="P29" s="4020"/>
      <c r="Q29" s="1146" t="str">
        <f t="shared" si="8"/>
        <v>公共配套设施</v>
      </c>
      <c r="R29" s="1553" t="s">
        <v>8</v>
      </c>
      <c r="S29" s="1554">
        <f>F29</f>
        <v>100</v>
      </c>
      <c r="T29" s="1553" t="s">
        <v>8</v>
      </c>
      <c r="U29" s="1554">
        <f>H29</f>
        <v>102</v>
      </c>
      <c r="V29" s="1553" t="s">
        <v>8</v>
      </c>
      <c r="W29" s="1554">
        <f>J29</f>
        <v>102</v>
      </c>
      <c r="X29" s="1555"/>
      <c r="Y29" s="4020"/>
      <c r="Z29" s="1145" t="str">
        <f>Q29</f>
        <v>公共配套设施</v>
      </c>
      <c r="AA29" s="1561">
        <f>D29/F29</f>
        <v>1</v>
      </c>
      <c r="AB29" s="1561">
        <f>D29/H29</f>
        <v>0.98039215686274506</v>
      </c>
      <c r="AC29" s="1561">
        <f>D29/J29</f>
        <v>0.98039215686274506</v>
      </c>
    </row>
    <row r="30" spans="1:29" s="1215" customFormat="1" ht="20.25">
      <c r="A30" s="576"/>
      <c r="B30" s="565"/>
      <c r="C30" s="578" t="s">
        <v>3015</v>
      </c>
      <c r="D30" s="556"/>
      <c r="E30" s="575" t="s">
        <v>3015</v>
      </c>
      <c r="F30" s="554"/>
      <c r="G30" s="553" t="s">
        <v>3014</v>
      </c>
      <c r="H30" s="554"/>
      <c r="I30" s="575" t="s">
        <v>3014</v>
      </c>
      <c r="J30" s="554"/>
      <c r="K30" s="530"/>
      <c r="L30" s="2119"/>
      <c r="M30" s="2116"/>
      <c r="N30" s="2116"/>
      <c r="O30" s="2121"/>
      <c r="P30" s="4020"/>
      <c r="Q30" s="1146"/>
      <c r="R30" s="1553"/>
      <c r="S30" s="1554"/>
      <c r="T30" s="1553"/>
      <c r="U30" s="1554"/>
      <c r="V30" s="1553"/>
      <c r="W30" s="1554"/>
      <c r="X30" s="1555"/>
      <c r="Y30" s="4020"/>
      <c r="Z30" s="1145"/>
      <c r="AA30" s="1561">
        <v>1</v>
      </c>
      <c r="AB30" s="1561">
        <v>1</v>
      </c>
      <c r="AC30" s="1561">
        <v>1</v>
      </c>
    </row>
    <row r="31" spans="1:29" s="1215" customFormat="1" ht="28.5">
      <c r="A31" s="576"/>
      <c r="B31" s="2554" t="s">
        <v>2548</v>
      </c>
      <c r="C31" s="572" t="str">
        <f>估价对象房地状况!C22</f>
        <v>所在区域基础设施水平达六通</v>
      </c>
      <c r="D31" s="562">
        <v>100</v>
      </c>
      <c r="E31" s="563" t="s">
        <v>3143</v>
      </c>
      <c r="F31" s="558">
        <f>SUMIF(104:104,E32,105:105)-SUMIF(104:104,C32,105:105)+100</f>
        <v>100</v>
      </c>
      <c r="G31" s="561" t="s">
        <v>3143</v>
      </c>
      <c r="H31" s="558">
        <f>SUMIF(104:104,G32,105:105)-SUMIF(104:104,C32,105:105)+100</f>
        <v>100</v>
      </c>
      <c r="I31" s="563" t="s">
        <v>3143</v>
      </c>
      <c r="J31" s="558">
        <f>SUMIF(104:104,I32,105:105)-SUMIF(104:104,C32,105:105)+100</f>
        <v>100</v>
      </c>
      <c r="K31" s="534">
        <v>2</v>
      </c>
      <c r="L31" s="2119"/>
      <c r="M31" s="2116"/>
      <c r="N31" s="2116"/>
      <c r="O31" s="2121"/>
      <c r="P31" s="4020"/>
      <c r="Q31" s="2541" t="str">
        <f t="shared" ref="Q31" si="9">B31</f>
        <v>基础设施水平</v>
      </c>
      <c r="R31" s="1553" t="s">
        <v>8</v>
      </c>
      <c r="S31" s="1554">
        <f>F31</f>
        <v>100</v>
      </c>
      <c r="T31" s="1553" t="s">
        <v>8</v>
      </c>
      <c r="U31" s="1554">
        <f>H31</f>
        <v>100</v>
      </c>
      <c r="V31" s="1553" t="s">
        <v>8</v>
      </c>
      <c r="W31" s="1554">
        <f>J31</f>
        <v>100</v>
      </c>
      <c r="X31" s="1555"/>
      <c r="Y31" s="4020"/>
      <c r="Z31" s="2538" t="str">
        <f>Q31</f>
        <v>基础设施水平</v>
      </c>
      <c r="AA31" s="1561">
        <f>D31/F31</f>
        <v>1</v>
      </c>
      <c r="AB31" s="1561">
        <f>D31/H31</f>
        <v>1</v>
      </c>
      <c r="AC31" s="1561">
        <f>D31/J31</f>
        <v>1</v>
      </c>
    </row>
    <row r="32" spans="1:29" s="1215" customFormat="1" ht="20.25">
      <c r="A32" s="576"/>
      <c r="B32" s="565"/>
      <c r="C32" s="578" t="s">
        <v>3031</v>
      </c>
      <c r="D32" s="556"/>
      <c r="E32" s="2555" t="s">
        <v>3031</v>
      </c>
      <c r="F32" s="554"/>
      <c r="G32" s="578" t="s">
        <v>3031</v>
      </c>
      <c r="H32" s="554"/>
      <c r="I32" s="578" t="s">
        <v>3031</v>
      </c>
      <c r="J32" s="554"/>
      <c r="K32" s="530"/>
      <c r="L32" s="2119"/>
      <c r="M32" s="2116"/>
      <c r="N32" s="2116"/>
      <c r="O32" s="2121"/>
      <c r="P32" s="4020"/>
      <c r="Q32" s="2541"/>
      <c r="R32" s="1553"/>
      <c r="S32" s="1554"/>
      <c r="T32" s="1553"/>
      <c r="U32" s="1554"/>
      <c r="V32" s="1553"/>
      <c r="W32" s="1554"/>
      <c r="X32" s="1555"/>
      <c r="Y32" s="4020"/>
      <c r="Z32" s="2538"/>
      <c r="AA32" s="1561">
        <v>1</v>
      </c>
      <c r="AB32" s="1561">
        <v>1</v>
      </c>
      <c r="AC32" s="1561">
        <v>1</v>
      </c>
    </row>
    <row r="33" spans="1:29" ht="20.25">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6"/>
      <c r="M33" s="2116"/>
      <c r="N33" s="2116"/>
      <c r="O33" s="2125"/>
      <c r="P33" s="4020"/>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4020"/>
      <c r="Z33" s="1560" t="str">
        <f t="shared" ref="Z33:Z47" si="13">Q33</f>
        <v>临街状况</v>
      </c>
      <c r="AA33" s="1561">
        <f t="shared" si="3"/>
        <v>1</v>
      </c>
      <c r="AB33" s="1561">
        <f t="shared" si="4"/>
        <v>1</v>
      </c>
      <c r="AC33" s="1561">
        <f t="shared" si="5"/>
        <v>1</v>
      </c>
    </row>
    <row r="34" spans="1:29" ht="27">
      <c r="A34" s="531"/>
      <c r="B34" s="577" t="s">
        <v>548</v>
      </c>
      <c r="C34" s="3199" t="s">
        <v>3572</v>
      </c>
      <c r="D34" s="562">
        <v>100</v>
      </c>
      <c r="E34" s="3200" t="s">
        <v>3151</v>
      </c>
      <c r="F34" s="558">
        <f>SUMIF(108:108,E35,109:109)-SUMIF(108:108,C35,109:109)+100</f>
        <v>101</v>
      </c>
      <c r="G34" s="3199" t="s">
        <v>3150</v>
      </c>
      <c r="H34" s="558">
        <f>SUMIF(108:108,G35,109:109)-SUMIF(108:108,C35,109:109)+100</f>
        <v>100</v>
      </c>
      <c r="I34" s="3200" t="s">
        <v>3150</v>
      </c>
      <c r="J34" s="558">
        <f>SUMIF(108:108,I35,109:109)-SUMIF(108:108,C35,109:109)+100</f>
        <v>100</v>
      </c>
      <c r="K34" s="534">
        <v>1</v>
      </c>
      <c r="L34" s="2126"/>
      <c r="M34" s="2116"/>
      <c r="N34" s="2116"/>
      <c r="O34" s="2125"/>
      <c r="P34" s="4020"/>
      <c r="Q34" s="1557" t="str">
        <f t="shared" si="8"/>
        <v>毗邻道路的类型与等级</v>
      </c>
      <c r="R34" s="1558" t="s">
        <v>8</v>
      </c>
      <c r="S34" s="1559">
        <f t="shared" si="10"/>
        <v>101</v>
      </c>
      <c r="T34" s="1558" t="s">
        <v>8</v>
      </c>
      <c r="U34" s="1559">
        <f t="shared" si="11"/>
        <v>100</v>
      </c>
      <c r="V34" s="1558" t="s">
        <v>8</v>
      </c>
      <c r="W34" s="1559">
        <f t="shared" si="12"/>
        <v>100</v>
      </c>
      <c r="X34" s="1552"/>
      <c r="Y34" s="4020"/>
      <c r="Z34" s="1560" t="str">
        <f t="shared" si="13"/>
        <v>毗邻道路的类型与等级</v>
      </c>
      <c r="AA34" s="1561">
        <f t="shared" si="3"/>
        <v>0.99009900990099009</v>
      </c>
      <c r="AB34" s="1561">
        <f t="shared" si="4"/>
        <v>1</v>
      </c>
      <c r="AC34" s="1561">
        <f t="shared" si="5"/>
        <v>1</v>
      </c>
    </row>
    <row r="35" spans="1:29" ht="20.25">
      <c r="A35" s="531"/>
      <c r="B35" s="565"/>
      <c r="C35" s="553" t="s">
        <v>3148</v>
      </c>
      <c r="D35" s="556"/>
      <c r="E35" s="575" t="s">
        <v>3149</v>
      </c>
      <c r="F35" s="554"/>
      <c r="G35" s="553" t="s">
        <v>3148</v>
      </c>
      <c r="H35" s="554"/>
      <c r="I35" s="575" t="s">
        <v>3148</v>
      </c>
      <c r="J35" s="554"/>
      <c r="K35" s="580"/>
      <c r="L35" s="2126"/>
      <c r="M35" s="2116"/>
      <c r="N35" s="2116"/>
      <c r="O35" s="2125"/>
      <c r="P35" s="4020"/>
      <c r="Q35" s="1557"/>
      <c r="R35" s="1558"/>
      <c r="S35" s="1559"/>
      <c r="T35" s="1558"/>
      <c r="U35" s="1559"/>
      <c r="V35" s="1558"/>
      <c r="W35" s="1559"/>
      <c r="X35" s="1552"/>
      <c r="Y35" s="4020"/>
      <c r="Z35" s="1560"/>
      <c r="AA35" s="1561">
        <v>1</v>
      </c>
      <c r="AB35" s="1561">
        <v>1</v>
      </c>
      <c r="AC35" s="1561">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6"/>
      <c r="M36" s="2116"/>
      <c r="N36" s="2116"/>
      <c r="O36" s="2125"/>
      <c r="P36" s="4020"/>
      <c r="Q36" s="1557" t="str">
        <f t="shared" si="8"/>
        <v>土地级别</v>
      </c>
      <c r="R36" s="1558" t="s">
        <v>8</v>
      </c>
      <c r="S36" s="1559">
        <f t="shared" si="10"/>
        <v>100</v>
      </c>
      <c r="T36" s="1558" t="s">
        <v>8</v>
      </c>
      <c r="U36" s="1559">
        <f t="shared" si="11"/>
        <v>100</v>
      </c>
      <c r="V36" s="1558" t="s">
        <v>8</v>
      </c>
      <c r="W36" s="1559">
        <f t="shared" si="12"/>
        <v>100</v>
      </c>
      <c r="X36" s="1552"/>
      <c r="Y36" s="4020"/>
      <c r="Z36" s="1560" t="str">
        <f t="shared" si="13"/>
        <v>土地级别</v>
      </c>
      <c r="AA36" s="1561">
        <f t="shared" si="3"/>
        <v>1</v>
      </c>
      <c r="AB36" s="1561">
        <f t="shared" si="4"/>
        <v>1</v>
      </c>
      <c r="AC36" s="1561">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6"/>
      <c r="M37" s="2116"/>
      <c r="N37" s="2116"/>
      <c r="O37" s="2125"/>
      <c r="P37" s="4020"/>
      <c r="Q37" s="1557">
        <f t="shared" si="8"/>
        <v>111</v>
      </c>
      <c r="R37" s="1558" t="s">
        <v>8</v>
      </c>
      <c r="S37" s="1559">
        <f t="shared" si="10"/>
        <v>100</v>
      </c>
      <c r="T37" s="1558" t="s">
        <v>8</v>
      </c>
      <c r="U37" s="1559">
        <f t="shared" si="11"/>
        <v>100</v>
      </c>
      <c r="V37" s="1558" t="s">
        <v>8</v>
      </c>
      <c r="W37" s="1559">
        <f t="shared" si="12"/>
        <v>100</v>
      </c>
      <c r="X37" s="1552"/>
      <c r="Y37" s="4020"/>
      <c r="Z37" s="1560">
        <f t="shared" si="13"/>
        <v>111</v>
      </c>
      <c r="AA37" s="1561">
        <f t="shared" si="3"/>
        <v>1</v>
      </c>
      <c r="AB37" s="1561">
        <f t="shared" si="4"/>
        <v>1</v>
      </c>
      <c r="AC37" s="1561">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6"/>
      <c r="M38" s="2116"/>
      <c r="N38" s="2116"/>
      <c r="O38" s="2125"/>
      <c r="P38" s="4021" t="s">
        <v>550</v>
      </c>
      <c r="Q38" s="1557">
        <f t="shared" si="8"/>
        <v>111</v>
      </c>
      <c r="R38" s="1558" t="s">
        <v>8</v>
      </c>
      <c r="S38" s="1559">
        <f t="shared" si="10"/>
        <v>100</v>
      </c>
      <c r="T38" s="1558" t="s">
        <v>8</v>
      </c>
      <c r="U38" s="1559">
        <f t="shared" si="11"/>
        <v>100</v>
      </c>
      <c r="V38" s="1558" t="s">
        <v>8</v>
      </c>
      <c r="W38" s="1559">
        <f t="shared" si="12"/>
        <v>100</v>
      </c>
      <c r="X38" s="1552"/>
      <c r="Y38" s="4022" t="s">
        <v>550</v>
      </c>
      <c r="Z38" s="1560">
        <f t="shared" si="13"/>
        <v>111</v>
      </c>
      <c r="AA38" s="1561">
        <f t="shared" si="3"/>
        <v>1</v>
      </c>
      <c r="AB38" s="1561">
        <f t="shared" si="4"/>
        <v>1</v>
      </c>
      <c r="AC38" s="1561">
        <f t="shared" si="5"/>
        <v>1</v>
      </c>
    </row>
    <row r="39" spans="1:29" s="1334"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4"/>
      <c r="M39" s="2116"/>
      <c r="N39" s="2116"/>
      <c r="O39" s="2127"/>
      <c r="P39" s="4022"/>
      <c r="Q39" s="1557">
        <f t="shared" si="8"/>
        <v>111</v>
      </c>
      <c r="R39" s="1562" t="s">
        <v>8</v>
      </c>
      <c r="S39" s="1563">
        <f t="shared" si="10"/>
        <v>100</v>
      </c>
      <c r="T39" s="1562" t="s">
        <v>8</v>
      </c>
      <c r="U39" s="1563">
        <f t="shared" si="11"/>
        <v>100</v>
      </c>
      <c r="V39" s="1562" t="s">
        <v>8</v>
      </c>
      <c r="W39" s="1563">
        <f t="shared" si="12"/>
        <v>100</v>
      </c>
      <c r="X39" s="1564"/>
      <c r="Y39" s="4022"/>
      <c r="Z39" s="1565">
        <f t="shared" si="13"/>
        <v>111</v>
      </c>
      <c r="AA39" s="1561">
        <f t="shared" si="3"/>
        <v>1</v>
      </c>
      <c r="AB39" s="1561">
        <f t="shared" si="4"/>
        <v>1</v>
      </c>
      <c r="AC39" s="1561">
        <f t="shared" si="5"/>
        <v>1</v>
      </c>
    </row>
    <row r="40" spans="1:29" ht="20.25">
      <c r="A40" s="2861" t="s">
        <v>2754</v>
      </c>
      <c r="B40" s="594" t="s">
        <v>552</v>
      </c>
      <c r="C40" s="595">
        <f>'数据-基础表'!A3</f>
        <v>27220.14</v>
      </c>
      <c r="D40" s="596">
        <v>100</v>
      </c>
      <c r="E40" s="595">
        <f>Sheet2!D2</f>
        <v>26682.38</v>
      </c>
      <c r="F40" s="596">
        <f>LOOKUP(E40,119:119,120:120)-LOOKUP(C40,119:119,120:120)+100</f>
        <v>100</v>
      </c>
      <c r="G40" s="595">
        <f>Sheet2!D8</f>
        <v>32866.69</v>
      </c>
      <c r="H40" s="596">
        <f>LOOKUP(G40,119:119,120:120)-LOOKUP(C40,119:119,120:120)+100</f>
        <v>102</v>
      </c>
      <c r="I40" s="597">
        <f>Sheet2!D16</f>
        <v>35913.18</v>
      </c>
      <c r="J40" s="596">
        <f>LOOKUP(I40,119:119,120:120)-LOOKUP(C40,119:119,120:120)+100</f>
        <v>102</v>
      </c>
      <c r="K40" s="580"/>
      <c r="L40" s="2126"/>
      <c r="M40" s="2116"/>
      <c r="N40" s="2116"/>
      <c r="O40" s="2125"/>
      <c r="P40" s="4022"/>
      <c r="Q40" s="1557" t="str">
        <f>B40</f>
        <v>宗地面积</v>
      </c>
      <c r="R40" s="1558" t="s">
        <v>8</v>
      </c>
      <c r="S40" s="1559">
        <f t="shared" si="10"/>
        <v>100</v>
      </c>
      <c r="T40" s="1558" t="s">
        <v>8</v>
      </c>
      <c r="U40" s="1559">
        <f t="shared" si="11"/>
        <v>102</v>
      </c>
      <c r="V40" s="1558" t="s">
        <v>8</v>
      </c>
      <c r="W40" s="1559">
        <f t="shared" si="12"/>
        <v>102</v>
      </c>
      <c r="X40" s="1552"/>
      <c r="Y40" s="4022"/>
      <c r="Z40" s="1560" t="str">
        <f t="shared" si="13"/>
        <v>宗地面积</v>
      </c>
      <c r="AA40" s="1561">
        <f t="shared" si="3"/>
        <v>1</v>
      </c>
      <c r="AB40" s="1561">
        <f t="shared" si="4"/>
        <v>0.98039215686274506</v>
      </c>
      <c r="AC40" s="1561">
        <f t="shared" si="5"/>
        <v>0.98039215686274506</v>
      </c>
    </row>
    <row r="41" spans="1:29" ht="20.25">
      <c r="A41" s="593"/>
      <c r="B41" s="526" t="s">
        <v>553</v>
      </c>
      <c r="C41" s="3323" t="s">
        <v>3134</v>
      </c>
      <c r="D41" s="539">
        <v>100</v>
      </c>
      <c r="E41" s="598" t="s">
        <v>3134</v>
      </c>
      <c r="F41" s="539">
        <f>SUMIF(121:121,E41,122:122)-SUMIF(121:121,C41,122:122)+100</f>
        <v>100</v>
      </c>
      <c r="G41" s="598" t="s">
        <v>3134</v>
      </c>
      <c r="H41" s="539">
        <f>SUMIF(121:121,G41,122:122)-SUMIF(121:121,C41,122:122)+100</f>
        <v>100</v>
      </c>
      <c r="I41" s="598" t="s">
        <v>3134</v>
      </c>
      <c r="J41" s="539">
        <f>SUMIF(121:121,I41,122:122)-SUMIF(121:121,C41,122:122)+100</f>
        <v>100</v>
      </c>
      <c r="K41" s="583">
        <v>3</v>
      </c>
      <c r="L41" s="2126"/>
      <c r="M41" s="2116"/>
      <c r="N41" s="2116"/>
      <c r="O41" s="2125"/>
      <c r="P41" s="4022"/>
      <c r="Q41" s="1557" t="str">
        <f t="shared" ref="Q41:Q47" si="14">B41</f>
        <v>宗地形状</v>
      </c>
      <c r="R41" s="1558" t="s">
        <v>8</v>
      </c>
      <c r="S41" s="1559">
        <f t="shared" si="10"/>
        <v>100</v>
      </c>
      <c r="T41" s="1558" t="s">
        <v>8</v>
      </c>
      <c r="U41" s="1559">
        <f t="shared" si="11"/>
        <v>100</v>
      </c>
      <c r="V41" s="1558" t="s">
        <v>8</v>
      </c>
      <c r="W41" s="1559">
        <f t="shared" si="12"/>
        <v>100</v>
      </c>
      <c r="X41" s="1552"/>
      <c r="Y41" s="4022"/>
      <c r="Z41" s="1560" t="str">
        <f t="shared" si="13"/>
        <v>宗地形状</v>
      </c>
      <c r="AA41" s="1561">
        <f t="shared" si="3"/>
        <v>1</v>
      </c>
      <c r="AB41" s="1561">
        <f t="shared" si="4"/>
        <v>1</v>
      </c>
      <c r="AC41" s="1561">
        <f t="shared" si="5"/>
        <v>1</v>
      </c>
    </row>
    <row r="42" spans="1:29" ht="20.25">
      <c r="A42" s="593"/>
      <c r="B42" s="526" t="s">
        <v>554</v>
      </c>
      <c r="C42" s="598" t="s">
        <v>3138</v>
      </c>
      <c r="D42" s="539">
        <v>100</v>
      </c>
      <c r="E42" s="598" t="s">
        <v>3138</v>
      </c>
      <c r="F42" s="539">
        <f>SUMIF(123:123,E42,124:124)-SUMIF(123:123,C42,124:124)+100</f>
        <v>100</v>
      </c>
      <c r="G42" s="598" t="s">
        <v>3138</v>
      </c>
      <c r="H42" s="539">
        <f>SUMIF(123:123,G42,124:124)-SUMIF(123:123,C42,124:124)+100</f>
        <v>100</v>
      </c>
      <c r="I42" s="598" t="s">
        <v>3138</v>
      </c>
      <c r="J42" s="539">
        <f>SUMIF(123:123,I42,124:124)-SUMIF(123:123,C42,124:124)+100</f>
        <v>100</v>
      </c>
      <c r="K42" s="583">
        <v>2</v>
      </c>
      <c r="L42" s="2126"/>
      <c r="M42" s="2116"/>
      <c r="N42" s="2116"/>
      <c r="O42" s="2125"/>
      <c r="P42" s="4022"/>
      <c r="Q42" s="1557" t="str">
        <f t="shared" si="14"/>
        <v>临街宽度及深度</v>
      </c>
      <c r="R42" s="1558" t="s">
        <v>8</v>
      </c>
      <c r="S42" s="1559">
        <f t="shared" si="10"/>
        <v>100</v>
      </c>
      <c r="T42" s="1558" t="s">
        <v>8</v>
      </c>
      <c r="U42" s="1559">
        <f t="shared" si="11"/>
        <v>100</v>
      </c>
      <c r="V42" s="1558" t="s">
        <v>8</v>
      </c>
      <c r="W42" s="1559">
        <f t="shared" si="12"/>
        <v>100</v>
      </c>
      <c r="X42" s="1552"/>
      <c r="Y42" s="4022"/>
      <c r="Z42" s="1560" t="str">
        <f t="shared" si="13"/>
        <v>临街宽度及深度</v>
      </c>
      <c r="AA42" s="1561">
        <f t="shared" si="3"/>
        <v>1</v>
      </c>
      <c r="AB42" s="1561">
        <f t="shared" si="4"/>
        <v>1</v>
      </c>
      <c r="AC42" s="1561">
        <f t="shared" si="5"/>
        <v>1</v>
      </c>
    </row>
    <row r="43" spans="1:29" s="1215" customFormat="1" ht="20.25">
      <c r="A43" s="599"/>
      <c r="B43" s="1879" t="s">
        <v>2424</v>
      </c>
      <c r="C43" s="600" t="s">
        <v>3031</v>
      </c>
      <c r="D43" s="254">
        <v>100</v>
      </c>
      <c r="E43" s="600" t="s">
        <v>3036</v>
      </c>
      <c r="F43" s="539">
        <f>SUMIF(125:125,E43,126:126)-SUMIF(125:125,C43,126:126)+100</f>
        <v>98</v>
      </c>
      <c r="G43" s="600" t="s">
        <v>3036</v>
      </c>
      <c r="H43" s="539">
        <f>SUMIF(125:125,G43,126:126)-SUMIF(125:125,C43,126:126)+100</f>
        <v>98</v>
      </c>
      <c r="I43" s="600" t="s">
        <v>3036</v>
      </c>
      <c r="J43" s="539">
        <f>SUMIF(125:125,I43,126:126)-SUMIF(125:125,C43,126:126)+100</f>
        <v>98</v>
      </c>
      <c r="K43" s="583">
        <v>2</v>
      </c>
      <c r="L43" s="2119"/>
      <c r="M43" s="2116"/>
      <c r="N43" s="2116"/>
      <c r="O43" s="2121"/>
      <c r="P43" s="4022"/>
      <c r="Q43" s="1557" t="str">
        <f t="shared" si="14"/>
        <v>宗地开发程度</v>
      </c>
      <c r="R43" s="1553" t="s">
        <v>8</v>
      </c>
      <c r="S43" s="1554">
        <f t="shared" si="10"/>
        <v>98</v>
      </c>
      <c r="T43" s="1553" t="s">
        <v>8</v>
      </c>
      <c r="U43" s="1554">
        <f t="shared" si="11"/>
        <v>98</v>
      </c>
      <c r="V43" s="1553" t="s">
        <v>8</v>
      </c>
      <c r="W43" s="1554">
        <f t="shared" si="12"/>
        <v>98</v>
      </c>
      <c r="X43" s="1555"/>
      <c r="Y43" s="4022"/>
      <c r="Z43" s="1145" t="str">
        <f t="shared" si="13"/>
        <v>宗地开发程度</v>
      </c>
      <c r="AA43" s="1556">
        <f t="shared" si="3"/>
        <v>1.0204081632653061</v>
      </c>
      <c r="AB43" s="1556">
        <f t="shared" si="4"/>
        <v>1.0204081632653061</v>
      </c>
      <c r="AC43" s="1556">
        <f t="shared" si="5"/>
        <v>1.0204081632653061</v>
      </c>
    </row>
    <row r="44" spans="1:29" ht="20.25">
      <c r="A44" s="593"/>
      <c r="B44" s="526" t="s">
        <v>555</v>
      </c>
      <c r="C44" s="598" t="s">
        <v>3014</v>
      </c>
      <c r="D44" s="539">
        <v>100</v>
      </c>
      <c r="E44" s="598" t="s">
        <v>3014</v>
      </c>
      <c r="F44" s="539">
        <f>SUMIF(127:127,E44,128:128)-SUMIF(127:127,C44,128:128)+100</f>
        <v>100</v>
      </c>
      <c r="G44" s="598" t="s">
        <v>3014</v>
      </c>
      <c r="H44" s="539">
        <f>SUMIF(127:127,G44,128:128)-SUMIF(127:127,C44,128:128)+100</f>
        <v>100</v>
      </c>
      <c r="I44" s="598" t="s">
        <v>3014</v>
      </c>
      <c r="J44" s="539">
        <f>SUMIF(127:127,I44,128:128)-SUMIF(127:127,C44,128:128)+100</f>
        <v>100</v>
      </c>
      <c r="K44" s="583">
        <v>2</v>
      </c>
      <c r="L44" s="2126"/>
      <c r="M44" s="2116"/>
      <c r="N44" s="2116"/>
      <c r="O44" s="2125"/>
      <c r="P44" s="4022" t="s">
        <v>550</v>
      </c>
      <c r="Q44" s="1557" t="str">
        <f t="shared" si="14"/>
        <v>工程地质条件</v>
      </c>
      <c r="R44" s="1558" t="s">
        <v>8</v>
      </c>
      <c r="S44" s="1559">
        <f t="shared" si="10"/>
        <v>100</v>
      </c>
      <c r="T44" s="1558" t="s">
        <v>8</v>
      </c>
      <c r="U44" s="1559">
        <f t="shared" si="11"/>
        <v>100</v>
      </c>
      <c r="V44" s="1558" t="s">
        <v>8</v>
      </c>
      <c r="W44" s="1559">
        <f t="shared" si="12"/>
        <v>100</v>
      </c>
      <c r="X44" s="1552"/>
      <c r="Y44" s="4022" t="s">
        <v>550</v>
      </c>
      <c r="Z44" s="1560" t="str">
        <f t="shared" si="13"/>
        <v>工程地质条件</v>
      </c>
      <c r="AA44" s="1561">
        <f t="shared" si="3"/>
        <v>1</v>
      </c>
      <c r="AB44" s="1561">
        <f t="shared" si="4"/>
        <v>1</v>
      </c>
      <c r="AC44" s="1561">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6"/>
      <c r="M45" s="2116"/>
      <c r="N45" s="2116"/>
      <c r="O45" s="2125"/>
      <c r="P45" s="4022"/>
      <c r="Q45" s="1557">
        <f t="shared" si="14"/>
        <v>111</v>
      </c>
      <c r="R45" s="1558" t="s">
        <v>8</v>
      </c>
      <c r="S45" s="1559">
        <f t="shared" si="10"/>
        <v>100</v>
      </c>
      <c r="T45" s="1558" t="s">
        <v>8</v>
      </c>
      <c r="U45" s="1559">
        <f t="shared" si="11"/>
        <v>100</v>
      </c>
      <c r="V45" s="1558" t="s">
        <v>8</v>
      </c>
      <c r="W45" s="1559">
        <f t="shared" si="12"/>
        <v>100</v>
      </c>
      <c r="X45" s="1552"/>
      <c r="Y45" s="4022"/>
      <c r="Z45" s="1560">
        <f t="shared" si="13"/>
        <v>111</v>
      </c>
      <c r="AA45" s="1561">
        <f t="shared" si="3"/>
        <v>1</v>
      </c>
      <c r="AB45" s="1561">
        <f t="shared" si="4"/>
        <v>1</v>
      </c>
      <c r="AC45" s="1561">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6"/>
      <c r="M46" s="2116"/>
      <c r="N46" s="2116"/>
      <c r="O46" s="2125"/>
      <c r="P46" s="4022"/>
      <c r="Q46" s="1557">
        <f t="shared" si="14"/>
        <v>111</v>
      </c>
      <c r="R46" s="1558" t="s">
        <v>8</v>
      </c>
      <c r="S46" s="1559">
        <f t="shared" si="10"/>
        <v>100</v>
      </c>
      <c r="T46" s="1558" t="s">
        <v>8</v>
      </c>
      <c r="U46" s="1559">
        <f t="shared" si="11"/>
        <v>100</v>
      </c>
      <c r="V46" s="1558" t="s">
        <v>8</v>
      </c>
      <c r="W46" s="1559">
        <f t="shared" si="12"/>
        <v>100</v>
      </c>
      <c r="X46" s="1552"/>
      <c r="Y46" s="4022"/>
      <c r="Z46" s="1560">
        <f t="shared" si="13"/>
        <v>111</v>
      </c>
      <c r="AA46" s="1561">
        <f t="shared" si="3"/>
        <v>1</v>
      </c>
      <c r="AB46" s="1561">
        <f t="shared" si="4"/>
        <v>1</v>
      </c>
      <c r="AC46" s="1561">
        <f t="shared" si="5"/>
        <v>1</v>
      </c>
    </row>
    <row r="47" spans="1:29" s="1334"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4"/>
      <c r="M47" s="2116"/>
      <c r="N47" s="2116"/>
      <c r="O47" s="2127"/>
      <c r="P47" s="4022"/>
      <c r="Q47" s="1557">
        <f t="shared" si="14"/>
        <v>111</v>
      </c>
      <c r="R47" s="1562" t="s">
        <v>8</v>
      </c>
      <c r="S47" s="1563">
        <f t="shared" si="10"/>
        <v>100</v>
      </c>
      <c r="T47" s="1562" t="s">
        <v>8</v>
      </c>
      <c r="U47" s="1563">
        <f t="shared" si="11"/>
        <v>100</v>
      </c>
      <c r="V47" s="1562" t="s">
        <v>8</v>
      </c>
      <c r="W47" s="1563">
        <f t="shared" si="12"/>
        <v>100</v>
      </c>
      <c r="X47" s="1564"/>
      <c r="Y47" s="4022"/>
      <c r="Z47" s="1565">
        <f t="shared" si="13"/>
        <v>111</v>
      </c>
      <c r="AA47" s="1561">
        <f t="shared" si="3"/>
        <v>1</v>
      </c>
      <c r="AB47" s="1561">
        <f t="shared" si="4"/>
        <v>1</v>
      </c>
      <c r="AC47" s="1561">
        <f t="shared" si="5"/>
        <v>1</v>
      </c>
    </row>
    <row r="48" spans="1:29" ht="20.25">
      <c r="A48" s="606" t="s">
        <v>556</v>
      </c>
      <c r="B48" s="607" t="s">
        <v>3140</v>
      </c>
      <c r="C48" s="608" t="s">
        <v>1</v>
      </c>
      <c r="D48" s="609"/>
      <c r="E48" s="3335">
        <f>Sheet2!K2</f>
        <v>1459.99</v>
      </c>
      <c r="F48" s="3336"/>
      <c r="G48" s="3337">
        <f>Sheet2!K8</f>
        <v>1296.1500000000001</v>
      </c>
      <c r="H48" s="613"/>
      <c r="I48" s="610">
        <f>Sheet2!K16</f>
        <v>1485</v>
      </c>
      <c r="J48" s="613"/>
      <c r="K48" s="1335"/>
      <c r="L48" s="2128"/>
      <c r="M48" s="2116"/>
      <c r="N48" s="2116"/>
      <c r="O48" s="2129"/>
      <c r="P48" s="4017" t="str">
        <f>A48</f>
        <v>成交单价</v>
      </c>
      <c r="Q48" s="4017"/>
      <c r="R48" s="4031">
        <f>E48</f>
        <v>1459.99</v>
      </c>
      <c r="S48" s="4031"/>
      <c r="T48" s="4031">
        <f>G48</f>
        <v>1296.1500000000001</v>
      </c>
      <c r="U48" s="4031"/>
      <c r="V48" s="4031">
        <f>I48</f>
        <v>1485</v>
      </c>
      <c r="W48" s="4031"/>
      <c r="X48" s="1544"/>
      <c r="Y48" s="1566"/>
      <c r="Z48" s="1544"/>
      <c r="AA48" s="1544"/>
      <c r="AB48" s="1544"/>
      <c r="AC48" s="1544"/>
    </row>
    <row r="49" spans="1:29" ht="21" thickBot="1">
      <c r="A49" s="614" t="s">
        <v>2692</v>
      </c>
      <c r="B49" s="615"/>
      <c r="C49" s="616">
        <f>R50</f>
        <v>1312</v>
      </c>
      <c r="D49" s="617"/>
      <c r="E49" s="616">
        <f>R49</f>
        <v>1397</v>
      </c>
      <c r="F49" s="618"/>
      <c r="G49" s="619">
        <f>T49</f>
        <v>1177</v>
      </c>
      <c r="H49" s="617"/>
      <c r="I49" s="616">
        <f>V49</f>
        <v>1362</v>
      </c>
      <c r="J49" s="617"/>
      <c r="K49" s="1336"/>
      <c r="L49" s="2128"/>
      <c r="M49" s="2116"/>
      <c r="N49" s="2116"/>
      <c r="O49" s="2129"/>
      <c r="P49" s="4017" t="str">
        <f>A49</f>
        <v>比较价格（元/平方米）</v>
      </c>
      <c r="Q49" s="4017"/>
      <c r="R49" s="4041">
        <f>ROUND(PRODUCT(R48,AA9:AA47),0)</f>
        <v>1397</v>
      </c>
      <c r="S49" s="4041"/>
      <c r="T49" s="4041">
        <f>ROUND(PRODUCT(T48,AB9:AB47),0)</f>
        <v>1177</v>
      </c>
      <c r="U49" s="4041"/>
      <c r="V49" s="4041">
        <f>ROUND(PRODUCT(V48,AC9:AC47),0)</f>
        <v>1362</v>
      </c>
      <c r="W49" s="4041"/>
      <c r="X49" s="1544"/>
      <c r="Y49" s="1544"/>
      <c r="Z49" s="1544"/>
      <c r="AA49" s="1544"/>
      <c r="AB49" s="1544"/>
      <c r="AC49" s="1544"/>
    </row>
    <row r="50" spans="1:29" ht="21" thickBot="1">
      <c r="A50" s="620" t="s">
        <v>2932</v>
      </c>
      <c r="B50" s="621"/>
      <c r="C50" s="622">
        <f>R50</f>
        <v>1312</v>
      </c>
      <c r="D50" s="622"/>
      <c r="E50" s="622"/>
      <c r="F50" s="622"/>
      <c r="G50" s="622"/>
      <c r="H50" s="622"/>
      <c r="I50" s="622"/>
      <c r="J50" s="622"/>
      <c r="K50" s="1337"/>
      <c r="L50" s="2128"/>
      <c r="M50" s="2116"/>
      <c r="N50" s="2116"/>
      <c r="O50" s="2129"/>
      <c r="P50" s="4038" t="str">
        <f>A50</f>
        <v>估价对象XX用房的比较价格（楼面单价，元/平方米）</v>
      </c>
      <c r="Q50" s="4039"/>
      <c r="R50" s="4040">
        <f>ROUND(AVERAGE(R49:V49),0)</f>
        <v>1312</v>
      </c>
      <c r="S50" s="4040"/>
      <c r="T50" s="4040"/>
      <c r="U50" s="4040"/>
      <c r="V50" s="4040"/>
      <c r="W50" s="4040"/>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3" t="s">
        <v>557</v>
      </c>
      <c r="D53" s="624"/>
      <c r="E53" s="625">
        <f>IF(E48&lt;E49,E49/E48-1,E48/E49-1)</f>
        <v>4.5089477451682125E-2</v>
      </c>
      <c r="F53" s="626" t="str">
        <f>IF(OR(E53&gt;=0.3,E53&lt;=-0.3),"超过30%","")</f>
        <v/>
      </c>
      <c r="G53" s="625">
        <f>IF(G48&lt;G49,G49/G48-1,G48/G49-1)</f>
        <v>0.10123194562446902</v>
      </c>
      <c r="H53" s="626" t="str">
        <f>IF(OR(G53&gt;=0.3,G53&lt;=-0.3),"超过30%","")</f>
        <v/>
      </c>
      <c r="I53" s="625">
        <f>IF(I48&lt;I49,I49/I48-1,I48/I49-1)</f>
        <v>9.0308370044052788E-2</v>
      </c>
      <c r="J53" s="626"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3" t="s">
        <v>558</v>
      </c>
      <c r="D54" s="627"/>
      <c r="E54" s="625">
        <f>IF(E49&lt;G49,G49/E49-1,E49/G49-1)</f>
        <v>0.18691588785046731</v>
      </c>
      <c r="F54" s="626" t="str">
        <f>IF(OR(E54&gt;=0.2,E54&lt;=-0.2),"超过20%","")</f>
        <v/>
      </c>
      <c r="G54" s="625">
        <f>IF(G49&lt;I49,I49/G49-1,G49/I49-1)</f>
        <v>0.15717926932880211</v>
      </c>
      <c r="H54" s="626" t="str">
        <f>IF(OR(G54&gt;=0.2,G54&lt;=-0.2),"超过20%","")</f>
        <v/>
      </c>
      <c r="I54" s="625">
        <f>IF(I49&lt;E49,E49/I49-1,I49/E49-1)</f>
        <v>2.5697503671072042E-2</v>
      </c>
      <c r="J54" s="626"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40" customFormat="1" ht="13.5" customHeight="1">
      <c r="A55" s="2130"/>
      <c r="B55" s="2130"/>
      <c r="C55" s="623" t="s">
        <v>559</v>
      </c>
      <c r="D55" s="627"/>
      <c r="E55" s="625">
        <f>IF(E48&lt;G48,G48/E48-1,E48/G48-1)</f>
        <v>0.12640512286386607</v>
      </c>
      <c r="F55" s="626" t="str">
        <f>IF(OR(E55&gt;=0.3,E55&lt;=-0.3),"超过30%","")</f>
        <v/>
      </c>
      <c r="G55" s="625">
        <f>IF(G48&lt;I48,I48/G48-1,G48/I48-1)</f>
        <v>0.14570072908228204</v>
      </c>
      <c r="H55" s="626" t="str">
        <f>IF(OR(G55&gt;=0.3,G55&lt;=-0.3),"超过30%","")</f>
        <v/>
      </c>
      <c r="I55" s="625">
        <f>IF(I48&lt;E48,E48/I48-1,I48/E48-1)</f>
        <v>1.7130254316810367E-2</v>
      </c>
      <c r="J55" s="626"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40"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8" t="s">
        <v>560</v>
      </c>
      <c r="B57" s="629" t="s">
        <v>561</v>
      </c>
      <c r="C57" s="1545" t="s">
        <v>1724</v>
      </c>
      <c r="D57" s="2211" t="s">
        <v>2293</v>
      </c>
      <c r="E57" s="630" t="s">
        <v>562</v>
      </c>
      <c r="F57" s="631" t="s">
        <v>563</v>
      </c>
      <c r="G57" s="4001" t="s">
        <v>2281</v>
      </c>
      <c r="H57" s="4002"/>
      <c r="I57" s="1540" t="s">
        <v>1722</v>
      </c>
      <c r="J57" s="1540">
        <f>项目基本情况!F41</f>
        <v>0</v>
      </c>
      <c r="K57" s="2138" t="s">
        <v>1723</v>
      </c>
      <c r="L57" s="2134"/>
      <c r="M57" s="2129"/>
      <c r="N57" s="2129"/>
      <c r="O57" s="2129"/>
      <c r="P57" s="2129"/>
      <c r="Q57" s="2129"/>
      <c r="R57" s="2129"/>
      <c r="S57" s="2129"/>
      <c r="T57" s="2129"/>
      <c r="U57" s="2129"/>
      <c r="V57" s="2129"/>
      <c r="W57" s="2129"/>
      <c r="X57" s="2129"/>
      <c r="Y57" s="2129"/>
      <c r="Z57" s="2129"/>
      <c r="AA57" s="2129"/>
      <c r="AB57" s="2129"/>
      <c r="AC57" s="2129"/>
    </row>
    <row r="58" spans="1:29" s="1341" customFormat="1" ht="12.75">
      <c r="A58" s="632" t="s">
        <v>564</v>
      </c>
      <c r="B58" s="633">
        <f>C50</f>
        <v>1312</v>
      </c>
      <c r="C58" s="634">
        <v>1</v>
      </c>
      <c r="D58" s="2212">
        <v>1</v>
      </c>
      <c r="E58" s="634">
        <f>'数据-汇总表'!E8+'数据-汇总表'!E9</f>
        <v>131098.96</v>
      </c>
      <c r="F58" s="635">
        <f t="shared" ref="F58:F67" si="15">ROUND(B58*E58/10000,0)</f>
        <v>17200</v>
      </c>
      <c r="G58" s="4003"/>
      <c r="H58" s="4004"/>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1" customFormat="1" ht="12.75">
      <c r="A59" s="636" t="s">
        <v>565</v>
      </c>
      <c r="B59" s="637">
        <f>ROUND($C$50*C59*D59,0)</f>
        <v>0</v>
      </c>
      <c r="C59" s="377">
        <f t="shared" ref="C59:C67" si="16">IF($C$57="北京市系数",I59,J59)</f>
        <v>0</v>
      </c>
      <c r="D59" s="2213">
        <v>0.25</v>
      </c>
      <c r="E59" s="638">
        <v>0</v>
      </c>
      <c r="F59" s="635">
        <f t="shared" si="15"/>
        <v>0</v>
      </c>
      <c r="G59" s="4005" t="s">
        <v>2282</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1" customFormat="1" ht="12.75">
      <c r="A60" s="636" t="s">
        <v>566</v>
      </c>
      <c r="B60" s="637">
        <f t="shared" ref="B60:B67" si="17">ROUND($C$50*C60*D60,0)</f>
        <v>0</v>
      </c>
      <c r="C60" s="377">
        <f t="shared" si="16"/>
        <v>0</v>
      </c>
      <c r="D60" s="2213">
        <v>0.25</v>
      </c>
      <c r="E60" s="638">
        <v>0</v>
      </c>
      <c r="F60" s="635">
        <f t="shared" si="15"/>
        <v>0</v>
      </c>
      <c r="G60" s="4005"/>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1" customFormat="1" ht="12.75">
      <c r="A61" s="636" t="s">
        <v>567</v>
      </c>
      <c r="B61" s="637">
        <f t="shared" si="17"/>
        <v>0</v>
      </c>
      <c r="C61" s="377">
        <f t="shared" si="16"/>
        <v>0</v>
      </c>
      <c r="D61" s="2213">
        <v>0.25</v>
      </c>
      <c r="E61" s="638">
        <v>0</v>
      </c>
      <c r="F61" s="635">
        <f t="shared" si="15"/>
        <v>0</v>
      </c>
      <c r="G61" s="4005"/>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1" customFormat="1" ht="12.75">
      <c r="A62" s="636" t="s">
        <v>568</v>
      </c>
      <c r="B62" s="637">
        <f t="shared" si="17"/>
        <v>0</v>
      </c>
      <c r="C62" s="377">
        <f t="shared" si="16"/>
        <v>0</v>
      </c>
      <c r="D62" s="2213">
        <v>0.25</v>
      </c>
      <c r="E62" s="638">
        <v>0</v>
      </c>
      <c r="F62" s="635">
        <f t="shared" si="15"/>
        <v>0</v>
      </c>
      <c r="G62" s="4005"/>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1" customFormat="1" ht="12.75">
      <c r="A63" s="2315" t="s">
        <v>2328</v>
      </c>
      <c r="B63" s="637">
        <f t="shared" si="17"/>
        <v>0</v>
      </c>
      <c r="C63" s="377">
        <f t="shared" si="16"/>
        <v>0</v>
      </c>
      <c r="D63" s="2213">
        <v>0.25</v>
      </c>
      <c r="E63" s="640">
        <f>'数据-汇总表'!E11</f>
        <v>0</v>
      </c>
      <c r="F63" s="635">
        <f t="shared" si="15"/>
        <v>0</v>
      </c>
      <c r="G63" s="1929" t="s">
        <v>2283</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1" customFormat="1" ht="12.75">
      <c r="A64" s="636" t="s">
        <v>569</v>
      </c>
      <c r="B64" s="637">
        <f t="shared" si="17"/>
        <v>0</v>
      </c>
      <c r="C64" s="377">
        <f t="shared" si="16"/>
        <v>0</v>
      </c>
      <c r="D64" s="2213">
        <v>0.25</v>
      </c>
      <c r="E64" s="640">
        <f>'数据-汇总表'!E12</f>
        <v>0</v>
      </c>
      <c r="F64" s="635">
        <f t="shared" si="15"/>
        <v>0</v>
      </c>
      <c r="G64" s="1930" t="s">
        <v>1677</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1" customFormat="1" ht="12.75">
      <c r="A65" s="636" t="s">
        <v>570</v>
      </c>
      <c r="B65" s="637">
        <f t="shared" si="17"/>
        <v>0</v>
      </c>
      <c r="C65" s="377">
        <f t="shared" si="16"/>
        <v>0</v>
      </c>
      <c r="D65" s="2213">
        <v>0.25</v>
      </c>
      <c r="E65" s="640">
        <f>'数据-汇总表'!E13</f>
        <v>28598.17</v>
      </c>
      <c r="F65" s="635">
        <f t="shared" si="15"/>
        <v>0</v>
      </c>
      <c r="G65" s="1930" t="s">
        <v>923</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1" customFormat="1" ht="12.75">
      <c r="A66" s="636" t="s">
        <v>571</v>
      </c>
      <c r="B66" s="637">
        <f t="shared" si="17"/>
        <v>0</v>
      </c>
      <c r="C66" s="377">
        <f t="shared" si="16"/>
        <v>0</v>
      </c>
      <c r="D66" s="2213">
        <v>0.25</v>
      </c>
      <c r="E66" s="640">
        <f>'数据-汇总表'!E14</f>
        <v>0</v>
      </c>
      <c r="F66" s="635">
        <f t="shared" si="15"/>
        <v>0</v>
      </c>
      <c r="G66" s="1929" t="s">
        <v>2282</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1" customFormat="1" ht="13.5" thickBot="1">
      <c r="A67" s="636" t="s">
        <v>572</v>
      </c>
      <c r="B67" s="637">
        <f t="shared" si="17"/>
        <v>0</v>
      </c>
      <c r="C67" s="377">
        <f t="shared" si="16"/>
        <v>0</v>
      </c>
      <c r="D67" s="2213">
        <v>0.25</v>
      </c>
      <c r="E67" s="640">
        <f>'数据-汇总表'!E15</f>
        <v>0</v>
      </c>
      <c r="F67" s="635">
        <f t="shared" si="15"/>
        <v>0</v>
      </c>
      <c r="G67" s="1931" t="s">
        <v>2283</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1" customFormat="1" ht="13.5" thickBot="1">
      <c r="A68" s="641" t="s">
        <v>573</v>
      </c>
      <c r="B68" s="642" t="s">
        <v>17</v>
      </c>
      <c r="C68" s="642" t="s">
        <v>18</v>
      </c>
      <c r="D68" s="642" t="s">
        <v>2294</v>
      </c>
      <c r="E68" s="642">
        <f>IF(B48="楼面地价",SUM(E58:E67),'数据-汇总表'!D3)</f>
        <v>159697.13</v>
      </c>
      <c r="F68" s="643">
        <f>IF(B48="楼面地价",SUM(F58:F67),ROUND(C50*E68/10000,0))</f>
        <v>17200</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2019-7-1</v>
      </c>
      <c r="D70" s="2753">
        <f>EDATE(C70,-3)</f>
        <v>43556</v>
      </c>
      <c r="E70" s="2753">
        <f t="shared" ref="E70:N70" si="18">EDATE(D70,-3)</f>
        <v>43466</v>
      </c>
      <c r="F70" s="2753">
        <f t="shared" si="18"/>
        <v>43374</v>
      </c>
      <c r="G70" s="2753">
        <f t="shared" si="18"/>
        <v>43282</v>
      </c>
      <c r="H70" s="2753">
        <f t="shared" si="18"/>
        <v>43191</v>
      </c>
      <c r="I70" s="2753">
        <f t="shared" si="18"/>
        <v>43101</v>
      </c>
      <c r="J70" s="2753">
        <f t="shared" si="18"/>
        <v>43009</v>
      </c>
      <c r="K70" s="2753">
        <f t="shared" si="18"/>
        <v>42917</v>
      </c>
      <c r="L70" s="2753">
        <f t="shared" si="18"/>
        <v>42826</v>
      </c>
      <c r="M70" s="2753">
        <f t="shared" si="18"/>
        <v>42736</v>
      </c>
      <c r="N70" s="2753">
        <f t="shared" si="18"/>
        <v>42644</v>
      </c>
      <c r="O70" s="2129"/>
      <c r="P70" s="2129"/>
      <c r="Q70" s="2129"/>
      <c r="R70" s="2129"/>
      <c r="S70" s="2129"/>
      <c r="T70" s="2129"/>
      <c r="U70" s="2129"/>
      <c r="V70" s="2129"/>
      <c r="W70" s="2129"/>
      <c r="X70" s="2129"/>
      <c r="Y70" s="2129"/>
      <c r="Z70" s="2129"/>
      <c r="AA70" s="2129"/>
      <c r="AB70" s="2129"/>
      <c r="AC70" s="2129"/>
    </row>
    <row r="71" spans="1:29" ht="21.75" thickBot="1">
      <c r="A71" s="1569" t="s">
        <v>574</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2" customFormat="1" ht="15">
      <c r="A72" s="2531" t="s">
        <v>2531</v>
      </c>
      <c r="B72" s="2532"/>
      <c r="C72" s="2749" t="str">
        <f>YEAR(C70)&amp;"-"&amp;ROUNDUP(MONTH(C70)/3,0)</f>
        <v>2019-3</v>
      </c>
      <c r="D72" s="2755" t="str">
        <f>YEAR(D70)&amp;"-"&amp;ROUNDUP(MONTH(D70)/3,0)</f>
        <v>2019-2</v>
      </c>
      <c r="E72" s="2755" t="str">
        <f t="shared" ref="E72:N72" si="19">YEAR(E70)&amp;"-"&amp;ROUNDUP(MONTH(E70)/3,0)</f>
        <v>2019-1</v>
      </c>
      <c r="F72" s="2755" t="str">
        <f t="shared" si="19"/>
        <v>2018-4</v>
      </c>
      <c r="G72" s="2755" t="str">
        <f t="shared" si="19"/>
        <v>2018-3</v>
      </c>
      <c r="H72" s="2755" t="str">
        <f t="shared" si="19"/>
        <v>2018-2</v>
      </c>
      <c r="I72" s="2755" t="str">
        <f t="shared" si="19"/>
        <v>2018-1</v>
      </c>
      <c r="J72" s="2755" t="str">
        <f t="shared" si="19"/>
        <v>2017-4</v>
      </c>
      <c r="K72" s="2755" t="str">
        <f t="shared" si="19"/>
        <v>2017-3</v>
      </c>
      <c r="L72" s="2755" t="str">
        <f t="shared" si="19"/>
        <v>2017-2</v>
      </c>
      <c r="M72" s="2755" t="str">
        <f t="shared" si="19"/>
        <v>2017-1</v>
      </c>
      <c r="N72" s="2755" t="str">
        <f t="shared" si="19"/>
        <v>2016-4</v>
      </c>
      <c r="O72" s="2143"/>
      <c r="P72" s="2144"/>
      <c r="Q72" s="2145"/>
      <c r="R72" s="2145"/>
      <c r="S72" s="2145"/>
      <c r="T72" s="2145"/>
      <c r="U72" s="2145"/>
      <c r="V72" s="2145"/>
      <c r="W72" s="2145"/>
      <c r="X72" s="2145"/>
      <c r="Y72" s="2145"/>
      <c r="Z72" s="2145"/>
      <c r="AA72" s="2145"/>
      <c r="AB72" s="2145"/>
      <c r="AC72" s="2145"/>
    </row>
    <row r="73" spans="1:29" s="1215" customFormat="1" ht="27" customHeight="1">
      <c r="A73" s="2760" t="s">
        <v>2646</v>
      </c>
      <c r="B73" s="478" t="str">
        <f>"北京市平均增长率"&amp;TEXT(SUMIF(基准地价!N21:N25,A73,基准地价!P21:P25),"0.00%")</f>
        <v>北京市平均增长率2.04%</v>
      </c>
      <c r="C73" s="893">
        <v>100</v>
      </c>
      <c r="D73" s="729">
        <v>99</v>
      </c>
      <c r="E73" s="729">
        <v>98</v>
      </c>
      <c r="F73" s="729">
        <v>97</v>
      </c>
      <c r="G73" s="729">
        <v>96</v>
      </c>
      <c r="H73" s="729"/>
      <c r="I73" s="729"/>
      <c r="J73" s="729"/>
      <c r="K73" s="729"/>
      <c r="L73" s="729"/>
      <c r="M73" s="2747"/>
      <c r="N73" s="2748"/>
      <c r="O73" s="2146"/>
      <c r="P73" s="2142"/>
      <c r="Q73" s="1977"/>
      <c r="R73" s="1977"/>
      <c r="S73" s="1977"/>
      <c r="T73" s="1977"/>
      <c r="U73" s="1977"/>
      <c r="V73" s="1977"/>
      <c r="W73" s="1977"/>
      <c r="X73" s="1977"/>
      <c r="Y73" s="1977"/>
      <c r="Z73" s="1977"/>
      <c r="AA73" s="1977"/>
      <c r="AB73" s="1977"/>
      <c r="AC73" s="1977"/>
    </row>
    <row r="74" spans="1:29" s="1215" customFormat="1" ht="15" customHeight="1" thickBot="1">
      <c r="A74" s="2751" t="s">
        <v>2645</v>
      </c>
      <c r="B74" s="2759"/>
      <c r="C74" s="2745"/>
      <c r="D74" s="2746"/>
      <c r="E74" s="2746"/>
      <c r="F74" s="2746"/>
      <c r="G74" s="2746"/>
      <c r="H74" s="2746"/>
      <c r="I74" s="2746"/>
      <c r="J74" s="2746"/>
      <c r="K74" s="2746"/>
      <c r="L74" s="2746"/>
      <c r="M74" s="2746"/>
      <c r="N74" s="2746"/>
      <c r="O74" s="2146"/>
      <c r="P74" s="2142"/>
      <c r="Q74" s="2142"/>
      <c r="R74" s="1977"/>
      <c r="S74" s="1977"/>
      <c r="T74" s="1977"/>
      <c r="U74" s="1977"/>
      <c r="V74" s="1977"/>
      <c r="W74" s="1977"/>
      <c r="X74" s="1977"/>
      <c r="Y74" s="1977"/>
      <c r="Z74" s="1977"/>
      <c r="AA74" s="1977"/>
      <c r="AB74" s="1977"/>
      <c r="AC74" s="1977"/>
    </row>
    <row r="75" spans="1:29" s="1215" customFormat="1" ht="15">
      <c r="A75" s="658" t="s">
        <v>531</v>
      </c>
      <c r="B75" s="647"/>
      <c r="C75" s="659" t="s">
        <v>576</v>
      </c>
      <c r="D75" s="660"/>
      <c r="E75" s="660"/>
      <c r="F75" s="660"/>
      <c r="G75" s="660"/>
      <c r="H75" s="660"/>
      <c r="I75" s="660"/>
      <c r="J75" s="660"/>
      <c r="K75" s="660"/>
      <c r="L75" s="661"/>
      <c r="M75" s="662"/>
      <c r="N75" s="2146"/>
      <c r="O75" s="2146"/>
      <c r="P75" s="2147"/>
      <c r="Q75" s="2142"/>
      <c r="R75" s="1977"/>
      <c r="S75" s="1977"/>
      <c r="T75" s="1977"/>
      <c r="U75" s="1977"/>
      <c r="V75" s="1977"/>
      <c r="W75" s="1977"/>
      <c r="X75" s="1977"/>
      <c r="Y75" s="1977"/>
      <c r="Z75" s="1977"/>
      <c r="AA75" s="1977"/>
      <c r="AB75" s="1977"/>
      <c r="AC75" s="1977"/>
    </row>
    <row r="76" spans="1:29" s="1215" customFormat="1" ht="15.75" thickBot="1">
      <c r="A76" s="658"/>
      <c r="B76" s="647"/>
      <c r="C76" s="648">
        <v>100</v>
      </c>
      <c r="D76" s="649"/>
      <c r="E76" s="649"/>
      <c r="F76" s="649"/>
      <c r="G76" s="649"/>
      <c r="H76" s="649"/>
      <c r="I76" s="649"/>
      <c r="J76" s="649"/>
      <c r="K76" s="649"/>
      <c r="L76" s="649"/>
      <c r="M76" s="651"/>
      <c r="N76" s="2146"/>
      <c r="O76" s="2146"/>
      <c r="P76" s="2142"/>
      <c r="Q76" s="2142"/>
      <c r="R76" s="1977"/>
      <c r="S76" s="1977"/>
      <c r="T76" s="1977"/>
      <c r="U76" s="1977"/>
      <c r="V76" s="1977"/>
      <c r="W76" s="1977"/>
      <c r="X76" s="1977"/>
      <c r="Y76" s="1977"/>
      <c r="Z76" s="1977"/>
      <c r="AA76" s="1977"/>
      <c r="AB76" s="1977"/>
      <c r="AC76" s="1977"/>
    </row>
    <row r="77" spans="1:29">
      <c r="A77" s="663" t="s">
        <v>577</v>
      </c>
      <c r="B77" s="664" t="s">
        <v>534</v>
      </c>
      <c r="C77" s="3186" t="s">
        <v>3125</v>
      </c>
      <c r="D77" s="597"/>
      <c r="E77" s="597"/>
      <c r="F77" s="597"/>
      <c r="G77" s="597"/>
      <c r="H77" s="597"/>
      <c r="I77" s="597"/>
      <c r="J77" s="597"/>
      <c r="K77" s="665"/>
      <c r="L77" s="666"/>
      <c r="M77" s="667"/>
      <c r="N77" s="2148"/>
      <c r="O77" s="2148"/>
      <c r="P77" s="2149"/>
      <c r="Q77" s="2142"/>
      <c r="R77" s="2129"/>
      <c r="S77" s="2129"/>
      <c r="T77" s="2129"/>
      <c r="U77" s="2129"/>
      <c r="V77" s="2129"/>
      <c r="W77" s="2129"/>
      <c r="X77" s="2129"/>
      <c r="Y77" s="2129"/>
      <c r="Z77" s="2129"/>
      <c r="AA77" s="2129"/>
      <c r="AB77" s="2129"/>
      <c r="AC77" s="2129"/>
    </row>
    <row r="78" spans="1:29" ht="15.75" thickBot="1">
      <c r="A78" s="668"/>
      <c r="B78" s="669"/>
      <c r="C78" s="670">
        <v>100</v>
      </c>
      <c r="D78" s="670"/>
      <c r="E78" s="670"/>
      <c r="F78" s="670"/>
      <c r="G78" s="670"/>
      <c r="H78" s="670"/>
      <c r="I78" s="670"/>
      <c r="J78" s="670"/>
      <c r="K78" s="670"/>
      <c r="L78" s="670"/>
      <c r="M78" s="671"/>
      <c r="N78" s="2150"/>
      <c r="O78" s="2150"/>
      <c r="P78" s="2149"/>
      <c r="Q78" s="2142"/>
      <c r="R78" s="2129"/>
      <c r="S78" s="2129"/>
      <c r="T78" s="2129"/>
      <c r="U78" s="2129"/>
      <c r="V78" s="2129"/>
      <c r="W78" s="2129"/>
      <c r="X78" s="2129"/>
      <c r="Y78" s="2129"/>
      <c r="Z78" s="2129"/>
      <c r="AA78" s="2129"/>
      <c r="AB78" s="2129"/>
      <c r="AC78" s="2129"/>
    </row>
    <row r="79" spans="1:29" ht="27.75" thickTop="1">
      <c r="A79" s="668"/>
      <c r="B79" s="672" t="s">
        <v>537</v>
      </c>
      <c r="C79" s="673"/>
      <c r="D79" s="673"/>
      <c r="E79" s="673"/>
      <c r="F79" s="673"/>
      <c r="G79" s="673"/>
      <c r="H79" s="673"/>
      <c r="I79" s="673"/>
      <c r="J79" s="673"/>
      <c r="K79" s="674"/>
      <c r="L79" s="675"/>
      <c r="M79" s="676"/>
      <c r="N79" s="2148"/>
      <c r="O79" s="2148"/>
      <c r="P79" s="2149"/>
      <c r="Q79" s="2142"/>
      <c r="R79" s="2129"/>
      <c r="S79" s="2129"/>
      <c r="T79" s="2129"/>
      <c r="U79" s="2129"/>
      <c r="V79" s="2129"/>
      <c r="W79" s="2129"/>
      <c r="X79" s="2129"/>
      <c r="Y79" s="2129"/>
      <c r="Z79" s="2129"/>
      <c r="AA79" s="2129"/>
      <c r="AB79" s="2129"/>
      <c r="AC79" s="2129"/>
    </row>
    <row r="80" spans="1:29" ht="15.75" thickBot="1">
      <c r="A80" s="668"/>
      <c r="B80" s="677"/>
      <c r="C80" s="678"/>
      <c r="D80" s="678"/>
      <c r="E80" s="678"/>
      <c r="F80" s="678"/>
      <c r="G80" s="678"/>
      <c r="H80" s="678"/>
      <c r="I80" s="678"/>
      <c r="J80" s="678"/>
      <c r="K80" s="678"/>
      <c r="L80" s="678"/>
      <c r="M80" s="679"/>
      <c r="N80" s="2150"/>
      <c r="O80" s="2150"/>
      <c r="P80" s="2149"/>
      <c r="Q80" s="2142"/>
      <c r="R80" s="2129"/>
      <c r="S80" s="2129"/>
      <c r="T80" s="2129"/>
      <c r="U80" s="2129"/>
      <c r="V80" s="2129"/>
      <c r="W80" s="2129"/>
      <c r="X80" s="2129"/>
      <c r="Y80" s="2129"/>
      <c r="Z80" s="2129"/>
      <c r="AA80" s="2129"/>
      <c r="AB80" s="2129"/>
      <c r="AC80" s="2129"/>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v>
      </c>
      <c r="I81" s="681" t="str">
        <f t="shared" si="20"/>
        <v>（含）-</v>
      </c>
      <c r="J81" s="681" t="str">
        <f t="shared" si="20"/>
        <v>（含）-</v>
      </c>
      <c r="K81" s="681" t="str">
        <f t="shared" si="20"/>
        <v>（含）-</v>
      </c>
      <c r="L81" s="681" t="str">
        <f t="shared" si="20"/>
        <v>（含）-</v>
      </c>
      <c r="M81" s="554"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8"/>
      <c r="B82" s="682"/>
      <c r="C82" s="540">
        <v>0</v>
      </c>
      <c r="D82" s="540">
        <v>1</v>
      </c>
      <c r="E82" s="540">
        <v>2</v>
      </c>
      <c r="F82" s="540">
        <v>3</v>
      </c>
      <c r="G82" s="540">
        <v>4</v>
      </c>
      <c r="H82" s="540">
        <v>5</v>
      </c>
      <c r="I82" s="540"/>
      <c r="J82" s="540"/>
      <c r="K82" s="683"/>
      <c r="L82" s="684"/>
      <c r="M82" s="685"/>
      <c r="N82" s="2148"/>
      <c r="O82" s="2148"/>
      <c r="P82" s="2149"/>
      <c r="Q82" s="2142"/>
      <c r="R82" s="2129"/>
      <c r="S82" s="2129"/>
      <c r="T82" s="2129"/>
      <c r="U82" s="2129"/>
      <c r="V82" s="2129"/>
      <c r="W82" s="2129"/>
      <c r="X82" s="2129"/>
      <c r="Y82" s="2129"/>
      <c r="Z82" s="2129"/>
      <c r="AA82" s="2129"/>
      <c r="AB82" s="2129"/>
      <c r="AC82" s="2129"/>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50"/>
      <c r="O83" s="2150"/>
      <c r="P83" s="2149"/>
      <c r="Q83" s="2142"/>
      <c r="R83" s="2129"/>
      <c r="S83" s="2129"/>
      <c r="T83" s="2129"/>
      <c r="U83" s="2129"/>
      <c r="V83" s="2129"/>
      <c r="W83" s="2129"/>
      <c r="X83" s="2129"/>
      <c r="Y83" s="2129"/>
      <c r="Z83" s="2129"/>
      <c r="AA83" s="2129"/>
      <c r="AB83" s="2129"/>
      <c r="AC83" s="2129"/>
    </row>
    <row r="84" spans="1:29" s="1334" customFormat="1" ht="15.75" thickTop="1">
      <c r="A84" s="686"/>
      <c r="B84" s="672" t="str">
        <f>B14</f>
        <v>配建</v>
      </c>
      <c r="C84" s="687"/>
      <c r="D84" s="1370"/>
      <c r="E84" s="1371"/>
      <c r="F84" s="687"/>
      <c r="G84" s="687"/>
      <c r="H84" s="688"/>
      <c r="I84" s="688"/>
      <c r="J84" s="688"/>
      <c r="K84" s="688"/>
      <c r="L84" s="689"/>
      <c r="M84" s="690"/>
      <c r="N84" s="2151"/>
      <c r="O84" s="2151"/>
      <c r="P84" s="2152"/>
      <c r="Q84" s="2153"/>
      <c r="R84" s="2154"/>
      <c r="S84" s="2154"/>
      <c r="T84" s="2154"/>
      <c r="U84" s="2154"/>
      <c r="V84" s="2154"/>
      <c r="W84" s="2154"/>
      <c r="X84" s="2154"/>
      <c r="Y84" s="2154"/>
      <c r="Z84" s="2154"/>
      <c r="AA84" s="2154"/>
      <c r="AB84" s="2154"/>
      <c r="AC84" s="2154"/>
    </row>
    <row r="85" spans="1:29" s="1334" customFormat="1" ht="15.75" thickBot="1">
      <c r="A85" s="686"/>
      <c r="B85" s="677"/>
      <c r="C85" s="691"/>
      <c r="D85" s="670"/>
      <c r="E85" s="670"/>
      <c r="F85" s="670"/>
      <c r="G85" s="670"/>
      <c r="H85" s="670"/>
      <c r="I85" s="670"/>
      <c r="J85" s="670"/>
      <c r="K85" s="670"/>
      <c r="L85" s="670"/>
      <c r="M85" s="671"/>
      <c r="N85" s="2150"/>
      <c r="O85" s="2150"/>
      <c r="P85" s="2152"/>
      <c r="Q85" s="2153"/>
      <c r="R85" s="2154"/>
      <c r="S85" s="2154"/>
      <c r="T85" s="2154"/>
      <c r="U85" s="2154"/>
      <c r="V85" s="2154"/>
      <c r="W85" s="2154"/>
      <c r="X85" s="2154"/>
      <c r="Y85" s="2154"/>
      <c r="Z85" s="2154"/>
      <c r="AA85" s="2154"/>
      <c r="AB85" s="2154"/>
      <c r="AC85" s="2154"/>
    </row>
    <row r="86" spans="1:29" s="1334" customFormat="1" ht="15.75" thickTop="1">
      <c r="A86" s="686"/>
      <c r="B86" s="672">
        <f>B15</f>
        <v>111</v>
      </c>
      <c r="C86" s="687"/>
      <c r="D86" s="687"/>
      <c r="E86" s="687"/>
      <c r="F86" s="687"/>
      <c r="G86" s="687"/>
      <c r="H86" s="688"/>
      <c r="I86" s="688"/>
      <c r="J86" s="688"/>
      <c r="K86" s="688"/>
      <c r="L86" s="689"/>
      <c r="M86" s="690"/>
      <c r="N86" s="2151"/>
      <c r="O86" s="2151"/>
      <c r="P86" s="2155"/>
      <c r="Q86" s="2156"/>
      <c r="R86" s="2154"/>
      <c r="S86" s="2154"/>
      <c r="T86" s="2154"/>
      <c r="U86" s="2154"/>
      <c r="V86" s="2154"/>
      <c r="W86" s="2154"/>
      <c r="X86" s="2154"/>
      <c r="Y86" s="2154"/>
      <c r="Z86" s="2154"/>
      <c r="AA86" s="2154"/>
      <c r="AB86" s="2154"/>
      <c r="AC86" s="2154"/>
    </row>
    <row r="87" spans="1:29" s="1334" customFormat="1" ht="15.75" thickBot="1">
      <c r="A87" s="686"/>
      <c r="B87" s="677"/>
      <c r="C87" s="691"/>
      <c r="D87" s="691"/>
      <c r="E87" s="691"/>
      <c r="F87" s="691"/>
      <c r="G87" s="691"/>
      <c r="H87" s="692"/>
      <c r="I87" s="692"/>
      <c r="J87" s="692"/>
      <c r="K87" s="692"/>
      <c r="L87" s="692"/>
      <c r="M87" s="693"/>
      <c r="N87" s="2151"/>
      <c r="O87" s="2151"/>
      <c r="P87" s="2152"/>
      <c r="Q87" s="2153"/>
      <c r="R87" s="2154"/>
      <c r="S87" s="2154"/>
      <c r="T87" s="2154"/>
      <c r="U87" s="2154"/>
      <c r="V87" s="2154"/>
      <c r="W87" s="2154"/>
      <c r="X87" s="2154"/>
      <c r="Y87" s="2154"/>
      <c r="Z87" s="2154"/>
      <c r="AA87" s="2154"/>
      <c r="AB87" s="2154"/>
      <c r="AC87" s="2154"/>
    </row>
    <row r="88" spans="1:29" s="1334" customFormat="1" ht="15.75" thickTop="1">
      <c r="A88" s="686"/>
      <c r="B88" s="680">
        <f>B16</f>
        <v>111</v>
      </c>
      <c r="C88" s="660"/>
      <c r="D88" s="660"/>
      <c r="E88" s="660"/>
      <c r="F88" s="660"/>
      <c r="G88" s="660"/>
      <c r="H88" s="694"/>
      <c r="I88" s="694"/>
      <c r="J88" s="694"/>
      <c r="K88" s="694"/>
      <c r="L88" s="695"/>
      <c r="M88" s="696"/>
      <c r="N88" s="2151"/>
      <c r="O88" s="2151"/>
      <c r="P88" s="2157"/>
      <c r="Q88" s="2153"/>
      <c r="R88" s="2154"/>
      <c r="S88" s="2154"/>
      <c r="T88" s="2154"/>
      <c r="U88" s="2154"/>
      <c r="V88" s="2154"/>
      <c r="W88" s="2154"/>
      <c r="X88" s="2154"/>
      <c r="Y88" s="2154"/>
      <c r="Z88" s="2154"/>
      <c r="AA88" s="2154"/>
      <c r="AB88" s="2154"/>
      <c r="AC88" s="2154"/>
    </row>
    <row r="89" spans="1:29" s="1334" customFormat="1" ht="15.75" thickBot="1">
      <c r="A89" s="697"/>
      <c r="B89" s="698"/>
      <c r="C89" s="699"/>
      <c r="D89" s="699"/>
      <c r="E89" s="699"/>
      <c r="F89" s="699"/>
      <c r="G89" s="699"/>
      <c r="H89" s="700"/>
      <c r="I89" s="700"/>
      <c r="J89" s="700"/>
      <c r="K89" s="700"/>
      <c r="L89" s="700"/>
      <c r="M89" s="701"/>
      <c r="N89" s="2151"/>
      <c r="O89" s="2151"/>
      <c r="P89" s="2152"/>
      <c r="Q89" s="2153"/>
      <c r="R89" s="2154"/>
      <c r="S89" s="2154"/>
      <c r="T89" s="2154"/>
      <c r="U89" s="2154"/>
      <c r="V89" s="2154"/>
      <c r="W89" s="2154"/>
      <c r="X89" s="2154"/>
      <c r="Y89" s="2154"/>
      <c r="Z89" s="2154"/>
      <c r="AA89" s="2154"/>
      <c r="AB89" s="2154"/>
      <c r="AC89" s="2154"/>
    </row>
    <row r="90" spans="1:29">
      <c r="A90" s="663" t="s">
        <v>539</v>
      </c>
      <c r="B90" s="664" t="s">
        <v>578</v>
      </c>
      <c r="C90" s="702" t="s">
        <v>579</v>
      </c>
      <c r="D90" s="702" t="s">
        <v>580</v>
      </c>
      <c r="E90" s="702" t="s">
        <v>581</v>
      </c>
      <c r="F90" s="702" t="s">
        <v>582</v>
      </c>
      <c r="G90" s="702" t="s">
        <v>583</v>
      </c>
      <c r="H90" s="703"/>
      <c r="I90" s="703"/>
      <c r="J90" s="703"/>
      <c r="K90" s="704"/>
      <c r="L90" s="705"/>
      <c r="M90" s="706"/>
      <c r="N90" s="2148"/>
      <c r="O90" s="2148"/>
      <c r="P90" s="2158"/>
      <c r="Q90" s="2142"/>
      <c r="R90" s="2129"/>
      <c r="S90" s="2129"/>
      <c r="T90" s="2129"/>
      <c r="U90" s="2129"/>
      <c r="V90" s="2129"/>
      <c r="W90" s="2129"/>
      <c r="X90" s="2129"/>
      <c r="Y90" s="2129"/>
      <c r="Z90" s="2129"/>
      <c r="AA90" s="2129"/>
      <c r="AB90" s="2129"/>
      <c r="AC90" s="2129"/>
    </row>
    <row r="91" spans="1:29" ht="15.75" thickBot="1">
      <c r="A91" s="668"/>
      <c r="B91" s="677"/>
      <c r="C91" s="678">
        <v>100</v>
      </c>
      <c r="D91" s="678">
        <f>C91-$K17</f>
        <v>98</v>
      </c>
      <c r="E91" s="678">
        <f>D91-$K17</f>
        <v>96</v>
      </c>
      <c r="F91" s="678">
        <f>E91-$K17</f>
        <v>94</v>
      </c>
      <c r="G91" s="678">
        <f>F91-$K17</f>
        <v>92</v>
      </c>
      <c r="H91" s="678"/>
      <c r="I91" s="678"/>
      <c r="J91" s="678"/>
      <c r="K91" s="678"/>
      <c r="L91" s="678"/>
      <c r="M91" s="679"/>
      <c r="N91" s="2150"/>
      <c r="O91" s="2150"/>
      <c r="P91" s="2149"/>
      <c r="Q91" s="2142"/>
      <c r="R91" s="2129"/>
      <c r="S91" s="2129"/>
      <c r="T91" s="2129"/>
      <c r="U91" s="2129"/>
      <c r="V91" s="2129"/>
      <c r="W91" s="2129"/>
      <c r="X91" s="2129"/>
      <c r="Y91" s="2129"/>
      <c r="Z91" s="2129"/>
      <c r="AA91" s="2129"/>
      <c r="AB91" s="2129"/>
      <c r="AC91" s="2129"/>
    </row>
    <row r="92" spans="1:29" ht="15.75" thickTop="1">
      <c r="A92" s="668"/>
      <c r="B92" s="672" t="s">
        <v>584</v>
      </c>
      <c r="C92" s="707" t="s">
        <v>579</v>
      </c>
      <c r="D92" s="707" t="s">
        <v>580</v>
      </c>
      <c r="E92" s="707" t="s">
        <v>581</v>
      </c>
      <c r="F92" s="707" t="s">
        <v>582</v>
      </c>
      <c r="G92" s="707" t="s">
        <v>583</v>
      </c>
      <c r="H92" s="673"/>
      <c r="I92" s="673"/>
      <c r="J92" s="673"/>
      <c r="K92" s="674"/>
      <c r="L92" s="675"/>
      <c r="M92" s="676"/>
      <c r="N92" s="2148"/>
      <c r="O92" s="2148"/>
      <c r="P92" s="2149"/>
      <c r="Q92" s="2142"/>
      <c r="R92" s="2129"/>
      <c r="S92" s="2129"/>
      <c r="T92" s="2129"/>
      <c r="U92" s="2129"/>
      <c r="V92" s="2129"/>
      <c r="W92" s="2129"/>
      <c r="X92" s="2129"/>
      <c r="Y92" s="2129"/>
      <c r="Z92" s="2129"/>
      <c r="AA92" s="2129"/>
      <c r="AB92" s="2129"/>
      <c r="AC92" s="2129"/>
    </row>
    <row r="93" spans="1:29" ht="15.75" thickBot="1">
      <c r="A93" s="668"/>
      <c r="B93" s="677"/>
      <c r="C93" s="678">
        <v>100</v>
      </c>
      <c r="D93" s="678">
        <f>C93-$K19</f>
        <v>98</v>
      </c>
      <c r="E93" s="678">
        <f>D93-$K19</f>
        <v>96</v>
      </c>
      <c r="F93" s="678">
        <f>E93-$K19</f>
        <v>94</v>
      </c>
      <c r="G93" s="678">
        <f>F93-$K19</f>
        <v>92</v>
      </c>
      <c r="H93" s="678"/>
      <c r="I93" s="678"/>
      <c r="J93" s="678"/>
      <c r="K93" s="678"/>
      <c r="L93" s="678"/>
      <c r="M93" s="679"/>
      <c r="N93" s="2150"/>
      <c r="O93" s="2150"/>
      <c r="P93" s="2149"/>
      <c r="Q93" s="2142"/>
      <c r="R93" s="2129"/>
      <c r="S93" s="2129"/>
      <c r="T93" s="2129"/>
      <c r="U93" s="2129"/>
      <c r="V93" s="2129"/>
      <c r="W93" s="2129"/>
      <c r="X93" s="2129"/>
      <c r="Y93" s="2129"/>
      <c r="Z93" s="2129"/>
      <c r="AA93" s="2129"/>
      <c r="AB93" s="2129"/>
      <c r="AC93" s="2129"/>
    </row>
    <row r="94" spans="1:29" ht="15.75" thickTop="1">
      <c r="A94" s="668"/>
      <c r="B94" s="672" t="s">
        <v>585</v>
      </c>
      <c r="C94" s="707" t="s">
        <v>579</v>
      </c>
      <c r="D94" s="707" t="s">
        <v>580</v>
      </c>
      <c r="E94" s="707" t="s">
        <v>581</v>
      </c>
      <c r="F94" s="707" t="s">
        <v>582</v>
      </c>
      <c r="G94" s="707" t="s">
        <v>583</v>
      </c>
      <c r="H94" s="673"/>
      <c r="I94" s="673"/>
      <c r="J94" s="673"/>
      <c r="K94" s="674"/>
      <c r="L94" s="675"/>
      <c r="M94" s="676"/>
      <c r="N94" s="2148"/>
      <c r="O94" s="2148"/>
      <c r="P94" s="2149"/>
      <c r="Q94" s="2142"/>
      <c r="R94" s="2129"/>
      <c r="S94" s="2129"/>
      <c r="T94" s="2129"/>
      <c r="U94" s="2129"/>
      <c r="V94" s="2129"/>
      <c r="W94" s="2129"/>
      <c r="X94" s="2129"/>
      <c r="Y94" s="2129"/>
      <c r="Z94" s="2129"/>
      <c r="AA94" s="2129"/>
      <c r="AB94" s="2129"/>
      <c r="AC94" s="2129"/>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50"/>
      <c r="O95" s="2150"/>
      <c r="P95" s="2149"/>
      <c r="Q95" s="2142"/>
      <c r="R95" s="2129"/>
      <c r="S95" s="2129"/>
      <c r="T95" s="2129"/>
      <c r="U95" s="2129"/>
      <c r="V95" s="2129"/>
      <c r="W95" s="2129"/>
      <c r="X95" s="2129"/>
      <c r="Y95" s="2129"/>
      <c r="Z95" s="2129"/>
      <c r="AA95" s="2129"/>
      <c r="AB95" s="2129"/>
      <c r="AC95" s="2129"/>
    </row>
    <row r="96" spans="1:29" ht="15.75" thickTop="1">
      <c r="A96" s="668"/>
      <c r="B96" s="672" t="s">
        <v>586</v>
      </c>
      <c r="C96" s="707" t="s">
        <v>579</v>
      </c>
      <c r="D96" s="707" t="s">
        <v>580</v>
      </c>
      <c r="E96" s="707" t="s">
        <v>581</v>
      </c>
      <c r="F96" s="707" t="s">
        <v>582</v>
      </c>
      <c r="G96" s="707" t="s">
        <v>583</v>
      </c>
      <c r="H96" s="673"/>
      <c r="I96" s="673"/>
      <c r="J96" s="673"/>
      <c r="K96" s="674"/>
      <c r="L96" s="675"/>
      <c r="M96" s="676"/>
      <c r="N96" s="2148"/>
      <c r="O96" s="2148"/>
      <c r="P96" s="2149"/>
      <c r="Q96" s="2142"/>
      <c r="R96" s="2129"/>
      <c r="S96" s="2129"/>
      <c r="T96" s="2129"/>
      <c r="U96" s="2129"/>
      <c r="V96" s="2129"/>
      <c r="W96" s="2129"/>
      <c r="X96" s="2129"/>
      <c r="Y96" s="2129"/>
      <c r="Z96" s="2129"/>
      <c r="AA96" s="2129"/>
      <c r="AB96" s="2129"/>
      <c r="AC96" s="2129"/>
    </row>
    <row r="97" spans="1:29" ht="15.75" thickBot="1">
      <c r="A97" s="668"/>
      <c r="B97" s="677"/>
      <c r="C97" s="678">
        <v>100</v>
      </c>
      <c r="D97" s="678">
        <f>C97-$K23</f>
        <v>98</v>
      </c>
      <c r="E97" s="678">
        <f>D97-$K23</f>
        <v>96</v>
      </c>
      <c r="F97" s="678">
        <f>E97-$K23</f>
        <v>94</v>
      </c>
      <c r="G97" s="678">
        <f>F97-$K23</f>
        <v>92</v>
      </c>
      <c r="H97" s="678"/>
      <c r="I97" s="678"/>
      <c r="J97" s="678"/>
      <c r="K97" s="678"/>
      <c r="L97" s="678"/>
      <c r="M97" s="679"/>
      <c r="N97" s="2150"/>
      <c r="O97" s="2150"/>
      <c r="P97" s="2149"/>
      <c r="Q97" s="2142"/>
      <c r="R97" s="2129"/>
      <c r="S97" s="2129"/>
      <c r="T97" s="2129"/>
      <c r="U97" s="2129"/>
      <c r="V97" s="2129"/>
      <c r="W97" s="2129"/>
      <c r="X97" s="2129"/>
      <c r="Y97" s="2129"/>
      <c r="Z97" s="2129"/>
      <c r="AA97" s="2129"/>
      <c r="AB97" s="2129"/>
      <c r="AC97" s="2129"/>
    </row>
    <row r="98" spans="1:29" s="1215" customFormat="1" ht="27.75" thickTop="1">
      <c r="A98" s="708"/>
      <c r="B98" s="672" t="s">
        <v>587</v>
      </c>
      <c r="C98" s="707" t="s">
        <v>579</v>
      </c>
      <c r="D98" s="707" t="s">
        <v>580</v>
      </c>
      <c r="E98" s="707" t="s">
        <v>581</v>
      </c>
      <c r="F98" s="707" t="s">
        <v>582</v>
      </c>
      <c r="G98" s="707" t="s">
        <v>583</v>
      </c>
      <c r="H98" s="707"/>
      <c r="I98" s="707"/>
      <c r="J98" s="707"/>
      <c r="K98" s="707"/>
      <c r="L98" s="709"/>
      <c r="M98" s="710"/>
      <c r="N98" s="2146"/>
      <c r="O98" s="2146"/>
      <c r="P98" s="2149"/>
      <c r="Q98" s="2142"/>
      <c r="R98" s="1977"/>
      <c r="S98" s="1977"/>
      <c r="T98" s="1977"/>
      <c r="U98" s="1977"/>
      <c r="V98" s="1977"/>
      <c r="W98" s="1977"/>
      <c r="X98" s="1977"/>
      <c r="Y98" s="1977"/>
      <c r="Z98" s="1977"/>
      <c r="AA98" s="1977"/>
      <c r="AB98" s="1977"/>
      <c r="AC98" s="1977"/>
    </row>
    <row r="99" spans="1:29" s="1215" customFormat="1" ht="15.75" thickBot="1">
      <c r="A99" s="708"/>
      <c r="B99" s="677"/>
      <c r="C99" s="711">
        <v>100</v>
      </c>
      <c r="D99" s="678">
        <f>C99-$K25</f>
        <v>98</v>
      </c>
      <c r="E99" s="678">
        <f>D99-$K25</f>
        <v>96</v>
      </c>
      <c r="F99" s="678">
        <f>E99-$K25</f>
        <v>94</v>
      </c>
      <c r="G99" s="678">
        <f>F99-$K25</f>
        <v>92</v>
      </c>
      <c r="H99" s="678"/>
      <c r="I99" s="678"/>
      <c r="J99" s="678"/>
      <c r="K99" s="678"/>
      <c r="L99" s="678"/>
      <c r="M99" s="679"/>
      <c r="N99" s="2150"/>
      <c r="O99" s="2150"/>
      <c r="P99" s="2149"/>
      <c r="Q99" s="2142"/>
      <c r="R99" s="1977"/>
      <c r="S99" s="1977"/>
      <c r="T99" s="1977"/>
      <c r="U99" s="1977"/>
      <c r="V99" s="1977"/>
      <c r="W99" s="1977"/>
      <c r="X99" s="1977"/>
      <c r="Y99" s="1977"/>
      <c r="Z99" s="1977"/>
      <c r="AA99" s="1977"/>
      <c r="AB99" s="1977"/>
      <c r="AC99" s="1977"/>
    </row>
    <row r="100" spans="1:29" s="1215" customFormat="1" ht="27.75" thickTop="1">
      <c r="A100" s="708"/>
      <c r="B100" s="672" t="s">
        <v>588</v>
      </c>
      <c r="C100" s="702" t="s">
        <v>579</v>
      </c>
      <c r="D100" s="702" t="s">
        <v>580</v>
      </c>
      <c r="E100" s="702" t="s">
        <v>581</v>
      </c>
      <c r="F100" s="702" t="s">
        <v>582</v>
      </c>
      <c r="G100" s="702" t="s">
        <v>583</v>
      </c>
      <c r="H100" s="707"/>
      <c r="I100" s="707"/>
      <c r="J100" s="707"/>
      <c r="K100" s="707"/>
      <c r="L100" s="707"/>
      <c r="M100" s="710"/>
      <c r="N100" s="2146"/>
      <c r="O100" s="2146"/>
      <c r="P100" s="2149"/>
      <c r="Q100" s="2142"/>
      <c r="R100" s="1977"/>
      <c r="S100" s="1977"/>
      <c r="T100" s="1977"/>
      <c r="U100" s="1977"/>
      <c r="V100" s="1977"/>
      <c r="W100" s="1977"/>
      <c r="X100" s="1977"/>
      <c r="Y100" s="1977"/>
      <c r="Z100" s="1977"/>
      <c r="AA100" s="1977"/>
      <c r="AB100" s="1977"/>
      <c r="AC100" s="1977"/>
    </row>
    <row r="101" spans="1:29" s="1215"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50"/>
      <c r="O101" s="2150"/>
      <c r="P101" s="2149"/>
      <c r="Q101" s="2142"/>
      <c r="R101" s="1977"/>
      <c r="S101" s="1977"/>
      <c r="T101" s="1977"/>
      <c r="U101" s="1977"/>
      <c r="V101" s="1977"/>
      <c r="W101" s="1977"/>
      <c r="X101" s="1977"/>
      <c r="Y101" s="1977"/>
      <c r="Z101" s="1977"/>
      <c r="AA101" s="1977"/>
      <c r="AB101" s="1977"/>
      <c r="AC101" s="1977"/>
    </row>
    <row r="102" spans="1:29" s="1334" customFormat="1" ht="15.75" thickTop="1">
      <c r="A102" s="686"/>
      <c r="B102" s="1880" t="s">
        <v>2547</v>
      </c>
      <c r="C102" s="702" t="s">
        <v>579</v>
      </c>
      <c r="D102" s="702" t="s">
        <v>580</v>
      </c>
      <c r="E102" s="702" t="s">
        <v>581</v>
      </c>
      <c r="F102" s="702" t="s">
        <v>582</v>
      </c>
      <c r="G102" s="702" t="s">
        <v>583</v>
      </c>
      <c r="H102" s="712"/>
      <c r="I102" s="712"/>
      <c r="J102" s="712"/>
      <c r="K102" s="712"/>
      <c r="L102" s="713"/>
      <c r="M102" s="714"/>
      <c r="N102" s="2151"/>
      <c r="O102" s="2151"/>
      <c r="P102" s="2152"/>
      <c r="Q102" s="2153"/>
      <c r="R102" s="2154"/>
      <c r="S102" s="2154"/>
      <c r="T102" s="2154"/>
      <c r="U102" s="2154"/>
      <c r="V102" s="2154"/>
      <c r="W102" s="2154"/>
      <c r="X102" s="2154"/>
      <c r="Y102" s="2154"/>
      <c r="Z102" s="2154"/>
      <c r="AA102" s="2154"/>
      <c r="AB102" s="2154"/>
      <c r="AC102" s="2154"/>
    </row>
    <row r="103" spans="1:29" s="1334"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51"/>
      <c r="O103" s="2151"/>
      <c r="P103" s="2152"/>
      <c r="Q103" s="2153"/>
      <c r="R103" s="2154"/>
      <c r="S103" s="2154"/>
      <c r="T103" s="2154"/>
      <c r="U103" s="2154"/>
      <c r="V103" s="2154"/>
      <c r="W103" s="2154"/>
      <c r="X103" s="2154"/>
      <c r="Y103" s="2154"/>
      <c r="Z103" s="2154"/>
      <c r="AA103" s="2154"/>
      <c r="AB103" s="2154"/>
      <c r="AC103" s="2154"/>
    </row>
    <row r="104" spans="1:29" s="1334" customFormat="1" ht="15.75" thickTop="1">
      <c r="A104" s="686"/>
      <c r="B104" s="2560" t="s">
        <v>2549</v>
      </c>
      <c r="C104" s="2561" t="s">
        <v>2550</v>
      </c>
      <c r="D104" s="2561" t="s">
        <v>2551</v>
      </c>
      <c r="E104" s="2561" t="s">
        <v>2552</v>
      </c>
      <c r="F104" s="2561" t="s">
        <v>2553</v>
      </c>
      <c r="G104" s="2561" t="s">
        <v>2554</v>
      </c>
      <c r="H104" s="712"/>
      <c r="I104" s="712"/>
      <c r="J104" s="712"/>
      <c r="K104" s="712"/>
      <c r="L104" s="712"/>
      <c r="M104" s="714"/>
      <c r="N104" s="2151"/>
      <c r="O104" s="2151"/>
      <c r="P104" s="2152"/>
      <c r="Q104" s="2153"/>
      <c r="R104" s="2154"/>
      <c r="S104" s="2154"/>
      <c r="T104" s="2154"/>
      <c r="U104" s="2154"/>
      <c r="V104" s="2154"/>
      <c r="W104" s="2154"/>
      <c r="X104" s="2154"/>
      <c r="Y104" s="2154"/>
      <c r="Z104" s="2154"/>
      <c r="AA104" s="2154"/>
      <c r="AB104" s="2154"/>
      <c r="AC104" s="2154"/>
    </row>
    <row r="105" spans="1:29" s="1334" customFormat="1" ht="15.75" thickBot="1">
      <c r="A105" s="686"/>
      <c r="B105" s="680"/>
      <c r="C105" s="678">
        <v>100</v>
      </c>
      <c r="D105" s="678">
        <f>C105-$K31</f>
        <v>98</v>
      </c>
      <c r="E105" s="678">
        <f>D105-$K31</f>
        <v>96</v>
      </c>
      <c r="F105" s="678">
        <f>E105-$K31</f>
        <v>94</v>
      </c>
      <c r="G105" s="678">
        <f>F105-$K31</f>
        <v>92</v>
      </c>
      <c r="H105" s="682"/>
      <c r="I105" s="682"/>
      <c r="J105" s="682"/>
      <c r="K105" s="682"/>
      <c r="L105" s="682"/>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48"/>
      <c r="O106" s="2148"/>
      <c r="P106" s="2149"/>
      <c r="Q106" s="2142"/>
      <c r="R106" s="2129"/>
      <c r="S106" s="2129"/>
      <c r="T106" s="2129"/>
      <c r="U106" s="2129"/>
      <c r="V106" s="2129"/>
      <c r="W106" s="2129"/>
      <c r="X106" s="2129"/>
      <c r="Y106" s="2129"/>
      <c r="Z106" s="2129"/>
      <c r="AA106" s="2129"/>
      <c r="AB106" s="2129"/>
      <c r="AC106" s="2129"/>
    </row>
    <row r="107" spans="1:29" ht="15.75"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8"/>
      <c r="B108" s="672" t="s">
        <v>548</v>
      </c>
      <c r="C108" s="3185" t="s">
        <v>3126</v>
      </c>
      <c r="D108" s="3185" t="s">
        <v>3127</v>
      </c>
      <c r="E108" s="3185" t="s">
        <v>3128</v>
      </c>
      <c r="F108" s="3185" t="s">
        <v>3129</v>
      </c>
      <c r="G108" s="3185" t="s">
        <v>3130</v>
      </c>
      <c r="H108" s="717"/>
      <c r="I108" s="717"/>
      <c r="J108" s="717"/>
      <c r="K108" s="718"/>
      <c r="L108" s="719"/>
      <c r="M108" s="720"/>
      <c r="N108" s="2148"/>
      <c r="O108" s="2148"/>
      <c r="P108" s="2149"/>
      <c r="Q108" s="2142"/>
      <c r="R108" s="2129"/>
      <c r="S108" s="2129"/>
      <c r="T108" s="2129"/>
      <c r="U108" s="2129"/>
      <c r="V108" s="2129"/>
      <c r="W108" s="2129"/>
      <c r="X108" s="2129"/>
      <c r="Y108" s="2129"/>
      <c r="Z108" s="2129"/>
      <c r="AA108" s="2129"/>
      <c r="AB108" s="2129"/>
      <c r="AC108" s="2129"/>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8"/>
      <c r="B110" s="672" t="s">
        <v>549</v>
      </c>
      <c r="C110" s="717"/>
      <c r="D110" s="717"/>
      <c r="E110" s="717"/>
      <c r="F110" s="717"/>
      <c r="G110" s="717"/>
      <c r="H110" s="717"/>
      <c r="I110" s="717"/>
      <c r="J110" s="717"/>
      <c r="K110" s="718"/>
      <c r="L110" s="719"/>
      <c r="M110" s="720"/>
      <c r="N110" s="2148"/>
      <c r="O110" s="2148"/>
      <c r="P110" s="2149"/>
      <c r="Q110" s="2142"/>
      <c r="R110" s="2129"/>
      <c r="S110" s="2129"/>
      <c r="T110" s="2129"/>
      <c r="U110" s="2129"/>
      <c r="V110" s="2129"/>
      <c r="W110" s="2129"/>
      <c r="X110" s="2129"/>
      <c r="Y110" s="2129"/>
      <c r="Z110" s="2129"/>
      <c r="AA110" s="2129"/>
      <c r="AB110" s="2129"/>
      <c r="AC110" s="2129"/>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8"/>
      <c r="B112" s="680">
        <f>B37</f>
        <v>111</v>
      </c>
      <c r="C112" s="687"/>
      <c r="D112" s="687"/>
      <c r="E112" s="687"/>
      <c r="F112" s="687"/>
      <c r="G112" s="721"/>
      <c r="H112" s="721"/>
      <c r="I112" s="721"/>
      <c r="J112" s="721"/>
      <c r="K112" s="722"/>
      <c r="L112" s="723"/>
      <c r="M112" s="724"/>
      <c r="N112" s="2148"/>
      <c r="O112" s="2148"/>
      <c r="P112" s="2149"/>
      <c r="Q112" s="2142"/>
      <c r="R112" s="2129"/>
      <c r="S112" s="2129"/>
      <c r="T112" s="2129"/>
      <c r="U112" s="2129"/>
      <c r="V112" s="2129"/>
      <c r="W112" s="2129"/>
      <c r="X112" s="2129"/>
      <c r="Y112" s="2129"/>
      <c r="Z112" s="2129"/>
      <c r="AA112" s="2129"/>
      <c r="AB112" s="2129"/>
      <c r="AC112" s="2129"/>
    </row>
    <row r="113" spans="1:29" ht="15.75" thickBot="1">
      <c r="A113" s="668"/>
      <c r="B113" s="698"/>
      <c r="C113" s="691"/>
      <c r="D113" s="691"/>
      <c r="E113" s="691"/>
      <c r="F113" s="691"/>
      <c r="G113" s="725"/>
      <c r="H113" s="725"/>
      <c r="I113" s="725"/>
      <c r="J113" s="725"/>
      <c r="K113" s="725"/>
      <c r="L113" s="725"/>
      <c r="M113" s="726"/>
      <c r="N113" s="2150"/>
      <c r="O113" s="2150"/>
      <c r="P113" s="2149"/>
      <c r="Q113" s="2142"/>
      <c r="R113" s="2129"/>
      <c r="S113" s="2129"/>
      <c r="T113" s="2129"/>
      <c r="U113" s="2129"/>
      <c r="V113" s="2129"/>
      <c r="W113" s="2129"/>
      <c r="X113" s="2129"/>
      <c r="Y113" s="2129"/>
      <c r="Z113" s="2129"/>
      <c r="AA113" s="2129"/>
      <c r="AB113" s="2129"/>
      <c r="AC113" s="2129"/>
    </row>
    <row r="114" spans="1:29" ht="15" thickTop="1">
      <c r="A114" s="586"/>
      <c r="B114" s="672">
        <f>B38</f>
        <v>111</v>
      </c>
      <c r="C114" s="660"/>
      <c r="D114" s="660"/>
      <c r="E114" s="660"/>
      <c r="F114" s="660"/>
      <c r="G114" s="717"/>
      <c r="H114" s="717"/>
      <c r="I114" s="717"/>
      <c r="J114" s="717"/>
      <c r="K114" s="718"/>
      <c r="L114" s="719"/>
      <c r="M114" s="720"/>
      <c r="N114" s="2148"/>
      <c r="O114" s="2148"/>
      <c r="P114" s="2149"/>
      <c r="Q114" s="2142"/>
      <c r="R114" s="2129"/>
      <c r="S114" s="2129"/>
      <c r="T114" s="2129"/>
      <c r="U114" s="2129"/>
      <c r="V114" s="2129"/>
      <c r="W114" s="2129"/>
      <c r="X114" s="2129"/>
      <c r="Y114" s="2129"/>
      <c r="Z114" s="2129"/>
      <c r="AA114" s="2129"/>
      <c r="AB114" s="2129"/>
      <c r="AC114" s="2129"/>
    </row>
    <row r="115" spans="1:29" ht="15.75" thickBot="1">
      <c r="A115" s="668"/>
      <c r="B115" s="677"/>
      <c r="C115" s="699"/>
      <c r="D115" s="699"/>
      <c r="E115" s="699"/>
      <c r="F115" s="699"/>
      <c r="G115" s="670"/>
      <c r="H115" s="670"/>
      <c r="I115" s="670"/>
      <c r="J115" s="670"/>
      <c r="K115" s="670"/>
      <c r="L115" s="670"/>
      <c r="M115" s="671"/>
      <c r="N115" s="2150"/>
      <c r="O115" s="2150"/>
      <c r="P115" s="2149"/>
      <c r="Q115" s="2142"/>
      <c r="R115" s="2129"/>
      <c r="S115" s="2129"/>
      <c r="T115" s="2129"/>
      <c r="U115" s="2129"/>
      <c r="V115" s="2129"/>
      <c r="W115" s="2129"/>
      <c r="X115" s="2129"/>
      <c r="Y115" s="2129"/>
      <c r="Z115" s="2129"/>
      <c r="AA115" s="2129"/>
      <c r="AB115" s="2129"/>
      <c r="AC115" s="2129"/>
    </row>
    <row r="116" spans="1:29" s="1334" customFormat="1" ht="15" thickTop="1">
      <c r="A116" s="727"/>
      <c r="B116" s="728">
        <f>B39</f>
        <v>111</v>
      </c>
      <c r="C116" s="729"/>
      <c r="D116" s="729"/>
      <c r="E116" s="729"/>
      <c r="F116" s="729"/>
      <c r="G116" s="729"/>
      <c r="H116" s="729"/>
      <c r="I116" s="729"/>
      <c r="J116" s="730"/>
      <c r="K116" s="730"/>
      <c r="L116" s="731"/>
      <c r="M116" s="732"/>
      <c r="N116" s="2151"/>
      <c r="O116" s="2151"/>
      <c r="P116" s="2152"/>
      <c r="Q116" s="2153"/>
      <c r="R116" s="2154"/>
      <c r="S116" s="2154"/>
      <c r="T116" s="2154"/>
      <c r="U116" s="2154"/>
      <c r="V116" s="2154"/>
      <c r="W116" s="2154"/>
      <c r="X116" s="2154"/>
      <c r="Y116" s="2154"/>
      <c r="Z116" s="2154"/>
      <c r="AA116" s="2154"/>
      <c r="AB116" s="2154"/>
      <c r="AC116" s="2154"/>
    </row>
    <row r="117" spans="1:29" s="1334" customFormat="1" ht="15.75" thickBot="1">
      <c r="A117" s="686"/>
      <c r="B117" s="680"/>
      <c r="C117" s="649"/>
      <c r="D117" s="591"/>
      <c r="E117" s="591"/>
      <c r="F117" s="591"/>
      <c r="G117" s="591"/>
      <c r="H117" s="591"/>
      <c r="I117" s="591"/>
      <c r="J117" s="591"/>
      <c r="K117" s="591"/>
      <c r="L117" s="591"/>
      <c r="M117" s="733"/>
      <c r="N117" s="2150"/>
      <c r="O117" s="2150"/>
      <c r="P117" s="2152"/>
      <c r="Q117" s="2153"/>
      <c r="R117" s="2154"/>
      <c r="S117" s="2154"/>
      <c r="T117" s="2154"/>
      <c r="U117" s="2154"/>
      <c r="V117" s="2154"/>
      <c r="W117" s="2154"/>
      <c r="X117" s="2154"/>
      <c r="Y117" s="2154"/>
      <c r="Z117" s="2154"/>
      <c r="AA117" s="2154"/>
      <c r="AB117" s="2154"/>
      <c r="AC117" s="2154"/>
    </row>
    <row r="118" spans="1:29" ht="28.5">
      <c r="A118" s="663" t="s">
        <v>551</v>
      </c>
      <c r="B118" s="664" t="s">
        <v>593</v>
      </c>
      <c r="C118" s="703" t="str">
        <f t="shared" ref="C118:L118" si="25">C119&amp;"(含)"&amp;"-"&amp;D119</f>
        <v>0(含)-10000</v>
      </c>
      <c r="D118" s="703" t="str">
        <f t="shared" si="25"/>
        <v>10000(含)-30000</v>
      </c>
      <c r="E118" s="703" t="str">
        <f t="shared" si="25"/>
        <v>30000(含)-50000</v>
      </c>
      <c r="F118" s="703" t="str">
        <f t="shared" si="25"/>
        <v>50000(含)-100000</v>
      </c>
      <c r="G118" s="703" t="str">
        <f t="shared" si="25"/>
        <v>100000(含)-150000</v>
      </c>
      <c r="H118" s="703" t="str">
        <f t="shared" si="25"/>
        <v>150000(含)-200000</v>
      </c>
      <c r="I118" s="703" t="str">
        <f t="shared" si="25"/>
        <v>200000(含)-</v>
      </c>
      <c r="J118" s="3040" t="str">
        <f t="shared" si="25"/>
        <v>(含)-</v>
      </c>
      <c r="K118" s="3040" t="str">
        <f t="shared" si="25"/>
        <v>(含)-</v>
      </c>
      <c r="L118" s="3041" t="str">
        <f t="shared" si="25"/>
        <v>(含)-</v>
      </c>
      <c r="M118" s="3042"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8"/>
      <c r="B119" s="680"/>
      <c r="C119" s="729">
        <v>0</v>
      </c>
      <c r="D119" s="729">
        <v>10000</v>
      </c>
      <c r="E119" s="729">
        <v>30000</v>
      </c>
      <c r="F119" s="729">
        <v>50000</v>
      </c>
      <c r="G119" s="729">
        <v>100000</v>
      </c>
      <c r="H119" s="729">
        <v>150000</v>
      </c>
      <c r="I119" s="729">
        <v>200000</v>
      </c>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8"/>
      <c r="B120" s="677"/>
      <c r="C120" s="699">
        <v>88</v>
      </c>
      <c r="D120" s="725">
        <v>90</v>
      </c>
      <c r="E120" s="725">
        <v>92</v>
      </c>
      <c r="F120" s="725">
        <v>94</v>
      </c>
      <c r="G120" s="725">
        <v>96</v>
      </c>
      <c r="H120" s="725">
        <v>98</v>
      </c>
      <c r="I120" s="725">
        <v>100</v>
      </c>
      <c r="J120" s="725"/>
      <c r="K120" s="725"/>
      <c r="L120" s="725"/>
      <c r="M120" s="726"/>
      <c r="N120" s="2150"/>
      <c r="O120" s="2150"/>
      <c r="P120" s="2149"/>
      <c r="Q120" s="2142"/>
      <c r="R120" s="2129"/>
      <c r="S120" s="2129"/>
      <c r="T120" s="2129"/>
      <c r="U120" s="2129"/>
      <c r="V120" s="2129"/>
      <c r="W120" s="2129"/>
      <c r="X120" s="2129"/>
      <c r="Y120" s="2129"/>
      <c r="Z120" s="2129"/>
      <c r="AA120" s="2129"/>
      <c r="AB120" s="2129"/>
      <c r="AC120" s="2129"/>
    </row>
    <row r="121" spans="1:29" ht="15" thickTop="1">
      <c r="A121" s="734"/>
      <c r="B121" s="672" t="s">
        <v>594</v>
      </c>
      <c r="C121" s="3187" t="s">
        <v>3133</v>
      </c>
      <c r="D121" s="3187" t="s">
        <v>3135</v>
      </c>
      <c r="E121" s="3187" t="s">
        <v>3136</v>
      </c>
      <c r="F121" s="717"/>
      <c r="G121" s="717"/>
      <c r="H121" s="717"/>
      <c r="I121" s="717"/>
      <c r="J121" s="717"/>
      <c r="K121" s="718"/>
      <c r="L121" s="719"/>
      <c r="M121" s="720"/>
      <c r="N121" s="2148"/>
      <c r="O121" s="2148"/>
      <c r="P121" s="2149"/>
      <c r="Q121" s="2142"/>
      <c r="R121" s="2129"/>
      <c r="S121" s="2129"/>
      <c r="T121" s="2129"/>
      <c r="U121" s="2129"/>
      <c r="V121" s="2129"/>
      <c r="W121" s="2129"/>
      <c r="X121" s="2129"/>
      <c r="Y121" s="2129"/>
      <c r="Z121" s="2129"/>
      <c r="AA121" s="2129"/>
      <c r="AB121" s="2129"/>
      <c r="AC121" s="2129"/>
    </row>
    <row r="122" spans="1:29" ht="15.75" thickBot="1">
      <c r="A122" s="668"/>
      <c r="B122" s="677"/>
      <c r="C122" s="678">
        <v>100</v>
      </c>
      <c r="D122" s="678">
        <f t="shared" ref="D122:M122" si="26">C122-$K41</f>
        <v>97</v>
      </c>
      <c r="E122" s="678">
        <f t="shared" si="26"/>
        <v>94</v>
      </c>
      <c r="F122" s="678">
        <f t="shared" si="26"/>
        <v>91</v>
      </c>
      <c r="G122" s="678">
        <f t="shared" si="26"/>
        <v>88</v>
      </c>
      <c r="H122" s="678">
        <f t="shared" si="26"/>
        <v>85</v>
      </c>
      <c r="I122" s="678">
        <f t="shared" si="26"/>
        <v>82</v>
      </c>
      <c r="J122" s="678">
        <f t="shared" si="26"/>
        <v>79</v>
      </c>
      <c r="K122" s="678">
        <f t="shared" si="26"/>
        <v>76</v>
      </c>
      <c r="L122" s="678">
        <f t="shared" si="26"/>
        <v>73</v>
      </c>
      <c r="M122" s="679">
        <f t="shared" si="26"/>
        <v>70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4"/>
      <c r="B123" s="672" t="s">
        <v>595</v>
      </c>
      <c r="C123" s="3185" t="s">
        <v>3139</v>
      </c>
      <c r="D123" s="687"/>
      <c r="E123" s="687"/>
      <c r="F123" s="717"/>
      <c r="G123" s="717"/>
      <c r="H123" s="717"/>
      <c r="I123" s="717"/>
      <c r="J123" s="717"/>
      <c r="K123" s="718"/>
      <c r="L123" s="719"/>
      <c r="M123" s="720"/>
      <c r="N123" s="2148"/>
      <c r="O123" s="2148"/>
      <c r="P123" s="2149"/>
      <c r="Q123" s="2142"/>
      <c r="R123" s="2129"/>
      <c r="S123" s="2129"/>
      <c r="T123" s="2129"/>
      <c r="U123" s="2129"/>
      <c r="V123" s="2129"/>
      <c r="W123" s="2129"/>
      <c r="X123" s="2129"/>
      <c r="Y123" s="2129"/>
      <c r="Z123" s="2129"/>
      <c r="AA123" s="2129"/>
      <c r="AB123" s="2129"/>
      <c r="AC123" s="2129"/>
    </row>
    <row r="124" spans="1:29" ht="15.75" thickBot="1">
      <c r="A124" s="668"/>
      <c r="B124" s="677"/>
      <c r="C124" s="678">
        <v>100</v>
      </c>
      <c r="D124" s="678">
        <f t="shared" ref="D124:M124" si="27">C124-$K42</f>
        <v>98</v>
      </c>
      <c r="E124" s="678">
        <f t="shared" si="27"/>
        <v>96</v>
      </c>
      <c r="F124" s="678">
        <f t="shared" si="27"/>
        <v>94</v>
      </c>
      <c r="G124" s="678">
        <f t="shared" si="27"/>
        <v>92</v>
      </c>
      <c r="H124" s="678">
        <f t="shared" si="27"/>
        <v>90</v>
      </c>
      <c r="I124" s="678">
        <f t="shared" si="27"/>
        <v>88</v>
      </c>
      <c r="J124" s="678">
        <f t="shared" si="27"/>
        <v>86</v>
      </c>
      <c r="K124" s="678">
        <f t="shared" si="27"/>
        <v>84</v>
      </c>
      <c r="L124" s="678">
        <f t="shared" si="27"/>
        <v>82</v>
      </c>
      <c r="M124" s="679">
        <f t="shared" si="27"/>
        <v>80</v>
      </c>
      <c r="N124" s="2150"/>
      <c r="O124" s="2150"/>
      <c r="P124" s="2149"/>
      <c r="Q124" s="2142"/>
      <c r="R124" s="2129"/>
      <c r="S124" s="2129"/>
      <c r="T124" s="2129"/>
      <c r="U124" s="2129"/>
      <c r="V124" s="2129"/>
      <c r="W124" s="2129"/>
      <c r="X124" s="2129"/>
      <c r="Y124" s="2129"/>
      <c r="Z124" s="2129"/>
      <c r="AA124" s="2129"/>
      <c r="AB124" s="2129"/>
      <c r="AC124" s="2129"/>
    </row>
    <row r="125" spans="1:29" s="1334" customFormat="1" ht="15" thickTop="1">
      <c r="A125" s="727"/>
      <c r="B125" s="1880" t="s">
        <v>2425</v>
      </c>
      <c r="C125" s="1370" t="s">
        <v>3132</v>
      </c>
      <c r="D125" s="1370" t="s">
        <v>3137</v>
      </c>
      <c r="E125" s="1370"/>
      <c r="F125" s="1370"/>
      <c r="G125" s="1370"/>
      <c r="H125" s="717"/>
      <c r="I125" s="717"/>
      <c r="J125" s="717"/>
      <c r="K125" s="718"/>
      <c r="L125" s="719"/>
      <c r="M125" s="720"/>
      <c r="N125" s="2151"/>
      <c r="O125" s="2151"/>
      <c r="P125" s="2152"/>
      <c r="Q125" s="2153"/>
      <c r="R125" s="2154"/>
      <c r="S125" s="2154"/>
      <c r="T125" s="2154"/>
      <c r="U125" s="2154"/>
      <c r="V125" s="2154"/>
      <c r="W125" s="2154"/>
      <c r="X125" s="2154"/>
      <c r="Y125" s="2154"/>
      <c r="Z125" s="2154"/>
      <c r="AA125" s="2154"/>
      <c r="AB125" s="2154"/>
      <c r="AC125" s="2154"/>
    </row>
    <row r="126" spans="1:29" s="1334"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4"/>
      <c r="B127" s="672" t="s">
        <v>596</v>
      </c>
      <c r="C127" s="3185" t="s">
        <v>3131</v>
      </c>
      <c r="D127" s="687"/>
      <c r="E127" s="717"/>
      <c r="F127" s="717"/>
      <c r="G127" s="717"/>
      <c r="H127" s="717"/>
      <c r="I127" s="717"/>
      <c r="J127" s="717"/>
      <c r="K127" s="718"/>
      <c r="L127" s="719"/>
      <c r="M127" s="720"/>
      <c r="N127" s="2148"/>
      <c r="O127" s="2148"/>
      <c r="P127" s="2149"/>
      <c r="Q127" s="2142"/>
      <c r="R127" s="2129"/>
      <c r="S127" s="2129"/>
      <c r="T127" s="2129"/>
      <c r="U127" s="2129"/>
      <c r="V127" s="2129"/>
      <c r="W127" s="2129"/>
      <c r="X127" s="2129"/>
      <c r="Y127" s="2129"/>
      <c r="Z127" s="2129"/>
      <c r="AA127" s="2129"/>
      <c r="AB127" s="2129"/>
      <c r="AC127" s="2129"/>
    </row>
    <row r="128" spans="1:29" ht="15.75" thickBot="1">
      <c r="A128" s="668"/>
      <c r="B128" s="677"/>
      <c r="C128" s="678">
        <v>100</v>
      </c>
      <c r="D128" s="678">
        <f t="shared" ref="D128:M128" si="29">C128-$K44</f>
        <v>98</v>
      </c>
      <c r="E128" s="678">
        <f t="shared" si="29"/>
        <v>96</v>
      </c>
      <c r="F128" s="678">
        <f t="shared" si="29"/>
        <v>94</v>
      </c>
      <c r="G128" s="678">
        <f t="shared" si="29"/>
        <v>92</v>
      </c>
      <c r="H128" s="678">
        <f t="shared" si="29"/>
        <v>90</v>
      </c>
      <c r="I128" s="678">
        <f t="shared" si="29"/>
        <v>88</v>
      </c>
      <c r="J128" s="678">
        <f t="shared" si="29"/>
        <v>86</v>
      </c>
      <c r="K128" s="678">
        <f t="shared" si="29"/>
        <v>84</v>
      </c>
      <c r="L128" s="678">
        <f t="shared" si="29"/>
        <v>82</v>
      </c>
      <c r="M128" s="679">
        <f t="shared" si="29"/>
        <v>80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4"/>
      <c r="B129" s="672">
        <f>B45</f>
        <v>111</v>
      </c>
      <c r="C129" s="687"/>
      <c r="D129" s="687"/>
      <c r="E129" s="687"/>
      <c r="F129" s="687"/>
      <c r="G129" s="687"/>
      <c r="H129" s="717"/>
      <c r="I129" s="717"/>
      <c r="J129" s="717"/>
      <c r="K129" s="718"/>
      <c r="L129" s="719"/>
      <c r="M129" s="720"/>
      <c r="N129" s="2148"/>
      <c r="O129" s="2148"/>
      <c r="P129" s="2149"/>
      <c r="Q129" s="2142"/>
      <c r="R129" s="2129"/>
      <c r="S129" s="2129"/>
      <c r="T129" s="2129"/>
      <c r="U129" s="2129"/>
      <c r="V129" s="2129"/>
      <c r="W129" s="2129"/>
      <c r="X129" s="2129"/>
      <c r="Y129" s="2129"/>
      <c r="Z129" s="2129"/>
      <c r="AA129" s="2129"/>
      <c r="AB129" s="2129"/>
      <c r="AC129" s="2129"/>
    </row>
    <row r="130" spans="1:29" ht="15.75" thickBot="1">
      <c r="A130" s="668"/>
      <c r="B130" s="677"/>
      <c r="C130" s="691"/>
      <c r="D130" s="691"/>
      <c r="E130" s="691"/>
      <c r="F130" s="691"/>
      <c r="G130" s="670"/>
      <c r="H130" s="670"/>
      <c r="I130" s="670"/>
      <c r="J130" s="670"/>
      <c r="K130" s="670"/>
      <c r="L130" s="670"/>
      <c r="M130" s="671"/>
      <c r="N130" s="2150"/>
      <c r="O130" s="2150"/>
      <c r="P130" s="2149"/>
      <c r="Q130" s="2142"/>
      <c r="R130" s="2129"/>
      <c r="S130" s="2129"/>
      <c r="T130" s="2129"/>
      <c r="U130" s="2129"/>
      <c r="V130" s="2129"/>
      <c r="W130" s="2129"/>
      <c r="X130" s="2129"/>
      <c r="Y130" s="2129"/>
      <c r="Z130" s="2129"/>
      <c r="AA130" s="2129"/>
      <c r="AB130" s="2129"/>
      <c r="AC130" s="2129"/>
    </row>
    <row r="131" spans="1:29" ht="15" thickTop="1">
      <c r="A131" s="734"/>
      <c r="B131" s="672">
        <f>B46</f>
        <v>111</v>
      </c>
      <c r="C131" s="660"/>
      <c r="D131" s="660"/>
      <c r="E131" s="660"/>
      <c r="F131" s="660"/>
      <c r="G131" s="717"/>
      <c r="H131" s="717"/>
      <c r="I131" s="717"/>
      <c r="J131" s="717"/>
      <c r="K131" s="718"/>
      <c r="L131" s="719"/>
      <c r="M131" s="720"/>
      <c r="N131" s="2148"/>
      <c r="O131" s="2148"/>
      <c r="P131" s="2149"/>
      <c r="Q131" s="2142"/>
      <c r="R131" s="2129"/>
      <c r="S131" s="2129"/>
      <c r="T131" s="2129"/>
      <c r="U131" s="2129"/>
      <c r="V131" s="2129"/>
      <c r="W131" s="2129"/>
      <c r="X131" s="2129"/>
      <c r="Y131" s="2129"/>
      <c r="Z131" s="2129"/>
      <c r="AA131" s="2129"/>
      <c r="AB131" s="2129"/>
      <c r="AC131" s="2129"/>
    </row>
    <row r="132" spans="1:29" ht="15.75" thickBot="1">
      <c r="A132" s="668"/>
      <c r="B132" s="677"/>
      <c r="C132" s="699"/>
      <c r="D132" s="699"/>
      <c r="E132" s="699"/>
      <c r="F132" s="699"/>
      <c r="G132" s="670"/>
      <c r="H132" s="670"/>
      <c r="I132" s="670"/>
      <c r="J132" s="670"/>
      <c r="K132" s="670"/>
      <c r="L132" s="670"/>
      <c r="M132" s="671"/>
      <c r="N132" s="2150"/>
      <c r="O132" s="2150"/>
      <c r="P132" s="2149"/>
      <c r="Q132" s="2142"/>
      <c r="R132" s="2129"/>
      <c r="S132" s="2129"/>
      <c r="T132" s="2129"/>
      <c r="U132" s="2129"/>
      <c r="V132" s="2129"/>
      <c r="W132" s="2129"/>
      <c r="X132" s="2129"/>
      <c r="Y132" s="2129"/>
      <c r="Z132" s="2129"/>
      <c r="AA132" s="2129"/>
      <c r="AB132" s="2129"/>
      <c r="AC132" s="2129"/>
    </row>
    <row r="133" spans="1:29" s="1334" customFormat="1" ht="15" thickTop="1">
      <c r="A133" s="727"/>
      <c r="B133" s="672">
        <f>B47</f>
        <v>111</v>
      </c>
      <c r="C133" s="660"/>
      <c r="D133" s="660"/>
      <c r="E133" s="660"/>
      <c r="F133" s="660"/>
      <c r="G133" s="688"/>
      <c r="H133" s="688"/>
      <c r="I133" s="688"/>
      <c r="J133" s="688"/>
      <c r="K133" s="688"/>
      <c r="L133" s="689"/>
      <c r="M133" s="690"/>
      <c r="N133" s="2151"/>
      <c r="O133" s="2151"/>
      <c r="P133" s="2152"/>
      <c r="Q133" s="2153"/>
      <c r="R133" s="2154"/>
      <c r="S133" s="2154"/>
      <c r="T133" s="2154"/>
      <c r="U133" s="2154"/>
      <c r="V133" s="2154"/>
      <c r="W133" s="2154"/>
      <c r="X133" s="2154"/>
      <c r="Y133" s="2154"/>
      <c r="Z133" s="2154"/>
      <c r="AA133" s="2154"/>
      <c r="AB133" s="2154"/>
      <c r="AC133" s="2154"/>
    </row>
    <row r="134" spans="1:29" s="1334" customFormat="1" ht="15.75" thickBot="1">
      <c r="A134" s="697"/>
      <c r="B134" s="735"/>
      <c r="C134" s="699"/>
      <c r="D134" s="699"/>
      <c r="E134" s="699"/>
      <c r="F134" s="699"/>
      <c r="G134" s="725"/>
      <c r="H134" s="725"/>
      <c r="I134" s="725"/>
      <c r="J134" s="725"/>
      <c r="K134" s="725"/>
      <c r="L134" s="725"/>
      <c r="M134" s="726"/>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4" sqref="E24"/>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466</v>
      </c>
      <c r="B1" s="2763"/>
      <c r="C1" s="2088"/>
      <c r="D1" s="2088"/>
      <c r="E1" s="2088"/>
      <c r="F1" s="2088"/>
      <c r="G1" s="2088"/>
      <c r="H1" s="2088"/>
      <c r="I1" s="2088"/>
      <c r="J1" s="2088"/>
      <c r="K1" s="421">
        <f>MATCH(B1,'数据-取费表'!A6:A16,0)+5</f>
        <v>9</v>
      </c>
    </row>
    <row r="2" spans="1:31" s="2025" customFormat="1" ht="18" customHeight="1">
      <c r="A2" s="2085" t="s">
        <v>467</v>
      </c>
      <c r="B2" s="2089">
        <f ca="1">C36</f>
        <v>23847</v>
      </c>
      <c r="C2" s="2088"/>
      <c r="D2" s="2088"/>
      <c r="E2" s="2088"/>
      <c r="F2" s="2088"/>
      <c r="G2" s="2088"/>
      <c r="H2" s="2088"/>
      <c r="I2" s="2088"/>
      <c r="J2" s="2088"/>
      <c r="K2" s="2088"/>
    </row>
    <row r="3" spans="1:31" s="2025" customFormat="1" ht="18" customHeight="1">
      <c r="A3" s="2090" t="s">
        <v>1684</v>
      </c>
      <c r="B3" s="2091">
        <f ca="1">ROUND(B2*10000/IF(B1="",'数据-汇总表'!E3,INDIRECT("'数据-取费表'!K"&amp;$K$1)),0)</f>
        <v>1458</v>
      </c>
      <c r="C3" s="2088"/>
      <c r="D3" s="2088"/>
      <c r="E3" s="2088"/>
      <c r="F3" s="2088"/>
      <c r="G3" s="2088"/>
      <c r="H3" s="2088"/>
      <c r="I3" s="2088"/>
      <c r="J3" s="2088"/>
      <c r="K3" s="2088"/>
    </row>
    <row r="4" spans="1:31" s="2025" customFormat="1" ht="18" customHeight="1">
      <c r="A4" s="425" t="s">
        <v>468</v>
      </c>
      <c r="B4" s="426">
        <f ca="1">ROUND(B2*10000/IF(B1="",'数据-汇总表'!D3,INDIRECT("'数据-取费表'!R"&amp;$K$1)),0)</f>
        <v>8761</v>
      </c>
      <c r="C4" s="427"/>
      <c r="D4" s="421"/>
      <c r="E4" s="421"/>
      <c r="F4" s="421"/>
      <c r="G4" s="421"/>
      <c r="H4" s="421"/>
      <c r="I4" s="421"/>
      <c r="J4" s="421"/>
      <c r="K4" s="421"/>
    </row>
    <row r="5" spans="1:31" s="2025" customFormat="1" ht="18" customHeight="1" thickBot="1">
      <c r="A5" s="428"/>
      <c r="B5" s="429">
        <f ca="1">ROUND(B2/(IF(B1="",'数据-汇总表'!D3,INDIRECT("'数据-取费表'!R"&amp;$K$1))/666.67),0)</f>
        <v>584</v>
      </c>
      <c r="C5" s="430" t="s">
        <v>469</v>
      </c>
      <c r="D5" s="421"/>
      <c r="E5" s="421"/>
      <c r="F5" s="421"/>
      <c r="G5" s="421"/>
      <c r="H5" s="421"/>
      <c r="I5" s="421"/>
      <c r="J5" s="421"/>
      <c r="K5" s="421"/>
    </row>
    <row r="6" spans="1:31" s="2095" customFormat="1" ht="16.5" customHeight="1">
      <c r="A6" s="2782" t="s">
        <v>1842</v>
      </c>
      <c r="B6" s="2783"/>
      <c r="C6" s="2784">
        <f ca="1">SUM(C10:K10)</f>
        <v>78819</v>
      </c>
      <c r="D6" s="2783"/>
      <c r="E6" s="2783"/>
      <c r="F6" s="2783"/>
      <c r="G6" s="2783"/>
      <c r="H6" s="2783"/>
      <c r="I6" s="2783"/>
      <c r="J6" s="2783"/>
      <c r="K6" s="2785"/>
    </row>
    <row r="7" spans="1:31" s="2097" customFormat="1" ht="15">
      <c r="A7" s="2786" t="s">
        <v>470</v>
      </c>
      <c r="B7" s="2787" t="s">
        <v>471</v>
      </c>
      <c r="C7" s="435" t="s">
        <v>923</v>
      </c>
      <c r="D7" s="435" t="s">
        <v>2997</v>
      </c>
      <c r="E7" s="435" t="s">
        <v>2998</v>
      </c>
      <c r="F7" s="435"/>
      <c r="G7" s="435"/>
      <c r="H7" s="435"/>
      <c r="I7" s="435"/>
      <c r="J7" s="435"/>
      <c r="K7" s="436"/>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2" t="s">
        <v>1845</v>
      </c>
      <c r="B8" s="260" t="s">
        <v>472</v>
      </c>
      <c r="C8" s="2788">
        <f>'不动产比较法-住宅'!B3</f>
        <v>5264</v>
      </c>
      <c r="D8" s="2788">
        <f>'不动产比较法-商业'!B3</f>
        <v>10514</v>
      </c>
      <c r="E8" s="2788">
        <f ca="1">'不动产收益法 (车库)'!B3</f>
        <v>1763</v>
      </c>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2" t="s">
        <v>1846</v>
      </c>
      <c r="B9" s="260" t="s">
        <v>473</v>
      </c>
      <c r="C9" s="440">
        <f>SUMIF('数据-汇总表'!$C19:$C33,'剩余法-待开发'!C7,'数据-汇总表'!$E19:$E33)</f>
        <v>122022.8</v>
      </c>
      <c r="D9" s="440">
        <f>SUMIF('数据-汇总表'!$C19:$C33,'剩余法-待开发'!D7,'数据-汇总表'!$E19:$E33)</f>
        <v>9076.16</v>
      </c>
      <c r="E9" s="440">
        <f>SUMIF('数据-汇总表'!$C19:$C33,'剩余法-待开发'!E7,'数据-汇总表'!$E19:$E33)</f>
        <v>28598.17</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1847</v>
      </c>
      <c r="B10" s="2776" t="s">
        <v>474</v>
      </c>
      <c r="C10" s="2978">
        <f>'不动产比较法-住宅'!B2</f>
        <v>64233</v>
      </c>
      <c r="D10" s="2978">
        <f>'不动产比较法-商业'!B2</f>
        <v>9543</v>
      </c>
      <c r="E10" s="2978">
        <f ca="1">'不动产收益法 (车库)'!B2</f>
        <v>5043</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1843</v>
      </c>
      <c r="B11" s="2783"/>
      <c r="C11" s="2783"/>
      <c r="D11" s="2783"/>
      <c r="E11" s="2783"/>
      <c r="F11" s="2783"/>
      <c r="G11" s="2783"/>
      <c r="H11" s="2783"/>
      <c r="I11" s="2783"/>
      <c r="J11" s="2783"/>
      <c r="K11" s="2785"/>
    </row>
    <row r="12" spans="1:31" s="2069" customFormat="1" ht="13.5" customHeight="1">
      <c r="A12" s="2794" t="s">
        <v>470</v>
      </c>
      <c r="B12" s="2766" t="s">
        <v>471</v>
      </c>
      <c r="C12" s="2795" t="s">
        <v>475</v>
      </c>
      <c r="D12" s="2762" t="s">
        <v>476</v>
      </c>
      <c r="E12" s="2762" t="s">
        <v>477</v>
      </c>
      <c r="F12" s="2762" t="s">
        <v>478</v>
      </c>
      <c r="G12" s="2766"/>
      <c r="H12" s="2767"/>
      <c r="I12" s="2767"/>
      <c r="J12" s="2767"/>
      <c r="K12" s="2768"/>
    </row>
    <row r="13" spans="1:31" s="2100" customFormat="1" ht="13.5" customHeight="1">
      <c r="A13" s="2796" t="s">
        <v>1848</v>
      </c>
      <c r="B13" s="2797" t="s">
        <v>479</v>
      </c>
      <c r="C13" s="449">
        <f ca="1">IF(B1="",'数据-取费表'!P16,INDIRECT("'数据-取费表'!p"&amp;$K$1)+INDIRECT("'数据-取费表'!t"&amp;$K$1))</f>
        <v>29249</v>
      </c>
      <c r="D13" s="2798"/>
      <c r="E13" s="2799"/>
      <c r="F13" s="2800"/>
      <c r="G13" s="2766"/>
      <c r="H13" s="2767"/>
      <c r="I13" s="2767"/>
      <c r="J13" s="2767"/>
      <c r="K13" s="2768"/>
    </row>
    <row r="14" spans="1:31" s="2100" customFormat="1" ht="13.5" customHeight="1">
      <c r="A14" s="2796" t="s">
        <v>1849</v>
      </c>
      <c r="B14" s="2797" t="s">
        <v>480</v>
      </c>
      <c r="C14" s="53">
        <f ca="1">ROUND(C13*F14,0)</f>
        <v>877</v>
      </c>
      <c r="D14" s="2798"/>
      <c r="E14" s="2799"/>
      <c r="F14" s="2801">
        <f>'数据-取费表'!B33</f>
        <v>0.03</v>
      </c>
      <c r="G14" s="2766" t="s">
        <v>481</v>
      </c>
      <c r="H14" s="2767"/>
      <c r="I14" s="2767"/>
      <c r="J14" s="2767"/>
      <c r="K14" s="2768"/>
    </row>
    <row r="15" spans="1:31" s="2100" customFormat="1" ht="13.5" customHeight="1">
      <c r="A15" s="2796" t="s">
        <v>1850</v>
      </c>
      <c r="B15" s="2797" t="s">
        <v>482</v>
      </c>
      <c r="C15" s="53">
        <f ca="1">ROUND(IF(B1="",SUMIF('数据-取费表'!C:C,"住宅",'数据-取费表'!P:P)*F15,IF(INDIRECT("'数据-取费表'!c"&amp;$K$1)="住宅",INDIRECT("'数据-取费表'!P"&amp;$K$1)*F15,0)),0)</f>
        <v>659</v>
      </c>
      <c r="D15" s="2798"/>
      <c r="E15" s="2799"/>
      <c r="F15" s="2801">
        <f>'数据-取费表'!B34</f>
        <v>0.03</v>
      </c>
      <c r="G15" s="2766" t="s">
        <v>483</v>
      </c>
      <c r="H15" s="2767"/>
      <c r="I15" s="2767"/>
      <c r="J15" s="2767"/>
      <c r="K15" s="2768"/>
    </row>
    <row r="16" spans="1:31" s="2101" customFormat="1" ht="13.5" customHeight="1">
      <c r="A16" s="2796" t="s">
        <v>1851</v>
      </c>
      <c r="B16" s="2797" t="s">
        <v>484</v>
      </c>
      <c r="C16" s="53">
        <f ca="1">ROUND(D16*E16/10000,0)</f>
        <v>1963</v>
      </c>
      <c r="D16" s="2798">
        <f ca="1">IF(B1="",'数据-汇总表'!E3,INDIRECT("'数据-取费表'!K"&amp;$K$1)+INDIRECT("'数据-取费表'!S"&amp;$K$1))</f>
        <v>163564.33000000002</v>
      </c>
      <c r="E16" s="53">
        <f>'数据-取费表'!B35</f>
        <v>120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1852</v>
      </c>
      <c r="B17" s="2797" t="s">
        <v>485</v>
      </c>
      <c r="C17" s="2802">
        <f ca="1">ROUND(C13*F17,0)</f>
        <v>439</v>
      </c>
      <c r="D17" s="474"/>
      <c r="E17" s="2802"/>
      <c r="F17" s="2803">
        <f>'数据-取费表'!B36</f>
        <v>1.4999999999999999E-2</v>
      </c>
      <c r="G17" s="260" t="s">
        <v>486</v>
      </c>
      <c r="H17" s="2769"/>
      <c r="I17" s="2769"/>
      <c r="J17" s="2769"/>
      <c r="K17" s="278"/>
    </row>
    <row r="18" spans="1:14" s="2100" customFormat="1" ht="13.5" customHeight="1">
      <c r="A18" s="2804" t="s">
        <v>1853</v>
      </c>
      <c r="B18" s="2805" t="s">
        <v>487</v>
      </c>
      <c r="C18" s="2806">
        <f ca="1">SUM(C13:C17)</f>
        <v>33187</v>
      </c>
      <c r="D18" s="2807"/>
      <c r="E18" s="467"/>
      <c r="F18" s="467"/>
      <c r="G18" s="2770" t="s">
        <v>2430</v>
      </c>
      <c r="H18" s="2771"/>
      <c r="I18" s="2771"/>
      <c r="J18" s="2771"/>
      <c r="K18" s="2772"/>
    </row>
    <row r="19" spans="1:14" s="2100" customFormat="1" ht="13.5" customHeight="1">
      <c r="A19" s="2804" t="s">
        <v>1854</v>
      </c>
      <c r="B19" s="2805" t="s">
        <v>488</v>
      </c>
      <c r="C19" s="2762">
        <f ca="1">ROUND(D19*E19/10000,0)</f>
        <v>0</v>
      </c>
      <c r="D19" s="2808">
        <f ca="1">D16</f>
        <v>163564.33000000002</v>
      </c>
      <c r="E19" s="2762">
        <f>'数据-取费表'!B32</f>
        <v>0</v>
      </c>
      <c r="F19" s="467"/>
      <c r="G19" s="2766" t="s">
        <v>489</v>
      </c>
      <c r="H19" s="2767"/>
      <c r="I19" s="2771"/>
      <c r="J19" s="2771"/>
      <c r="K19" s="2772"/>
    </row>
    <row r="20" spans="1:14" s="2100" customFormat="1" ht="13.5" customHeight="1">
      <c r="A20" s="2804" t="s">
        <v>1855</v>
      </c>
      <c r="B20" s="2805" t="s">
        <v>490</v>
      </c>
      <c r="C20" s="2762">
        <f ca="1">C21+C22-IF(B1="",'数据-取费表'!B29,IF(G20="已全部缴纳",C21+C22,H20))</f>
        <v>2944</v>
      </c>
      <c r="D20" s="2808"/>
      <c r="E20" s="2762"/>
      <c r="F20" s="2809"/>
      <c r="G20" s="3036"/>
      <c r="H20" s="2764"/>
      <c r="I20" s="2765" t="s">
        <v>2650</v>
      </c>
      <c r="J20" s="2771"/>
      <c r="K20" s="2772"/>
    </row>
    <row r="21" spans="1:14" s="2100" customFormat="1" ht="13.5" customHeight="1">
      <c r="A21" s="2796" t="s">
        <v>1856</v>
      </c>
      <c r="B21" s="2797" t="s">
        <v>491</v>
      </c>
      <c r="C21" s="53">
        <f ca="1">ROUND(D21*E21/10000,0)</f>
        <v>2196</v>
      </c>
      <c r="D21" s="2798">
        <f ca="1">IF(B1="",'数据-汇总表'!E5,IF(INDIRECT("'数据-取费表'!c"&amp;$K$1)="住宅",INDIRECT("'数据-取费表'!k"&amp;$K$1),0))</f>
        <v>122022.8</v>
      </c>
      <c r="E21" s="53">
        <f>'数据-取费表'!B27</f>
        <v>180</v>
      </c>
      <c r="F21" s="2801"/>
      <c r="G21" s="26"/>
      <c r="H21" s="51"/>
      <c r="I21" s="51"/>
      <c r="J21" s="51"/>
      <c r="K21" s="2773"/>
    </row>
    <row r="22" spans="1:14" s="2100" customFormat="1" ht="13.5" customHeight="1">
      <c r="A22" s="2796" t="s">
        <v>1857</v>
      </c>
      <c r="B22" s="2797" t="s">
        <v>492</v>
      </c>
      <c r="C22" s="53">
        <f ca="1">ROUND(D22*E22/10000,0)</f>
        <v>748</v>
      </c>
      <c r="D22" s="2798">
        <f ca="1">IF(B1="",'数据-汇总表'!E6,IF(INDIRECT("'数据-取费表'!c"&amp;$K$1)="住宅",INDIRECT("'数据-取费表'!s"&amp;$K$1),INDIRECT("'数据-取费表'!k"&amp;$K$1)+INDIRECT("'数据-取费表'!s"&amp;$K$1)))</f>
        <v>41541.530000000013</v>
      </c>
      <c r="E22" s="53">
        <f>'数据-取费表'!B28</f>
        <v>180</v>
      </c>
      <c r="F22" s="2801"/>
      <c r="G22" s="26"/>
      <c r="H22" s="51"/>
      <c r="I22" s="51"/>
      <c r="J22" s="51"/>
      <c r="K22" s="2773"/>
    </row>
    <row r="23" spans="1:14" s="2100" customFormat="1" ht="13.5" customHeight="1">
      <c r="A23" s="2804" t="s">
        <v>1858</v>
      </c>
      <c r="B23" s="2984" t="s">
        <v>2833</v>
      </c>
      <c r="C23" s="2806">
        <f ca="1">ROUND((C18+C19+C20)*F23,0)</f>
        <v>542</v>
      </c>
      <c r="D23" s="467"/>
      <c r="E23" s="467"/>
      <c r="F23" s="2810">
        <f>'数据-取费表'!B37</f>
        <v>1.4999999999999999E-2</v>
      </c>
      <c r="G23" s="2766" t="s">
        <v>2431</v>
      </c>
      <c r="H23" s="2767"/>
      <c r="I23" s="2767"/>
      <c r="J23" s="2767"/>
      <c r="K23" s="2768"/>
      <c r="L23" s="2102"/>
      <c r="M23" s="2102"/>
      <c r="N23" s="2102"/>
    </row>
    <row r="24" spans="1:14" s="2100" customFormat="1" ht="13.5" customHeight="1">
      <c r="A24" s="2804" t="s">
        <v>1859</v>
      </c>
      <c r="B24" s="2984" t="s">
        <v>2836</v>
      </c>
      <c r="C24" s="2806">
        <f ca="1">ROUND(C6*F24,0)</f>
        <v>1182</v>
      </c>
      <c r="D24" s="474"/>
      <c r="E24" s="472"/>
      <c r="F24" s="2810">
        <f>'数据-取费表'!B38</f>
        <v>1.4999999999999999E-2</v>
      </c>
      <c r="G24" s="2775" t="s">
        <v>499</v>
      </c>
      <c r="H24" s="2769"/>
      <c r="I24" s="2769"/>
      <c r="J24" s="2769"/>
      <c r="K24" s="278"/>
      <c r="L24" s="2102"/>
      <c r="M24" s="2102"/>
      <c r="N24" s="2102"/>
    </row>
    <row r="25" spans="1:14" s="2103" customFormat="1" ht="13.5" customHeight="1">
      <c r="A25" s="2804" t="s">
        <v>1860</v>
      </c>
      <c r="B25" s="2984" t="s">
        <v>2834</v>
      </c>
      <c r="C25" s="466">
        <f>ROUND(F25/(1+'数据-取费表'!C42),4)</f>
        <v>2.9000000000000001E-2</v>
      </c>
      <c r="D25" s="461" t="s">
        <v>2828</v>
      </c>
      <c r="E25" s="468"/>
      <c r="F25" s="2810">
        <f>IF(项目基本情况!B8="出让",0,'数据-取费表'!B48+'数据-取费表'!B49)</f>
        <v>3.0499999999999999E-2</v>
      </c>
      <c r="G25" s="2774" t="s">
        <v>2289</v>
      </c>
      <c r="H25" s="2767"/>
      <c r="I25" s="2767"/>
      <c r="J25" s="2767"/>
      <c r="K25" s="2768"/>
    </row>
    <row r="26" spans="1:14" s="2102" customFormat="1" ht="13.5" customHeight="1">
      <c r="A26" s="2804" t="s">
        <v>1861</v>
      </c>
      <c r="B26" s="2985" t="s">
        <v>2835</v>
      </c>
      <c r="C26" s="2811">
        <f ca="1">C28</f>
        <v>1798</v>
      </c>
      <c r="D26" s="466">
        <f ca="1">C27</f>
        <v>0.10009999999999999</v>
      </c>
      <c r="E26" s="468" t="s">
        <v>495</v>
      </c>
      <c r="F26" s="470">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2" t="s">
        <v>1856</v>
      </c>
      <c r="B27" s="2812" t="s">
        <v>496</v>
      </c>
      <c r="C27" s="2813">
        <f ca="1">ROUND(IF('数据-取费表'!B22&lt;=1,(1+C25)*F26*'数据-取费表'!B24,(1+C25)*(POWER((1+F26),'数据-取费表'!B24)-1)),4)</f>
        <v>0.10009999999999999</v>
      </c>
      <c r="D27" s="471"/>
      <c r="E27" s="472"/>
      <c r="F27" s="473"/>
      <c r="G27" s="2535" t="str">
        <f>IF('数据-取费表'!B22&lt;=1,"（1+取得税费率/(1+5%)）×年利率×建设期","（1+取得税费率）/(1+5%)×((1+年利率)^建设期-1)")</f>
        <v>（1+取得税费率）/(1+5%)×((1+年利率)^建设期-1)</v>
      </c>
      <c r="H27" s="2769"/>
      <c r="I27" s="2769"/>
      <c r="J27" s="2769"/>
      <c r="K27" s="278"/>
    </row>
    <row r="28" spans="1:14" s="2104" customFormat="1" ht="13.5" customHeight="1">
      <c r="A28" s="802" t="s">
        <v>1857</v>
      </c>
      <c r="B28" s="2812" t="s">
        <v>2837</v>
      </c>
      <c r="C28" s="2814">
        <f ca="1">ROUND(IF('数据-取费表'!B22&lt;=1,(C18+C19+C20+C23+C24)*F26*'数据-取费表'!B24/2,(C18+C19+C20+C23+C24)*(POWER((1+F26),'数据-取费表'!B24/2)-1)),0)</f>
        <v>1798</v>
      </c>
      <c r="D28" s="471"/>
      <c r="E28" s="472"/>
      <c r="F28" s="473"/>
      <c r="G28" s="2535" t="str">
        <f>IF('数据-取费表'!B22&lt;=1,"（1）-（4）项×年利率×建设期÷2","（1）-（4）项×((1+年利率)^(建设期÷2)-1)")</f>
        <v>（1）-（4）项×((1+年利率)^(建设期÷2)-1)</v>
      </c>
      <c r="H28" s="2769"/>
      <c r="I28" s="2769"/>
      <c r="J28" s="2769"/>
      <c r="K28" s="278"/>
    </row>
    <row r="29" spans="1:14" s="2104" customFormat="1" ht="13.5" customHeight="1">
      <c r="A29" s="2815" t="s">
        <v>1862</v>
      </c>
      <c r="B29" s="2805" t="s">
        <v>497</v>
      </c>
      <c r="C29" s="2806">
        <f ca="1">ROUND(C6*F29/(1+'数据-取费表'!C42),0)</f>
        <v>4129</v>
      </c>
      <c r="D29" s="467"/>
      <c r="E29" s="467"/>
      <c r="F29" s="2986">
        <f>'数据-取费表'!B41</f>
        <v>5.5000000000000007E-2</v>
      </c>
      <c r="G29" s="2775" t="s">
        <v>498</v>
      </c>
      <c r="H29" s="2767"/>
      <c r="I29" s="2767"/>
      <c r="J29" s="2767"/>
      <c r="K29" s="2768"/>
    </row>
    <row r="30" spans="1:14" s="2105" customFormat="1" ht="13.5" customHeight="1">
      <c r="A30" s="1619" t="s">
        <v>1863</v>
      </c>
      <c r="B30" s="2816" t="s">
        <v>500</v>
      </c>
      <c r="C30" s="2811">
        <f ca="1">C31</f>
        <v>43782</v>
      </c>
      <c r="D30" s="476">
        <f ca="1">C32</f>
        <v>0.12909999999999999</v>
      </c>
      <c r="E30" s="468" t="s">
        <v>495</v>
      </c>
      <c r="F30" s="470"/>
      <c r="G30" s="2774" t="s">
        <v>2968</v>
      </c>
      <c r="H30" s="2767"/>
      <c r="I30" s="2767"/>
      <c r="J30" s="2767"/>
      <c r="K30" s="2768"/>
    </row>
    <row r="31" spans="1:14" s="2104" customFormat="1" ht="13.5" customHeight="1">
      <c r="A31" s="802" t="s">
        <v>1856</v>
      </c>
      <c r="B31" s="2812"/>
      <c r="C31" s="449">
        <f ca="1">C18+C19+C20+C23+C24+C26+C29</f>
        <v>43782</v>
      </c>
      <c r="D31" s="471"/>
      <c r="E31" s="472"/>
      <c r="F31" s="473"/>
      <c r="G31" s="260"/>
      <c r="H31" s="2769"/>
      <c r="I31" s="2769"/>
      <c r="J31" s="2769"/>
      <c r="K31" s="278"/>
    </row>
    <row r="32" spans="1:14" s="2104" customFormat="1" ht="13.5" customHeight="1">
      <c r="A32" s="802" t="s">
        <v>1857</v>
      </c>
      <c r="B32" s="2812"/>
      <c r="C32" s="53">
        <f ca="1">ROUND(C25+D26,4)</f>
        <v>0.12909999999999999</v>
      </c>
      <c r="D32" s="471"/>
      <c r="E32" s="472"/>
      <c r="F32" s="473"/>
      <c r="G32" s="260"/>
      <c r="H32" s="2769"/>
      <c r="I32" s="2769"/>
      <c r="J32" s="2769"/>
      <c r="K32" s="278"/>
    </row>
    <row r="33" spans="1:11" s="2106" customFormat="1" ht="13.5" customHeight="1">
      <c r="A33" s="2983" t="s">
        <v>2832</v>
      </c>
      <c r="B33" s="2981" t="s">
        <v>2830</v>
      </c>
      <c r="C33" s="477">
        <f ca="1">C35</f>
        <v>4921</v>
      </c>
      <c r="D33" s="466">
        <f ca="1">C34</f>
        <v>0.1338</v>
      </c>
      <c r="E33" s="468" t="s">
        <v>495</v>
      </c>
      <c r="F33" s="478">
        <f ca="1">IF(B1="",'数据-取费表'!Q16,INDIRECT("'数据-取费表'!q"&amp;$K$1))</f>
        <v>0.13</v>
      </c>
      <c r="G33" s="2770"/>
      <c r="H33" s="2771"/>
      <c r="I33" s="2771"/>
      <c r="J33" s="2771"/>
      <c r="K33" s="2772"/>
    </row>
    <row r="34" spans="1:11" s="2107" customFormat="1" ht="13.5" customHeight="1">
      <c r="A34" s="374" t="s">
        <v>1856</v>
      </c>
      <c r="B34" s="2817" t="s">
        <v>501</v>
      </c>
      <c r="C34" s="471">
        <f ca="1">ROUND((1+C25)*F33,4)</f>
        <v>0.1338</v>
      </c>
      <c r="D34" s="471"/>
      <c r="E34" s="472"/>
      <c r="F34" s="479"/>
      <c r="G34" s="260" t="s">
        <v>2290</v>
      </c>
      <c r="H34" s="2769"/>
      <c r="I34" s="2769"/>
      <c r="J34" s="2769"/>
      <c r="K34" s="278"/>
    </row>
    <row r="35" spans="1:11" s="2107" customFormat="1" ht="13.5" customHeight="1" thickBot="1">
      <c r="A35" s="1620" t="s">
        <v>1857</v>
      </c>
      <c r="B35" s="2982" t="s">
        <v>2838</v>
      </c>
      <c r="C35" s="1612">
        <f ca="1">ROUND((C18+C19+C20+C23+C24)*F33,0)</f>
        <v>4921</v>
      </c>
      <c r="D35" s="1613"/>
      <c r="E35" s="2818"/>
      <c r="F35" s="1614"/>
      <c r="G35" s="2776"/>
      <c r="H35" s="2777"/>
      <c r="I35" s="2777"/>
      <c r="J35" s="2777"/>
      <c r="K35" s="2778"/>
    </row>
    <row r="36" spans="1:11" s="2069" customFormat="1" ht="13.5" customHeight="1" thickBot="1">
      <c r="A36" s="283" t="s">
        <v>1844</v>
      </c>
      <c r="B36" s="2780"/>
      <c r="C36" s="2819">
        <f ca="1">ROUND((C6-C30-C33)/(1+D30+D33),0)</f>
        <v>23847</v>
      </c>
      <c r="D36" s="2780"/>
      <c r="E36" s="2780"/>
      <c r="F36" s="2780"/>
      <c r="G36" s="2779" t="s">
        <v>2839</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0" t="s">
        <v>466</v>
      </c>
      <c r="B1" s="2763"/>
      <c r="C1" s="2088"/>
      <c r="D1" s="2088"/>
      <c r="E1" s="2088"/>
      <c r="F1" s="2088"/>
      <c r="G1" s="2088"/>
      <c r="H1" s="2088"/>
      <c r="I1" s="2088"/>
      <c r="J1" s="2088"/>
      <c r="K1" s="421">
        <f>MATCH(B1,'数据-取费表'!A6:A16,0)+5</f>
        <v>9</v>
      </c>
    </row>
    <row r="2" spans="1:41" s="2025" customFormat="1" ht="18" customHeight="1">
      <c r="A2" s="422" t="s">
        <v>467</v>
      </c>
      <c r="B2" s="423">
        <f ca="1">C32</f>
        <v>0</v>
      </c>
      <c r="C2" s="2088"/>
      <c r="D2" s="2088"/>
      <c r="E2" s="2088"/>
      <c r="F2" s="2088"/>
      <c r="G2" s="2088"/>
      <c r="H2" s="2088"/>
      <c r="I2" s="2088"/>
      <c r="J2" s="2088"/>
      <c r="K2" s="2088"/>
    </row>
    <row r="3" spans="1:41" s="2025" customFormat="1" ht="18" customHeight="1">
      <c r="A3" s="1374" t="s">
        <v>1684</v>
      </c>
      <c r="B3" s="424">
        <f ca="1">ROUND(B2*10000/IF(B1="",'数据-汇总表'!E3,INDIRECT("'数据-取费表'!K"&amp;$K$1)),0)</f>
        <v>0</v>
      </c>
      <c r="C3" s="2088"/>
      <c r="D3" s="2088"/>
      <c r="E3" s="2088"/>
      <c r="F3" s="2088"/>
      <c r="G3" s="2088"/>
      <c r="H3" s="2088"/>
      <c r="I3" s="2088"/>
      <c r="J3" s="2088"/>
      <c r="K3" s="2088"/>
    </row>
    <row r="4" spans="1:41" s="2025" customFormat="1" ht="18" customHeight="1">
      <c r="A4" s="425" t="s">
        <v>468</v>
      </c>
      <c r="B4" s="426">
        <f ca="1">ROUND(B2*10000/IF(B1="",'数据-汇总表'!D3,INDIRECT("'数据-取费表'!R"&amp;$K$1)),0)</f>
        <v>0</v>
      </c>
      <c r="C4" s="2045"/>
      <c r="D4" s="2088"/>
      <c r="E4" s="2088"/>
      <c r="F4" s="2088"/>
      <c r="G4" s="2088"/>
      <c r="H4" s="2088"/>
      <c r="I4" s="2088"/>
      <c r="J4" s="2088"/>
      <c r="K4" s="2088"/>
    </row>
    <row r="5" spans="1:41" s="2025" customFormat="1" ht="18" customHeight="1" thickBot="1">
      <c r="A5" s="428"/>
      <c r="B5" s="429">
        <f ca="1">ROUND(B2/(IF(B1="",'数据-汇总表'!D3,INDIRECT("'数据-取费表'!R"&amp;$K$1))/666.67),0)</f>
        <v>0</v>
      </c>
      <c r="C5" s="430" t="s">
        <v>469</v>
      </c>
      <c r="D5" s="2088"/>
      <c r="E5" s="2088"/>
      <c r="F5" s="2088"/>
      <c r="G5" s="2088"/>
      <c r="H5" s="2088"/>
      <c r="I5" s="2088"/>
      <c r="J5" s="2088"/>
      <c r="K5" s="2088"/>
    </row>
    <row r="6" spans="1:41" s="2095" customFormat="1" ht="16.5" customHeight="1">
      <c r="A6" s="431" t="s">
        <v>2651</v>
      </c>
      <c r="B6" s="432"/>
      <c r="C6" s="1607">
        <f>SUM(C10:K10)</f>
        <v>0</v>
      </c>
      <c r="D6" s="2093"/>
      <c r="E6" s="2093"/>
      <c r="F6" s="2093"/>
      <c r="G6" s="2093"/>
      <c r="H6" s="2093"/>
      <c r="I6" s="2093"/>
      <c r="J6" s="2093"/>
      <c r="K6" s="2094"/>
    </row>
    <row r="7" spans="1:41" s="2097" customFormat="1" ht="15">
      <c r="A7" s="433" t="s">
        <v>470</v>
      </c>
      <c r="B7" s="434" t="s">
        <v>471</v>
      </c>
      <c r="C7" s="435"/>
      <c r="D7" s="435"/>
      <c r="E7" s="435"/>
      <c r="F7" s="435"/>
      <c r="G7" s="435"/>
      <c r="H7" s="435"/>
      <c r="I7" s="435"/>
      <c r="J7" s="435"/>
      <c r="K7" s="436"/>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1845</v>
      </c>
      <c r="B8" s="437" t="s">
        <v>472</v>
      </c>
      <c r="C8" s="438"/>
      <c r="D8" s="438"/>
      <c r="E8" s="438"/>
      <c r="F8" s="438"/>
      <c r="G8" s="438"/>
      <c r="H8" s="438"/>
      <c r="I8" s="438"/>
      <c r="J8" s="438"/>
      <c r="K8" s="439"/>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1847</v>
      </c>
      <c r="B10" s="1608" t="s">
        <v>474</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1864</v>
      </c>
      <c r="B11" s="1605"/>
      <c r="C11" s="1605"/>
      <c r="D11" s="1605"/>
      <c r="E11" s="1605"/>
      <c r="F11" s="1605"/>
      <c r="G11" s="1605"/>
      <c r="H11" s="1605"/>
      <c r="I11" s="1605"/>
      <c r="J11" s="1605"/>
      <c r="K11" s="1606"/>
    </row>
    <row r="12" spans="1:41" s="2069" customFormat="1" ht="13.5" customHeight="1">
      <c r="A12" s="433" t="s">
        <v>470</v>
      </c>
      <c r="B12" s="443" t="s">
        <v>471</v>
      </c>
      <c r="C12" s="444" t="s">
        <v>475</v>
      </c>
      <c r="D12" s="445" t="s">
        <v>476</v>
      </c>
      <c r="E12" s="445" t="s">
        <v>477</v>
      </c>
      <c r="F12" s="445" t="s">
        <v>478</v>
      </c>
      <c r="G12" s="443"/>
      <c r="H12" s="446"/>
      <c r="I12" s="446"/>
      <c r="J12" s="446"/>
      <c r="K12" s="447"/>
    </row>
    <row r="13" spans="1:41" s="2100" customFormat="1" ht="13.5" customHeight="1">
      <c r="A13" s="1617" t="s">
        <v>1848</v>
      </c>
      <c r="B13" s="448" t="s">
        <v>479</v>
      </c>
      <c r="C13" s="449">
        <f ca="1">IF(B1="",'数据-取费表'!M16,INDIRECT("'数据-取费表'!M"&amp;$K$1)+INDIRECT("'数据-取费表'!t"&amp;$K$1))</f>
        <v>29249</v>
      </c>
      <c r="D13" s="450"/>
      <c r="E13" s="364"/>
      <c r="F13" s="451"/>
      <c r="G13" s="443"/>
      <c r="H13" s="446"/>
      <c r="I13" s="446"/>
      <c r="J13" s="446"/>
      <c r="K13" s="447"/>
    </row>
    <row r="14" spans="1:41" s="2100" customFormat="1" ht="13.5" customHeight="1">
      <c r="A14" s="1617" t="s">
        <v>1849</v>
      </c>
      <c r="B14" s="448" t="s">
        <v>480</v>
      </c>
      <c r="C14" s="53">
        <f ca="1">ROUND(C13*F14,0)</f>
        <v>877</v>
      </c>
      <c r="D14" s="450"/>
      <c r="E14" s="364"/>
      <c r="F14" s="452">
        <f>'数据-取费表'!B33</f>
        <v>0.03</v>
      </c>
      <c r="G14" s="443" t="s">
        <v>502</v>
      </c>
      <c r="H14" s="446"/>
      <c r="I14" s="446"/>
      <c r="J14" s="446"/>
      <c r="K14" s="447"/>
    </row>
    <row r="15" spans="1:41" s="2100" customFormat="1" ht="13.5" customHeight="1">
      <c r="A15" s="1617" t="s">
        <v>1850</v>
      </c>
      <c r="B15" s="448" t="s">
        <v>482</v>
      </c>
      <c r="C15" s="53">
        <f ca="1">ROUND(IF(B1="",SUMIF('数据-取费表'!C:C,"住宅",'数据-取费表'!M:M)*F15,IF(INDIRECT("'数据-取费表'!c"&amp;$K$1)="住宅",INDIRECT("'数据-取费表'!M"&amp;$K$1)*F15,0)),0)</f>
        <v>659</v>
      </c>
      <c r="D15" s="450"/>
      <c r="E15" s="364"/>
      <c r="F15" s="452">
        <f>'数据-取费表'!B34</f>
        <v>0.03</v>
      </c>
      <c r="G15" s="443" t="s">
        <v>502</v>
      </c>
      <c r="H15" s="446"/>
      <c r="I15" s="446"/>
      <c r="J15" s="446"/>
      <c r="K15" s="447"/>
    </row>
    <row r="16" spans="1:41" s="2101" customFormat="1" ht="13.5" customHeight="1">
      <c r="A16" s="1617" t="s">
        <v>1851</v>
      </c>
      <c r="B16" s="448" t="s">
        <v>484</v>
      </c>
      <c r="C16" s="53">
        <f ca="1">ROUND(D16*E16/10000,0)</f>
        <v>1963</v>
      </c>
      <c r="D16" s="450">
        <f ca="1">IF(B1="",'数据-汇总表'!E3,INDIRECT("'数据-取费表'!K"&amp;$K$1)+INDIRECT("'数据-取费表'!S"&amp;$K$1))</f>
        <v>163564.33000000002</v>
      </c>
      <c r="E16" s="53">
        <f>'数据-取费表'!B35</f>
        <v>120</v>
      </c>
      <c r="F16" s="452"/>
      <c r="G16" s="443"/>
      <c r="H16" s="446"/>
      <c r="I16" s="446"/>
      <c r="J16" s="446"/>
      <c r="K16" s="447"/>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1852</v>
      </c>
      <c r="B17" s="448" t="s">
        <v>485</v>
      </c>
      <c r="C17" s="453">
        <f ca="1">ROUND(C13*F17,0)</f>
        <v>439</v>
      </c>
      <c r="D17" s="454"/>
      <c r="E17" s="453"/>
      <c r="F17" s="455">
        <f>'数据-取费表'!B36</f>
        <v>1.4999999999999999E-2</v>
      </c>
      <c r="G17" s="443" t="s">
        <v>502</v>
      </c>
      <c r="H17" s="456"/>
      <c r="I17" s="456"/>
      <c r="J17" s="456"/>
      <c r="K17" s="457"/>
    </row>
    <row r="18" spans="1:14" s="2103" customFormat="1" ht="13.5" customHeight="1">
      <c r="A18" s="1618" t="s">
        <v>1853</v>
      </c>
      <c r="B18" s="458" t="s">
        <v>487</v>
      </c>
      <c r="C18" s="459">
        <f ca="1">SUM(C13:C17)</f>
        <v>33187</v>
      </c>
      <c r="D18" s="460"/>
      <c r="E18" s="461"/>
      <c r="F18" s="461"/>
      <c r="G18" s="1322" t="s">
        <v>2432</v>
      </c>
      <c r="H18" s="446"/>
      <c r="I18" s="446"/>
      <c r="J18" s="446"/>
      <c r="K18" s="447"/>
    </row>
    <row r="19" spans="1:14" s="2103" customFormat="1" ht="13.5" customHeight="1">
      <c r="A19" s="1618" t="s">
        <v>1854</v>
      </c>
      <c r="B19" s="458" t="s">
        <v>493</v>
      </c>
      <c r="C19" s="459">
        <f ca="1">ROUND(C18*F19,0)</f>
        <v>498</v>
      </c>
      <c r="D19" s="461"/>
      <c r="E19" s="461"/>
      <c r="F19" s="465">
        <f>'数据-取费表'!B37</f>
        <v>1.4999999999999999E-2</v>
      </c>
      <c r="G19" s="443" t="s">
        <v>503</v>
      </c>
      <c r="H19" s="446"/>
      <c r="I19" s="446"/>
      <c r="J19" s="446"/>
      <c r="K19" s="447"/>
      <c r="L19" s="2105"/>
      <c r="M19" s="2105"/>
      <c r="N19" s="2105"/>
    </row>
    <row r="20" spans="1:14" s="2103" customFormat="1" ht="13.5" customHeight="1">
      <c r="A20" s="1618" t="s">
        <v>1855</v>
      </c>
      <c r="B20" s="458" t="s">
        <v>504</v>
      </c>
      <c r="C20" s="2979">
        <f>F20</f>
        <v>1.4999999999999999E-2</v>
      </c>
      <c r="D20" s="468" t="s">
        <v>505</v>
      </c>
      <c r="E20" s="468"/>
      <c r="F20" s="485">
        <f>'数据-取费表'!B38</f>
        <v>1.4999999999999999E-2</v>
      </c>
      <c r="G20" s="1322" t="s">
        <v>506</v>
      </c>
      <c r="H20" s="446"/>
      <c r="I20" s="446"/>
      <c r="J20" s="446"/>
      <c r="K20" s="447"/>
      <c r="L20" s="2105"/>
      <c r="M20" s="2105"/>
      <c r="N20" s="2105"/>
    </row>
    <row r="21" spans="1:14" s="2105" customFormat="1" ht="13.5" customHeight="1">
      <c r="A21" s="1618" t="s">
        <v>1858</v>
      </c>
      <c r="B21" s="460" t="s">
        <v>494</v>
      </c>
      <c r="C21" s="469">
        <f ca="1">C22</f>
        <v>1600</v>
      </c>
      <c r="D21" s="466">
        <f ca="1">C23</f>
        <v>6.9999999999999999E-4</v>
      </c>
      <c r="E21" s="468" t="s">
        <v>507</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2" t="s">
        <v>2454</v>
      </c>
    </row>
    <row r="22" spans="1:14" s="2104" customFormat="1" ht="13.5" customHeight="1">
      <c r="A22" s="1617" t="s">
        <v>1848</v>
      </c>
      <c r="B22" s="1323" t="s">
        <v>2435</v>
      </c>
      <c r="C22" s="486">
        <f ca="1">ROUND(IF('数据-取费表'!B22&lt;=1,(C18+C19)*F21*'数据-取费表'!B20/2,(C18+C19)*(POWER((1+F21),'数据-取费表'!B20/2)-1)),0)</f>
        <v>1600</v>
      </c>
      <c r="D22" s="471"/>
      <c r="E22" s="472"/>
      <c r="F22" s="473"/>
      <c r="G22" s="2530" t="str">
        <f>IF('数据-取费表'!B22&lt;=1,"((1)+(2))×年利率×建设期÷2","((1)+(2))×((1+年利率)^(建设期÷2)-1)")</f>
        <v>((1)+(2))×((1+年利率)^(建设期÷2)-1)</v>
      </c>
      <c r="H22" s="456"/>
      <c r="I22" s="456"/>
      <c r="J22" s="456"/>
      <c r="K22" s="457"/>
    </row>
    <row r="23" spans="1:14" s="2104" customFormat="1" ht="13.5" customHeight="1">
      <c r="A23" s="1617" t="s">
        <v>1849</v>
      </c>
      <c r="B23" s="1323" t="s">
        <v>508</v>
      </c>
      <c r="C23" s="487">
        <f ca="1">ROUND(IF('数据-取费表'!B22&lt;=1,F20*F21*'数据-取费表'!B20/2,F20*(POWER((1+F21),'数据-取费表'!B20/2)-1)),4)</f>
        <v>6.9999999999999999E-4</v>
      </c>
      <c r="D23" s="471"/>
      <c r="E23" s="472"/>
      <c r="F23" s="473"/>
      <c r="G23" s="2530" t="str">
        <f>IF('数据-取费表'!B22&lt;=1,"销售费用率×年利率×建设期÷2","销售费用率×((1+年利率)^(建设期÷2)-1)")</f>
        <v>销售费用率×((1+年利率)^(建设期÷2)-1)</v>
      </c>
      <c r="H23" s="456"/>
      <c r="I23" s="456"/>
      <c r="J23" s="456"/>
      <c r="K23" s="457"/>
    </row>
    <row r="24" spans="1:14" s="2104" customFormat="1" ht="13.5" customHeight="1">
      <c r="A24" s="1618" t="s">
        <v>1859</v>
      </c>
      <c r="B24" s="2981" t="s">
        <v>2831</v>
      </c>
      <c r="C24" s="477">
        <f ca="1">C25</f>
        <v>4379</v>
      </c>
      <c r="D24" s="488">
        <f ca="1">C26</f>
        <v>2E-3</v>
      </c>
      <c r="E24" s="468" t="s">
        <v>507</v>
      </c>
      <c r="F24" s="478">
        <f ca="1">IF(B1="",'数据-取费表'!Q16,INDIRECT("'数据-取费表'!q"&amp;$K$1))</f>
        <v>0.13</v>
      </c>
      <c r="G24" s="443"/>
      <c r="H24" s="446"/>
      <c r="I24" s="446"/>
      <c r="J24" s="446"/>
      <c r="K24" s="447"/>
    </row>
    <row r="25" spans="1:14" s="2104" customFormat="1" ht="13.5" customHeight="1">
      <c r="A25" s="1617" t="s">
        <v>1848</v>
      </c>
      <c r="B25" s="1323" t="s">
        <v>2436</v>
      </c>
      <c r="C25" s="489">
        <f ca="1">ROUND((C18+C19)*F24,0)</f>
        <v>4379</v>
      </c>
      <c r="D25" s="471"/>
      <c r="E25" s="472"/>
      <c r="F25" s="479"/>
      <c r="G25" s="1321" t="s">
        <v>2433</v>
      </c>
      <c r="H25" s="456"/>
      <c r="I25" s="456"/>
      <c r="J25" s="456"/>
      <c r="K25" s="457"/>
    </row>
    <row r="26" spans="1:14" s="2104" customFormat="1" ht="13.5" customHeight="1">
      <c r="A26" s="1617" t="s">
        <v>1849</v>
      </c>
      <c r="B26" s="1323" t="s">
        <v>509</v>
      </c>
      <c r="C26" s="490">
        <f ca="1">ROUND(F20*F24,4)</f>
        <v>2E-3</v>
      </c>
      <c r="D26" s="471"/>
      <c r="E26" s="480"/>
      <c r="F26" s="479"/>
      <c r="G26" s="1321" t="s">
        <v>510</v>
      </c>
      <c r="H26" s="456"/>
      <c r="I26" s="456"/>
      <c r="J26" s="456"/>
      <c r="K26" s="457"/>
    </row>
    <row r="27" spans="1:14" s="2104" customFormat="1" ht="13.5" customHeight="1">
      <c r="A27" s="1621" t="s">
        <v>1867</v>
      </c>
      <c r="B27" s="458" t="s">
        <v>511</v>
      </c>
      <c r="C27" s="2980">
        <f>ROUND(F27/(1+'数据-取费表'!C42),4)</f>
        <v>5.2400000000000002E-2</v>
      </c>
      <c r="D27" s="461" t="s">
        <v>2829</v>
      </c>
      <c r="E27" s="461"/>
      <c r="F27" s="465">
        <f>'数据-取费表'!B41</f>
        <v>5.5000000000000007E-2</v>
      </c>
      <c r="G27" s="1944" t="s">
        <v>2291</v>
      </c>
      <c r="H27" s="446"/>
      <c r="I27" s="446"/>
      <c r="J27" s="446"/>
      <c r="K27" s="447"/>
    </row>
    <row r="28" spans="1:14" s="2105" customFormat="1" ht="13.5" customHeight="1">
      <c r="A28" s="1621" t="s">
        <v>1868</v>
      </c>
      <c r="B28" s="475" t="s">
        <v>512</v>
      </c>
      <c r="C28" s="469">
        <f ca="1">ROUND((C18+C19+C21+C24)/(1-C20-D21-D24-C27),0)</f>
        <v>42654</v>
      </c>
      <c r="D28" s="476"/>
      <c r="E28" s="468"/>
      <c r="F28" s="470"/>
      <c r="G28" s="1322" t="s">
        <v>2434</v>
      </c>
      <c r="H28" s="446"/>
      <c r="I28" s="446"/>
      <c r="J28" s="446"/>
      <c r="K28" s="447"/>
    </row>
    <row r="29" spans="1:14" s="2105" customFormat="1" ht="13.5" customHeight="1">
      <c r="A29" s="1621" t="s">
        <v>1869</v>
      </c>
      <c r="B29" s="475" t="s">
        <v>513</v>
      </c>
      <c r="C29" s="491">
        <f ca="1">IF(B1="",'数据-取费表'!N16,INDIRECT("'数据-取费表'!N"&amp;$K$1))</f>
        <v>0</v>
      </c>
      <c r="D29" s="492"/>
      <c r="E29" s="493"/>
      <c r="F29" s="494"/>
      <c r="G29" s="443"/>
      <c r="H29" s="446"/>
      <c r="I29" s="446"/>
      <c r="J29" s="446"/>
      <c r="K29" s="447"/>
    </row>
    <row r="30" spans="1:14" s="2105" customFormat="1" ht="13.5" customHeight="1">
      <c r="A30" s="442">
        <v>2</v>
      </c>
      <c r="B30" s="475" t="s">
        <v>514</v>
      </c>
      <c r="C30" s="496">
        <f ca="1">ROUND(C28*C29,0)</f>
        <v>0</v>
      </c>
      <c r="D30" s="492"/>
      <c r="E30" s="497"/>
      <c r="F30" s="498"/>
      <c r="G30" s="1324" t="s">
        <v>515</v>
      </c>
      <c r="H30" s="495"/>
      <c r="I30" s="495"/>
      <c r="J30" s="446"/>
      <c r="K30" s="447"/>
    </row>
    <row r="31" spans="1:14" s="2110" customFormat="1" ht="13.5" customHeight="1">
      <c r="A31" s="2445" t="s">
        <v>1865</v>
      </c>
      <c r="B31" s="1325"/>
      <c r="C31" s="499">
        <f>ROUND(C6*F31/(1+'数据-取费表'!C42),0)</f>
        <v>0</v>
      </c>
      <c r="D31" s="1326"/>
      <c r="E31" s="1326"/>
      <c r="F31" s="500">
        <f>'数据-取费表'!B41</f>
        <v>5.5000000000000007E-2</v>
      </c>
      <c r="G31" s="1327"/>
      <c r="H31" s="1327"/>
      <c r="I31" s="1327"/>
      <c r="J31" s="1328"/>
      <c r="K31" s="1329"/>
    </row>
    <row r="32" spans="1:14" s="2069"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6" t="s">
        <v>2969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516</v>
      </c>
      <c r="B1" s="502"/>
      <c r="C1" s="503" t="s">
        <v>597</v>
      </c>
      <c r="D1" s="504" t="s">
        <v>518</v>
      </c>
      <c r="E1" s="736"/>
      <c r="F1" s="737"/>
      <c r="G1" s="736"/>
      <c r="H1" s="736"/>
      <c r="I1" s="736"/>
      <c r="J1" s="736"/>
      <c r="K1" s="738"/>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467</v>
      </c>
      <c r="B2" s="507"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c r="A3" s="1375" t="s">
        <v>1685</v>
      </c>
      <c r="B3" s="509"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7"/>
      <c r="AC3" s="427"/>
    </row>
    <row r="4" spans="1:29" s="1331" customFormat="1" ht="28.5" customHeight="1">
      <c r="A4" s="510" t="s">
        <v>520</v>
      </c>
      <c r="B4" s="426"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7"/>
    </row>
    <row r="5" spans="1:29" s="1331" customFormat="1" ht="28.5" customHeight="1" thickBot="1">
      <c r="A5" s="428"/>
      <c r="B5" s="429" t="e">
        <f>ROUND(B2/('数据-汇总表'!D3/666.67),0)</f>
        <v>#DIV/0!</v>
      </c>
      <c r="C5" s="430"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7"/>
    </row>
    <row r="6" spans="1:29" ht="15">
      <c r="A6" s="511" t="s">
        <v>521</v>
      </c>
      <c r="B6" s="512"/>
      <c r="C6" s="4023" t="s">
        <v>522</v>
      </c>
      <c r="D6" s="4024"/>
      <c r="E6" s="4047" t="s">
        <v>523</v>
      </c>
      <c r="F6" s="4048"/>
      <c r="G6" s="4023" t="s">
        <v>524</v>
      </c>
      <c r="H6" s="4024"/>
      <c r="I6" s="4023" t="s">
        <v>525</v>
      </c>
      <c r="J6" s="4024"/>
      <c r="K6" s="513" t="s">
        <v>526</v>
      </c>
      <c r="L6" s="2117"/>
      <c r="M6" s="2118"/>
      <c r="N6" s="2118"/>
      <c r="O6" s="2118"/>
      <c r="P6" s="4025" t="s">
        <v>527</v>
      </c>
      <c r="Q6" s="4026"/>
      <c r="R6" s="4011" t="s">
        <v>523</v>
      </c>
      <c r="S6" s="4012"/>
      <c r="T6" s="4011" t="s">
        <v>524</v>
      </c>
      <c r="U6" s="4012"/>
      <c r="V6" s="4031" t="s">
        <v>525</v>
      </c>
      <c r="W6" s="4031"/>
      <c r="X6" s="1552"/>
      <c r="Y6" s="4011" t="s">
        <v>527</v>
      </c>
      <c r="Z6" s="4012"/>
      <c r="AA6" s="4006" t="s">
        <v>523</v>
      </c>
      <c r="AB6" s="4007" t="s">
        <v>524</v>
      </c>
      <c r="AC6" s="4006" t="s">
        <v>525</v>
      </c>
    </row>
    <row r="7" spans="1:29" ht="15">
      <c r="A7" s="514"/>
      <c r="B7" s="515"/>
      <c r="C7" s="4034" t="s">
        <v>2926</v>
      </c>
      <c r="D7" s="4035"/>
      <c r="E7" s="4049" t="s">
        <v>2927</v>
      </c>
      <c r="F7" s="4050"/>
      <c r="G7" s="4034" t="s">
        <v>2928</v>
      </c>
      <c r="H7" s="4035"/>
      <c r="I7" s="4034" t="s">
        <v>2929</v>
      </c>
      <c r="J7" s="4035"/>
      <c r="K7" s="513"/>
      <c r="L7" s="2117"/>
      <c r="M7" s="2118"/>
      <c r="N7" s="2118"/>
      <c r="O7" s="2118"/>
      <c r="P7" s="4027"/>
      <c r="Q7" s="4028"/>
      <c r="R7" s="4013"/>
      <c r="S7" s="4014"/>
      <c r="T7" s="4013"/>
      <c r="U7" s="4014"/>
      <c r="V7" s="4031"/>
      <c r="W7" s="4031"/>
      <c r="X7" s="1552"/>
      <c r="Y7" s="4013"/>
      <c r="Z7" s="4014"/>
      <c r="AA7" s="4007"/>
      <c r="AB7" s="4007"/>
      <c r="AC7" s="4007"/>
    </row>
    <row r="8" spans="1:29" ht="15.75" thickBot="1">
      <c r="A8" s="516"/>
      <c r="B8" s="517"/>
      <c r="C8" s="4032" t="s">
        <v>2930</v>
      </c>
      <c r="D8" s="4033"/>
      <c r="E8" s="4051" t="s">
        <v>2930</v>
      </c>
      <c r="F8" s="4052"/>
      <c r="G8" s="4032" t="s">
        <v>2930</v>
      </c>
      <c r="H8" s="4033"/>
      <c r="I8" s="4032" t="s">
        <v>2930</v>
      </c>
      <c r="J8" s="4033"/>
      <c r="K8" s="513" t="s">
        <v>528</v>
      </c>
      <c r="L8" s="2117"/>
      <c r="M8" s="2118"/>
      <c r="N8" s="2118"/>
      <c r="O8" s="2118"/>
      <c r="P8" s="4029"/>
      <c r="Q8" s="4030"/>
      <c r="R8" s="4013"/>
      <c r="S8" s="4014"/>
      <c r="T8" s="4015"/>
      <c r="U8" s="4016"/>
      <c r="V8" s="4031"/>
      <c r="W8" s="4031"/>
      <c r="X8" s="1552"/>
      <c r="Y8" s="4015"/>
      <c r="Z8" s="4016"/>
      <c r="AA8" s="4008"/>
      <c r="AB8" s="4008"/>
      <c r="AC8" s="4008"/>
    </row>
    <row r="9" spans="1:29" s="1215" customFormat="1" ht="15.75" thickBot="1">
      <c r="A9" s="2865"/>
      <c r="B9" s="2872" t="s">
        <v>529</v>
      </c>
      <c r="C9" s="518">
        <f>'数据-取费表'!B2</f>
        <v>43647</v>
      </c>
      <c r="D9" s="519">
        <v>100</v>
      </c>
      <c r="E9" s="520"/>
      <c r="F9" s="521">
        <f>SUMIF(67:67,YEAR(E9)&amp;"-"&amp;INT((MONTH(E9)+2)/3),68:68)</f>
        <v>0</v>
      </c>
      <c r="G9" s="522"/>
      <c r="H9" s="519">
        <f>SUMIF(67:67,YEAR(G9)&amp;"-"&amp;INT((MONTH(G9)+2)/3),68:68)</f>
        <v>0</v>
      </c>
      <c r="I9" s="522"/>
      <c r="J9" s="519">
        <f>SUMIF(67:67,YEAR(I9)&amp;"-"&amp;INT((MONTH(I9)+2)/3),68:68)</f>
        <v>0</v>
      </c>
      <c r="K9" s="523"/>
      <c r="L9" s="2119"/>
      <c r="M9" s="2120"/>
      <c r="N9" s="2120"/>
      <c r="O9" s="2120"/>
      <c r="P9" s="4009" t="s">
        <v>530</v>
      </c>
      <c r="Q9" s="4018"/>
      <c r="R9" s="1553" t="s">
        <v>8</v>
      </c>
      <c r="S9" s="1554">
        <f t="shared" ref="S9:S17" si="0">F9</f>
        <v>0</v>
      </c>
      <c r="T9" s="1553" t="s">
        <v>8</v>
      </c>
      <c r="U9" s="1554">
        <f t="shared" ref="U9:U17" si="1">H9</f>
        <v>0</v>
      </c>
      <c r="V9" s="1553" t="s">
        <v>8</v>
      </c>
      <c r="W9" s="1554">
        <f t="shared" ref="W9:W17" si="2">J9</f>
        <v>0</v>
      </c>
      <c r="X9" s="1555"/>
      <c r="Y9" s="4009" t="s">
        <v>530</v>
      </c>
      <c r="Z9" s="4010"/>
      <c r="AA9" s="1556" t="e">
        <f>D9/F9</f>
        <v>#DIV/0!</v>
      </c>
      <c r="AB9" s="1556" t="e">
        <f>D9/H9</f>
        <v>#DIV/0!</v>
      </c>
      <c r="AC9" s="1556" t="e">
        <f>D9/J9</f>
        <v>#DIV/0!</v>
      </c>
    </row>
    <row r="10" spans="1:29" s="1215" customFormat="1" ht="15.75" thickBot="1">
      <c r="A10" s="2866"/>
      <c r="B10" s="2873"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9"/>
      <c r="M10" s="2120"/>
      <c r="N10" s="2120"/>
      <c r="O10" s="2120"/>
      <c r="P10" s="4009" t="s">
        <v>533</v>
      </c>
      <c r="Q10" s="4010"/>
      <c r="R10" s="1553" t="s">
        <v>8</v>
      </c>
      <c r="S10" s="1554">
        <f t="shared" si="0"/>
        <v>0</v>
      </c>
      <c r="T10" s="1553" t="s">
        <v>8</v>
      </c>
      <c r="U10" s="1554">
        <f t="shared" si="1"/>
        <v>0</v>
      </c>
      <c r="V10" s="1553" t="s">
        <v>8</v>
      </c>
      <c r="W10" s="1554">
        <f t="shared" si="2"/>
        <v>0</v>
      </c>
      <c r="X10" s="1555"/>
      <c r="Y10" s="4009" t="s">
        <v>533</v>
      </c>
      <c r="Z10" s="4010"/>
      <c r="AA10" s="1556" t="e">
        <f t="shared" ref="AA10:AA42" si="3">D10/F10</f>
        <v>#DIV/0!</v>
      </c>
      <c r="AB10" s="1556" t="e">
        <f t="shared" ref="AB10:AB42" si="4">D10/H10</f>
        <v>#DIV/0!</v>
      </c>
      <c r="AC10" s="1556" t="e">
        <f t="shared" ref="AC10:AC42" si="5">D10/J10</f>
        <v>#DIV/0!</v>
      </c>
    </row>
    <row r="11" spans="1:29" s="1215" customFormat="1" ht="15">
      <c r="A11" s="2867"/>
      <c r="B11" s="2874" t="s">
        <v>2755</v>
      </c>
      <c r="C11" s="525"/>
      <c r="D11" s="253">
        <v>100</v>
      </c>
      <c r="E11" s="525"/>
      <c r="F11" s="253">
        <f>SUMIF(72:72,E11,73:73)-SUMIF(72:72,C11,73:73)+100</f>
        <v>100</v>
      </c>
      <c r="G11" s="525"/>
      <c r="H11" s="253">
        <f>SUMIF(72:72,G11,73:73)-SUMIF(72:72,C11,73:73)+100</f>
        <v>100</v>
      </c>
      <c r="I11" s="525"/>
      <c r="J11" s="253">
        <f>SUMIF(72:72,I11,73:73)-SUMIF(72:72,C11,73:73)+100</f>
        <v>100</v>
      </c>
      <c r="K11" s="523"/>
      <c r="L11" s="2119"/>
      <c r="M11" s="2120"/>
      <c r="N11" s="2120"/>
      <c r="O11" s="2121"/>
      <c r="P11" s="4017" t="s">
        <v>535</v>
      </c>
      <c r="Q11" s="1146" t="str">
        <f t="shared" ref="Q11:Q17" si="6">B11</f>
        <v>用途</v>
      </c>
      <c r="R11" s="1553" t="s">
        <v>8</v>
      </c>
      <c r="S11" s="1554">
        <f t="shared" si="0"/>
        <v>100</v>
      </c>
      <c r="T11" s="1553" t="s">
        <v>8</v>
      </c>
      <c r="U11" s="1554">
        <f t="shared" si="1"/>
        <v>100</v>
      </c>
      <c r="V11" s="1553" t="s">
        <v>8</v>
      </c>
      <c r="W11" s="1554">
        <f t="shared" si="2"/>
        <v>100</v>
      </c>
      <c r="X11" s="1555"/>
      <c r="Y11" s="3974" t="s">
        <v>536</v>
      </c>
      <c r="Z11" s="1145" t="str">
        <f t="shared" ref="Z11:Z17" si="7">Q11</f>
        <v>用途</v>
      </c>
      <c r="AA11" s="1556">
        <f t="shared" si="3"/>
        <v>1</v>
      </c>
      <c r="AB11" s="1556">
        <f t="shared" si="4"/>
        <v>1</v>
      </c>
      <c r="AC11" s="1556">
        <f t="shared" si="5"/>
        <v>1</v>
      </c>
    </row>
    <row r="12" spans="1:29" s="1333" customFormat="1" ht="27">
      <c r="A12" s="2868"/>
      <c r="B12" s="2873" t="s">
        <v>2756</v>
      </c>
      <c r="C12" s="527"/>
      <c r="D12" s="254">
        <v>100</v>
      </c>
      <c r="E12" s="527"/>
      <c r="F12" s="254">
        <f>ROUND(100/'数据-取费表'!G16,0)</f>
        <v>104</v>
      </c>
      <c r="G12" s="527"/>
      <c r="H12" s="254">
        <f>ROUND(100/'数据-取费表'!G16,0)</f>
        <v>104</v>
      </c>
      <c r="I12" s="527"/>
      <c r="J12" s="254">
        <f>ROUND(100/'数据-取费表'!G16,0)</f>
        <v>104</v>
      </c>
      <c r="K12" s="530"/>
      <c r="L12" s="2122"/>
      <c r="M12" s="2162"/>
      <c r="N12" s="2162"/>
      <c r="O12" s="2123"/>
      <c r="P12" s="4017"/>
      <c r="Q12" s="1146" t="str">
        <f t="shared" si="6"/>
        <v>土地使用年限（年）</v>
      </c>
      <c r="R12" s="1553" t="s">
        <v>8</v>
      </c>
      <c r="S12" s="1554">
        <f t="shared" si="0"/>
        <v>104</v>
      </c>
      <c r="T12" s="1553" t="s">
        <v>8</v>
      </c>
      <c r="U12" s="1554">
        <f t="shared" si="1"/>
        <v>104</v>
      </c>
      <c r="V12" s="1553" t="s">
        <v>8</v>
      </c>
      <c r="W12" s="1554">
        <f t="shared" si="2"/>
        <v>104</v>
      </c>
      <c r="X12" s="1555"/>
      <c r="Y12" s="3974"/>
      <c r="Z12" s="1145" t="str">
        <f t="shared" si="7"/>
        <v>土地使用年限（年）</v>
      </c>
      <c r="AA12" s="1556">
        <f t="shared" si="3"/>
        <v>0.96153846153846156</v>
      </c>
      <c r="AB12" s="1556">
        <f t="shared" si="4"/>
        <v>0.96153846153846156</v>
      </c>
      <c r="AC12" s="1556">
        <f t="shared" si="5"/>
        <v>0.96153846153846156</v>
      </c>
    </row>
    <row r="13" spans="1:29" ht="15">
      <c r="A13" s="2869"/>
      <c r="B13" s="2873"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4"/>
      <c r="M13" s="2118"/>
      <c r="N13" s="2118"/>
      <c r="O13" s="2125"/>
      <c r="P13" s="4017"/>
      <c r="Q13" s="1146" t="str">
        <f t="shared" si="6"/>
        <v>容积率</v>
      </c>
      <c r="R13" s="1553" t="s">
        <v>8</v>
      </c>
      <c r="S13" s="1554" t="e">
        <f t="shared" si="0"/>
        <v>#N/A</v>
      </c>
      <c r="T13" s="1553" t="s">
        <v>8</v>
      </c>
      <c r="U13" s="1554" t="e">
        <f t="shared" si="1"/>
        <v>#N/A</v>
      </c>
      <c r="V13" s="1553" t="s">
        <v>8</v>
      </c>
      <c r="W13" s="1554" t="e">
        <f t="shared" si="2"/>
        <v>#N/A</v>
      </c>
      <c r="X13" s="1555"/>
      <c r="Y13" s="3974"/>
      <c r="Z13" s="1145" t="str">
        <f t="shared" si="7"/>
        <v>容积率</v>
      </c>
      <c r="AA13" s="1556" t="e">
        <f t="shared" si="3"/>
        <v>#N/A</v>
      </c>
      <c r="AB13" s="1556" t="e">
        <f t="shared" si="4"/>
        <v>#N/A</v>
      </c>
      <c r="AC13" s="1556" t="e">
        <f t="shared" si="5"/>
        <v>#N/A</v>
      </c>
    </row>
    <row r="14" spans="1:29" s="1215" customFormat="1" ht="15">
      <c r="A14" s="2870"/>
      <c r="B14" s="2876">
        <v>111</v>
      </c>
      <c r="C14" s="527"/>
      <c r="D14" s="537">
        <v>100</v>
      </c>
      <c r="E14" s="540"/>
      <c r="F14" s="254">
        <f>SUMIF(79:79,E14,80:80)-SUMIF(79:79,C14,80:80)+100</f>
        <v>100</v>
      </c>
      <c r="G14" s="541"/>
      <c r="H14" s="254">
        <f>SUMIF(79:79,G14,80:80)-SUMIF(79:79,C14,80:80)+100</f>
        <v>100</v>
      </c>
      <c r="I14" s="540"/>
      <c r="J14" s="254">
        <f>SUMIF(79:79,I14,80:80)-SUMIF(79:79,C14,80:80)+100</f>
        <v>100</v>
      </c>
      <c r="K14" s="530"/>
      <c r="L14" s="2119"/>
      <c r="M14" s="2120"/>
      <c r="N14" s="2120"/>
      <c r="O14" s="2121"/>
      <c r="P14" s="4017"/>
      <c r="Q14" s="1146">
        <f t="shared" si="6"/>
        <v>111</v>
      </c>
      <c r="R14" s="1553" t="s">
        <v>8</v>
      </c>
      <c r="S14" s="1554">
        <f t="shared" si="0"/>
        <v>100</v>
      </c>
      <c r="T14" s="1553" t="s">
        <v>8</v>
      </c>
      <c r="U14" s="1554">
        <f t="shared" si="1"/>
        <v>100</v>
      </c>
      <c r="V14" s="1553" t="s">
        <v>8</v>
      </c>
      <c r="W14" s="1554">
        <f t="shared" si="2"/>
        <v>100</v>
      </c>
      <c r="X14" s="1555"/>
      <c r="Y14" s="3974"/>
      <c r="Z14" s="1145">
        <f t="shared" si="7"/>
        <v>111</v>
      </c>
      <c r="AA14" s="1556">
        <f>D14/F14</f>
        <v>1</v>
      </c>
      <c r="AB14" s="1556">
        <f>D14/H14</f>
        <v>1</v>
      </c>
      <c r="AC14" s="1556">
        <f>D14/J14</f>
        <v>1</v>
      </c>
    </row>
    <row r="15" spans="1:29" ht="15">
      <c r="A15" s="2870"/>
      <c r="B15" s="2876">
        <v>111</v>
      </c>
      <c r="C15" s="538"/>
      <c r="D15" s="539">
        <v>100</v>
      </c>
      <c r="E15" s="540"/>
      <c r="F15" s="254">
        <f>SUMIF(81:81,E15,82:82)-SUMIF(81:81,C15,82:82)+100</f>
        <v>100</v>
      </c>
      <c r="G15" s="541"/>
      <c r="H15" s="539">
        <f>SUMIF(81:81,G15,82:82)-SUMIF(81:81,C15,82:82)+100</f>
        <v>100</v>
      </c>
      <c r="I15" s="540"/>
      <c r="J15" s="539">
        <f>SUMIF(81:81,I15,82:82)-SUMIF(81:81,C15,82:82)+100</f>
        <v>100</v>
      </c>
      <c r="K15" s="530"/>
      <c r="L15" s="2126"/>
      <c r="M15" s="2118"/>
      <c r="N15" s="2118"/>
      <c r="O15" s="2125"/>
      <c r="P15" s="4017"/>
      <c r="Q15" s="1146">
        <f t="shared" si="6"/>
        <v>111</v>
      </c>
      <c r="R15" s="1553" t="s">
        <v>8</v>
      </c>
      <c r="S15" s="1554">
        <f t="shared" si="0"/>
        <v>100</v>
      </c>
      <c r="T15" s="1553" t="s">
        <v>8</v>
      </c>
      <c r="U15" s="1554">
        <f t="shared" si="1"/>
        <v>100</v>
      </c>
      <c r="V15" s="1553" t="s">
        <v>8</v>
      </c>
      <c r="W15" s="1554">
        <f t="shared" si="2"/>
        <v>100</v>
      </c>
      <c r="X15" s="1555"/>
      <c r="Y15" s="3974"/>
      <c r="Z15" s="1145">
        <f t="shared" si="7"/>
        <v>111</v>
      </c>
      <c r="AA15" s="1556">
        <f t="shared" si="3"/>
        <v>1</v>
      </c>
      <c r="AB15" s="1556">
        <f t="shared" si="4"/>
        <v>1</v>
      </c>
      <c r="AC15" s="1556">
        <f t="shared" si="5"/>
        <v>1</v>
      </c>
    </row>
    <row r="16" spans="1:29" ht="15.75" thickBot="1">
      <c r="A16" s="2871"/>
      <c r="B16" s="2877">
        <v>111</v>
      </c>
      <c r="C16" s="544"/>
      <c r="D16" s="545">
        <v>100</v>
      </c>
      <c r="E16" s="540"/>
      <c r="F16" s="545">
        <f>SUMIF(83:83,E16,84:84)-SUMIF(83:83,C16,84:84)+100</f>
        <v>100</v>
      </c>
      <c r="G16" s="541"/>
      <c r="H16" s="545">
        <f>SUMIF(83:83,G16,84:84)-SUMIF(83:83,C16,84:84)+100</f>
        <v>100</v>
      </c>
      <c r="I16" s="540"/>
      <c r="J16" s="545">
        <f>SUMIF(83:83,I16,84:84)-SUMIF(83:83,C16,84:84)+100</f>
        <v>100</v>
      </c>
      <c r="K16" s="530"/>
      <c r="L16" s="2126"/>
      <c r="M16" s="2118"/>
      <c r="N16" s="2118"/>
      <c r="O16" s="2125"/>
      <c r="P16" s="4017"/>
      <c r="Q16" s="1146">
        <f t="shared" si="6"/>
        <v>111</v>
      </c>
      <c r="R16" s="1553" t="s">
        <v>8</v>
      </c>
      <c r="S16" s="1554">
        <f t="shared" si="0"/>
        <v>100</v>
      </c>
      <c r="T16" s="1553" t="s">
        <v>8</v>
      </c>
      <c r="U16" s="1554">
        <f t="shared" si="1"/>
        <v>100</v>
      </c>
      <c r="V16" s="1553" t="s">
        <v>8</v>
      </c>
      <c r="W16" s="1554">
        <f t="shared" si="2"/>
        <v>100</v>
      </c>
      <c r="X16" s="1555"/>
      <c r="Y16" s="3974"/>
      <c r="Z16" s="1145">
        <f t="shared" si="7"/>
        <v>111</v>
      </c>
      <c r="AA16" s="1556">
        <f t="shared" si="3"/>
        <v>1</v>
      </c>
      <c r="AB16" s="1556">
        <f t="shared" si="4"/>
        <v>1</v>
      </c>
      <c r="AC16" s="1556">
        <f t="shared" si="5"/>
        <v>1</v>
      </c>
    </row>
    <row r="17" spans="1:29" ht="57">
      <c r="A17" s="2863" t="s">
        <v>2753</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6"/>
      <c r="M17" s="2118"/>
      <c r="N17" s="2118"/>
      <c r="O17" s="2125"/>
      <c r="P17" s="4019" t="s">
        <v>540</v>
      </c>
      <c r="Q17" s="1557" t="str">
        <f t="shared" si="6"/>
        <v>产业集聚程度</v>
      </c>
      <c r="R17" s="1558" t="s">
        <v>8</v>
      </c>
      <c r="S17" s="1559">
        <f t="shared" si="0"/>
        <v>100</v>
      </c>
      <c r="T17" s="1558" t="s">
        <v>8</v>
      </c>
      <c r="U17" s="1559">
        <f t="shared" si="1"/>
        <v>100</v>
      </c>
      <c r="V17" s="1558" t="s">
        <v>8</v>
      </c>
      <c r="W17" s="1559">
        <f t="shared" si="2"/>
        <v>100</v>
      </c>
      <c r="X17" s="1552"/>
      <c r="Y17" s="4019" t="s">
        <v>540</v>
      </c>
      <c r="Z17" s="1560" t="str">
        <f t="shared" si="7"/>
        <v>产业集聚程度</v>
      </c>
      <c r="AA17" s="1561">
        <f t="shared" si="3"/>
        <v>1</v>
      </c>
      <c r="AB17" s="1561">
        <f t="shared" si="4"/>
        <v>1</v>
      </c>
      <c r="AC17" s="1561">
        <f t="shared" si="5"/>
        <v>1</v>
      </c>
    </row>
    <row r="18" spans="1:29" ht="15">
      <c r="A18" s="531"/>
      <c r="B18" s="868"/>
      <c r="C18" s="575"/>
      <c r="D18" s="554"/>
      <c r="E18" s="553"/>
      <c r="F18" s="554"/>
      <c r="G18" s="553"/>
      <c r="H18" s="558"/>
      <c r="I18" s="553"/>
      <c r="J18" s="554"/>
      <c r="K18" s="530"/>
      <c r="L18" s="2126"/>
      <c r="M18" s="2118"/>
      <c r="N18" s="2118"/>
      <c r="O18" s="2125"/>
      <c r="P18" s="4020"/>
      <c r="Q18" s="1557"/>
      <c r="R18" s="1558"/>
      <c r="S18" s="1559"/>
      <c r="T18" s="1558"/>
      <c r="U18" s="1559"/>
      <c r="V18" s="1558"/>
      <c r="W18" s="1559"/>
      <c r="X18" s="1552"/>
      <c r="Y18" s="4020"/>
      <c r="Z18" s="1560"/>
      <c r="AA18" s="1561">
        <v>1</v>
      </c>
      <c r="AB18" s="1561">
        <v>1</v>
      </c>
      <c r="AC18" s="1561">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6"/>
      <c r="M19" s="2118"/>
      <c r="N19" s="2118"/>
      <c r="O19" s="2125"/>
      <c r="P19" s="4020"/>
      <c r="Q19" s="1557" t="str">
        <f>B19</f>
        <v>交通便捷度</v>
      </c>
      <c r="R19" s="1558" t="s">
        <v>8</v>
      </c>
      <c r="S19" s="1559">
        <f>F19</f>
        <v>100</v>
      </c>
      <c r="T19" s="1558" t="s">
        <v>8</v>
      </c>
      <c r="U19" s="1559">
        <f>H19</f>
        <v>100</v>
      </c>
      <c r="V19" s="1558" t="s">
        <v>8</v>
      </c>
      <c r="W19" s="1559">
        <f>J19</f>
        <v>100</v>
      </c>
      <c r="X19" s="1552"/>
      <c r="Y19" s="4020"/>
      <c r="Z19" s="1560" t="str">
        <f>Q19</f>
        <v>交通便捷度</v>
      </c>
      <c r="AA19" s="1561">
        <f t="shared" si="3"/>
        <v>1</v>
      </c>
      <c r="AB19" s="1561">
        <f t="shared" si="4"/>
        <v>1</v>
      </c>
      <c r="AC19" s="1561">
        <f t="shared" si="5"/>
        <v>1</v>
      </c>
    </row>
    <row r="20" spans="1:29" ht="15">
      <c r="A20" s="531"/>
      <c r="B20" s="921"/>
      <c r="C20" s="575"/>
      <c r="D20" s="554"/>
      <c r="E20" s="555"/>
      <c r="F20" s="554"/>
      <c r="G20" s="555"/>
      <c r="H20" s="554"/>
      <c r="I20" s="557"/>
      <c r="J20" s="554"/>
      <c r="K20" s="530"/>
      <c r="L20" s="2126"/>
      <c r="M20" s="2118"/>
      <c r="N20" s="2118"/>
      <c r="O20" s="2125"/>
      <c r="P20" s="4020"/>
      <c r="Q20" s="1557"/>
      <c r="R20" s="1558"/>
      <c r="S20" s="1559"/>
      <c r="T20" s="1558"/>
      <c r="U20" s="1559"/>
      <c r="V20" s="1558"/>
      <c r="W20" s="1559"/>
      <c r="X20" s="1552"/>
      <c r="Y20" s="4020"/>
      <c r="Z20" s="1560"/>
      <c r="AA20" s="1561">
        <v>1</v>
      </c>
      <c r="AB20" s="1561">
        <v>1</v>
      </c>
      <c r="AC20" s="1561">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6"/>
      <c r="M21" s="2118"/>
      <c r="N21" s="2118"/>
      <c r="O21" s="2125"/>
      <c r="P21" s="4020"/>
      <c r="Q21" s="1557" t="str">
        <f t="shared" ref="Q21:Q35" si="8">B21</f>
        <v>区域土地利用方向</v>
      </c>
      <c r="R21" s="1558" t="s">
        <v>8</v>
      </c>
      <c r="S21" s="1559">
        <f>F21</f>
        <v>100</v>
      </c>
      <c r="T21" s="1558" t="s">
        <v>8</v>
      </c>
      <c r="U21" s="1559">
        <f>H21</f>
        <v>100</v>
      </c>
      <c r="V21" s="1558" t="s">
        <v>8</v>
      </c>
      <c r="W21" s="1559">
        <f>J21</f>
        <v>100</v>
      </c>
      <c r="X21" s="1552"/>
      <c r="Y21" s="4020"/>
      <c r="Z21" s="1560" t="str">
        <f>Q21</f>
        <v>区域土地利用方向</v>
      </c>
      <c r="AA21" s="1561">
        <f t="shared" si="3"/>
        <v>1</v>
      </c>
      <c r="AB21" s="1561">
        <f t="shared" si="4"/>
        <v>1</v>
      </c>
      <c r="AC21" s="1561">
        <f t="shared" si="5"/>
        <v>1</v>
      </c>
    </row>
    <row r="22" spans="1:29" ht="15">
      <c r="A22" s="514"/>
      <c r="B22" s="594"/>
      <c r="C22" s="575"/>
      <c r="D22" s="554"/>
      <c r="E22" s="555"/>
      <c r="F22" s="556"/>
      <c r="G22" s="557"/>
      <c r="H22" s="556"/>
      <c r="I22" s="557"/>
      <c r="J22" s="556"/>
      <c r="K22" s="1343"/>
      <c r="L22" s="2126"/>
      <c r="M22" s="2118"/>
      <c r="N22" s="2118"/>
      <c r="O22" s="2125"/>
      <c r="P22" s="4020"/>
      <c r="Q22" s="1557"/>
      <c r="R22" s="1558"/>
      <c r="S22" s="1559"/>
      <c r="T22" s="1558"/>
      <c r="U22" s="1559"/>
      <c r="V22" s="1558"/>
      <c r="W22" s="1559"/>
      <c r="X22" s="1552"/>
      <c r="Y22" s="4020"/>
      <c r="Z22" s="1560"/>
      <c r="AA22" s="1561"/>
      <c r="AB22" s="1561"/>
      <c r="AC22" s="1561"/>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6"/>
      <c r="M23" s="2118"/>
      <c r="N23" s="2118"/>
      <c r="O23" s="2125"/>
      <c r="P23" s="4020"/>
      <c r="Q23" s="1557" t="str">
        <f t="shared" si="8"/>
        <v>环境状况</v>
      </c>
      <c r="R23" s="1558" t="s">
        <v>8</v>
      </c>
      <c r="S23" s="1559">
        <f>F23</f>
        <v>100</v>
      </c>
      <c r="T23" s="1558" t="s">
        <v>8</v>
      </c>
      <c r="U23" s="1559">
        <f>H23</f>
        <v>100</v>
      </c>
      <c r="V23" s="1558" t="s">
        <v>8</v>
      </c>
      <c r="W23" s="1559">
        <f>J23</f>
        <v>100</v>
      </c>
      <c r="X23" s="1552"/>
      <c r="Y23" s="4020"/>
      <c r="Z23" s="1560" t="str">
        <f>Q23</f>
        <v>环境状况</v>
      </c>
      <c r="AA23" s="1561">
        <f t="shared" si="3"/>
        <v>1</v>
      </c>
      <c r="AB23" s="1561">
        <f t="shared" si="4"/>
        <v>1</v>
      </c>
      <c r="AC23" s="1561">
        <f t="shared" si="5"/>
        <v>1</v>
      </c>
    </row>
    <row r="24" spans="1:29" ht="15">
      <c r="A24" s="514"/>
      <c r="B24" s="594"/>
      <c r="C24" s="575"/>
      <c r="D24" s="554"/>
      <c r="E24" s="553"/>
      <c r="F24" s="554"/>
      <c r="G24" s="553"/>
      <c r="H24" s="554"/>
      <c r="I24" s="575"/>
      <c r="J24" s="554"/>
      <c r="K24" s="530"/>
      <c r="L24" s="2126"/>
      <c r="M24" s="2118"/>
      <c r="N24" s="2118"/>
      <c r="O24" s="2125"/>
      <c r="P24" s="4020"/>
      <c r="Q24" s="1557"/>
      <c r="R24" s="1558"/>
      <c r="S24" s="1559"/>
      <c r="T24" s="1558"/>
      <c r="U24" s="1559"/>
      <c r="V24" s="1558"/>
      <c r="W24" s="1559"/>
      <c r="X24" s="1552"/>
      <c r="Y24" s="4020"/>
      <c r="Z24" s="1560"/>
      <c r="AA24" s="1561">
        <v>1</v>
      </c>
      <c r="AB24" s="1561">
        <v>1</v>
      </c>
      <c r="AC24" s="1561">
        <v>1</v>
      </c>
    </row>
    <row r="25" spans="1:29" s="1215" customFormat="1" ht="42.75">
      <c r="A25" s="576"/>
      <c r="B25" s="2556"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9"/>
      <c r="M25" s="2120"/>
      <c r="N25" s="2120"/>
      <c r="O25" s="2121"/>
      <c r="P25" s="4020"/>
      <c r="Q25" s="1146" t="str">
        <f t="shared" si="8"/>
        <v>公共配套设施</v>
      </c>
      <c r="R25" s="1553" t="s">
        <v>8</v>
      </c>
      <c r="S25" s="1554">
        <f>F25</f>
        <v>100</v>
      </c>
      <c r="T25" s="1553" t="s">
        <v>8</v>
      </c>
      <c r="U25" s="1554">
        <f>H25</f>
        <v>100</v>
      </c>
      <c r="V25" s="1553" t="s">
        <v>8</v>
      </c>
      <c r="W25" s="1554">
        <f>J25</f>
        <v>100</v>
      </c>
      <c r="X25" s="1555"/>
      <c r="Y25" s="4020"/>
      <c r="Z25" s="1145" t="str">
        <f>Q25</f>
        <v>公共配套设施</v>
      </c>
      <c r="AA25" s="1561">
        <f>D25/F25</f>
        <v>1</v>
      </c>
      <c r="AB25" s="1561">
        <f>D25/H25</f>
        <v>1</v>
      </c>
      <c r="AC25" s="1561">
        <f>D25/J25</f>
        <v>1</v>
      </c>
    </row>
    <row r="26" spans="1:29" s="1215" customFormat="1" ht="15">
      <c r="A26" s="576"/>
      <c r="B26" s="594"/>
      <c r="C26" s="2555"/>
      <c r="D26" s="554"/>
      <c r="E26" s="553"/>
      <c r="F26" s="554"/>
      <c r="G26" s="553"/>
      <c r="H26" s="554"/>
      <c r="I26" s="575"/>
      <c r="J26" s="554"/>
      <c r="K26" s="530"/>
      <c r="L26" s="2119"/>
      <c r="M26" s="2120"/>
      <c r="N26" s="2120"/>
      <c r="O26" s="2121"/>
      <c r="P26" s="4020"/>
      <c r="Q26" s="1146"/>
      <c r="R26" s="1553"/>
      <c r="S26" s="1554"/>
      <c r="T26" s="1553"/>
      <c r="U26" s="1554"/>
      <c r="V26" s="1553"/>
      <c r="W26" s="1554"/>
      <c r="X26" s="1555"/>
      <c r="Y26" s="4020"/>
      <c r="Z26" s="1145"/>
      <c r="AA26" s="1556">
        <v>1</v>
      </c>
      <c r="AB26" s="1556">
        <v>1</v>
      </c>
      <c r="AC26" s="1556">
        <v>1</v>
      </c>
    </row>
    <row r="27" spans="1:29" s="1215" customFormat="1" ht="28.5">
      <c r="A27" s="576"/>
      <c r="B27" s="2556"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9"/>
      <c r="M27" s="2120"/>
      <c r="N27" s="2120"/>
      <c r="O27" s="2121"/>
      <c r="P27" s="4020"/>
      <c r="Q27" s="2541" t="str">
        <f t="shared" ref="Q27" si="9">B27</f>
        <v>基础设施水平</v>
      </c>
      <c r="R27" s="1553" t="s">
        <v>8</v>
      </c>
      <c r="S27" s="1554">
        <f>F27</f>
        <v>100</v>
      </c>
      <c r="T27" s="1553" t="s">
        <v>8</v>
      </c>
      <c r="U27" s="1554">
        <f>H27</f>
        <v>100</v>
      </c>
      <c r="V27" s="1553" t="s">
        <v>8</v>
      </c>
      <c r="W27" s="1554">
        <f>J27</f>
        <v>100</v>
      </c>
      <c r="X27" s="1555"/>
      <c r="Y27" s="4020"/>
      <c r="Z27" s="2538" t="str">
        <f>Q27</f>
        <v>基础设施水平</v>
      </c>
      <c r="AA27" s="1561">
        <f>D27/F27</f>
        <v>1</v>
      </c>
      <c r="AB27" s="1561">
        <f>D27/H27</f>
        <v>1</v>
      </c>
      <c r="AC27" s="1561">
        <f>D27/J27</f>
        <v>1</v>
      </c>
    </row>
    <row r="28" spans="1:29" s="1215" customFormat="1" ht="15">
      <c r="A28" s="576"/>
      <c r="B28" s="594"/>
      <c r="C28" s="2555"/>
      <c r="D28" s="554"/>
      <c r="E28" s="578"/>
      <c r="F28" s="554"/>
      <c r="G28" s="578"/>
      <c r="H28" s="554"/>
      <c r="I28" s="578"/>
      <c r="J28" s="554"/>
      <c r="K28" s="530"/>
      <c r="L28" s="2119"/>
      <c r="M28" s="2120"/>
      <c r="N28" s="2120"/>
      <c r="O28" s="2121"/>
      <c r="P28" s="4020"/>
      <c r="Q28" s="2541"/>
      <c r="R28" s="1553"/>
      <c r="S28" s="1554"/>
      <c r="T28" s="1553"/>
      <c r="U28" s="1554"/>
      <c r="V28" s="1553"/>
      <c r="W28" s="1554"/>
      <c r="X28" s="1555"/>
      <c r="Y28" s="4020"/>
      <c r="Z28" s="2538"/>
      <c r="AA28" s="1556">
        <v>1</v>
      </c>
      <c r="AB28" s="1556">
        <v>1</v>
      </c>
      <c r="AC28" s="1556">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6"/>
      <c r="M29" s="2118"/>
      <c r="N29" s="2118"/>
      <c r="O29" s="2125"/>
      <c r="P29" s="4020"/>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4020"/>
      <c r="Z29" s="1560" t="str">
        <f t="shared" ref="Z29:Z42" si="13">Q29</f>
        <v>临街状况</v>
      </c>
      <c r="AA29" s="1561">
        <f t="shared" si="3"/>
        <v>1</v>
      </c>
      <c r="AB29" s="1561">
        <f t="shared" si="4"/>
        <v>1</v>
      </c>
      <c r="AC29" s="1561">
        <f t="shared" si="5"/>
        <v>1</v>
      </c>
    </row>
    <row r="30" spans="1:29" ht="27">
      <c r="A30" s="531"/>
      <c r="B30" s="921" t="s">
        <v>548</v>
      </c>
      <c r="C30" s="2558">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6"/>
      <c r="M30" s="2118"/>
      <c r="N30" s="2118"/>
      <c r="O30" s="2125"/>
      <c r="P30" s="4020"/>
      <c r="Q30" s="1557" t="str">
        <f t="shared" si="8"/>
        <v>毗邻道路的类型与等级</v>
      </c>
      <c r="R30" s="1558" t="s">
        <v>8</v>
      </c>
      <c r="S30" s="1559">
        <f t="shared" si="10"/>
        <v>100</v>
      </c>
      <c r="T30" s="1558" t="s">
        <v>8</v>
      </c>
      <c r="U30" s="1559">
        <f t="shared" si="11"/>
        <v>100</v>
      </c>
      <c r="V30" s="1558" t="s">
        <v>8</v>
      </c>
      <c r="W30" s="1559">
        <f t="shared" si="12"/>
        <v>100</v>
      </c>
      <c r="X30" s="1552"/>
      <c r="Y30" s="4020"/>
      <c r="Z30" s="1560" t="str">
        <f t="shared" si="13"/>
        <v>毗邻道路的类型与等级</v>
      </c>
      <c r="AA30" s="1561">
        <f t="shared" si="3"/>
        <v>1</v>
      </c>
      <c r="AB30" s="1561">
        <f t="shared" si="4"/>
        <v>1</v>
      </c>
      <c r="AC30" s="1561">
        <f t="shared" si="5"/>
        <v>1</v>
      </c>
    </row>
    <row r="31" spans="1:29" ht="15">
      <c r="A31" s="531"/>
      <c r="B31" s="594"/>
      <c r="C31" s="575"/>
      <c r="D31" s="554"/>
      <c r="E31" s="575"/>
      <c r="F31" s="554"/>
      <c r="G31" s="575"/>
      <c r="H31" s="554"/>
      <c r="I31" s="575"/>
      <c r="J31" s="554"/>
      <c r="K31" s="580"/>
      <c r="L31" s="2126"/>
      <c r="M31" s="2118"/>
      <c r="N31" s="2118"/>
      <c r="O31" s="2125"/>
      <c r="P31" s="4020"/>
      <c r="Q31" s="1557"/>
      <c r="R31" s="1558"/>
      <c r="S31" s="1559"/>
      <c r="T31" s="1558"/>
      <c r="U31" s="1559"/>
      <c r="V31" s="1558"/>
      <c r="W31" s="1559"/>
      <c r="X31" s="1552"/>
      <c r="Y31" s="4020"/>
      <c r="Z31" s="1560"/>
      <c r="AA31" s="1561">
        <v>1</v>
      </c>
      <c r="AB31" s="1561">
        <v>1</v>
      </c>
      <c r="AC31" s="1561">
        <v>1</v>
      </c>
    </row>
    <row r="32" spans="1:29" ht="15">
      <c r="A32" s="531"/>
      <c r="B32" s="526" t="s">
        <v>549</v>
      </c>
      <c r="C32" s="2559">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6"/>
      <c r="M32" s="2118"/>
      <c r="N32" s="2118"/>
      <c r="O32" s="2125"/>
      <c r="P32" s="4020"/>
      <c r="Q32" s="1557" t="str">
        <f t="shared" si="8"/>
        <v>土地级别</v>
      </c>
      <c r="R32" s="1558" t="s">
        <v>8</v>
      </c>
      <c r="S32" s="1559">
        <f t="shared" si="10"/>
        <v>100</v>
      </c>
      <c r="T32" s="1558" t="s">
        <v>8</v>
      </c>
      <c r="U32" s="1559">
        <f t="shared" si="11"/>
        <v>100</v>
      </c>
      <c r="V32" s="1558" t="s">
        <v>8</v>
      </c>
      <c r="W32" s="1559">
        <f t="shared" si="12"/>
        <v>100</v>
      </c>
      <c r="X32" s="1552"/>
      <c r="Y32" s="4020"/>
      <c r="Z32" s="1560" t="str">
        <f t="shared" si="13"/>
        <v>土地级别</v>
      </c>
      <c r="AA32" s="1561">
        <f t="shared" si="3"/>
        <v>1</v>
      </c>
      <c r="AB32" s="1561">
        <f t="shared" si="4"/>
        <v>1</v>
      </c>
      <c r="AC32" s="1561">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6"/>
      <c r="M33" s="2118"/>
      <c r="N33" s="2118"/>
      <c r="O33" s="2125"/>
      <c r="P33" s="4020"/>
      <c r="Q33" s="1557">
        <f t="shared" si="8"/>
        <v>111</v>
      </c>
      <c r="R33" s="1558" t="s">
        <v>8</v>
      </c>
      <c r="S33" s="1559">
        <f t="shared" si="10"/>
        <v>100</v>
      </c>
      <c r="T33" s="1558" t="s">
        <v>8</v>
      </c>
      <c r="U33" s="1559">
        <f t="shared" si="11"/>
        <v>100</v>
      </c>
      <c r="V33" s="1558" t="s">
        <v>8</v>
      </c>
      <c r="W33" s="1559">
        <f t="shared" si="12"/>
        <v>100</v>
      </c>
      <c r="X33" s="1552"/>
      <c r="Y33" s="4020"/>
      <c r="Z33" s="1560">
        <f t="shared" si="13"/>
        <v>111</v>
      </c>
      <c r="AA33" s="1561">
        <f t="shared" si="3"/>
        <v>1</v>
      </c>
      <c r="AB33" s="1561">
        <f t="shared" si="4"/>
        <v>1</v>
      </c>
      <c r="AC33" s="1561">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6"/>
      <c r="M34" s="2118"/>
      <c r="N34" s="2118"/>
      <c r="O34" s="2125"/>
      <c r="P34" s="4021" t="s">
        <v>550</v>
      </c>
      <c r="Q34" s="1557">
        <f t="shared" si="8"/>
        <v>111</v>
      </c>
      <c r="R34" s="1558" t="s">
        <v>8</v>
      </c>
      <c r="S34" s="1559">
        <f t="shared" si="10"/>
        <v>100</v>
      </c>
      <c r="T34" s="1558" t="s">
        <v>8</v>
      </c>
      <c r="U34" s="1559">
        <f t="shared" si="11"/>
        <v>100</v>
      </c>
      <c r="V34" s="1558" t="s">
        <v>8</v>
      </c>
      <c r="W34" s="1559">
        <f t="shared" si="12"/>
        <v>100</v>
      </c>
      <c r="X34" s="1552"/>
      <c r="Y34" s="4022" t="s">
        <v>550</v>
      </c>
      <c r="Z34" s="1560">
        <f t="shared" si="13"/>
        <v>111</v>
      </c>
      <c r="AA34" s="1561">
        <f t="shared" si="3"/>
        <v>1</v>
      </c>
      <c r="AB34" s="1561">
        <f t="shared" si="4"/>
        <v>1</v>
      </c>
      <c r="AC34" s="1561">
        <f t="shared" si="5"/>
        <v>1</v>
      </c>
    </row>
    <row r="35" spans="1:29" s="1334" customFormat="1" ht="15.75" thickBot="1">
      <c r="A35" s="588"/>
      <c r="B35" s="2557">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4"/>
      <c r="M35" s="2155"/>
      <c r="N35" s="2155"/>
      <c r="O35" s="2127"/>
      <c r="P35" s="4022"/>
      <c r="Q35" s="1557">
        <f t="shared" si="8"/>
        <v>111</v>
      </c>
      <c r="R35" s="1562" t="s">
        <v>8</v>
      </c>
      <c r="S35" s="1563">
        <f t="shared" si="10"/>
        <v>100</v>
      </c>
      <c r="T35" s="1562" t="s">
        <v>8</v>
      </c>
      <c r="U35" s="1563">
        <f t="shared" si="11"/>
        <v>100</v>
      </c>
      <c r="V35" s="1562" t="s">
        <v>8</v>
      </c>
      <c r="W35" s="1563">
        <f t="shared" si="12"/>
        <v>100</v>
      </c>
      <c r="X35" s="1564"/>
      <c r="Y35" s="4022"/>
      <c r="Z35" s="1565">
        <f t="shared" si="13"/>
        <v>111</v>
      </c>
      <c r="AA35" s="1561">
        <f t="shared" si="3"/>
        <v>1</v>
      </c>
      <c r="AB35" s="1561">
        <f t="shared" si="4"/>
        <v>1</v>
      </c>
      <c r="AC35" s="1561">
        <f t="shared" si="5"/>
        <v>1</v>
      </c>
    </row>
    <row r="36" spans="1:29" ht="15">
      <c r="A36" s="2861" t="s">
        <v>2754</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6"/>
      <c r="M36" s="2118"/>
      <c r="N36" s="2118"/>
      <c r="O36" s="2125"/>
      <c r="P36" s="4022"/>
      <c r="Q36" s="1557" t="str">
        <f>B36</f>
        <v>宗地面积</v>
      </c>
      <c r="R36" s="1558" t="s">
        <v>8</v>
      </c>
      <c r="S36" s="1559" t="e">
        <f t="shared" si="10"/>
        <v>#N/A</v>
      </c>
      <c r="T36" s="1558" t="s">
        <v>8</v>
      </c>
      <c r="U36" s="1559" t="e">
        <f t="shared" si="11"/>
        <v>#N/A</v>
      </c>
      <c r="V36" s="1558" t="s">
        <v>8</v>
      </c>
      <c r="W36" s="1559" t="e">
        <f t="shared" si="12"/>
        <v>#N/A</v>
      </c>
      <c r="X36" s="1552"/>
      <c r="Y36" s="4022"/>
      <c r="Z36" s="1560" t="str">
        <f t="shared" si="13"/>
        <v>宗地面积</v>
      </c>
      <c r="AA36" s="1561" t="e">
        <f t="shared" si="3"/>
        <v>#N/A</v>
      </c>
      <c r="AB36" s="1561" t="e">
        <f t="shared" si="4"/>
        <v>#N/A</v>
      </c>
      <c r="AC36" s="1561"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6"/>
      <c r="M37" s="2118"/>
      <c r="N37" s="2118"/>
      <c r="O37" s="2125"/>
      <c r="P37" s="4022"/>
      <c r="Q37" s="1557" t="str">
        <f t="shared" ref="Q37:Q42" si="14">B37</f>
        <v>宗地形状</v>
      </c>
      <c r="R37" s="1558" t="s">
        <v>8</v>
      </c>
      <c r="S37" s="1559">
        <f t="shared" si="10"/>
        <v>100</v>
      </c>
      <c r="T37" s="1558" t="s">
        <v>8</v>
      </c>
      <c r="U37" s="1559">
        <f t="shared" si="11"/>
        <v>100</v>
      </c>
      <c r="V37" s="1558" t="s">
        <v>8</v>
      </c>
      <c r="W37" s="1559">
        <f t="shared" si="12"/>
        <v>100</v>
      </c>
      <c r="X37" s="1552"/>
      <c r="Y37" s="4022"/>
      <c r="Z37" s="1560" t="str">
        <f t="shared" si="13"/>
        <v>宗地形状</v>
      </c>
      <c r="AA37" s="1561">
        <f t="shared" si="3"/>
        <v>1</v>
      </c>
      <c r="AB37" s="1561">
        <f t="shared" si="4"/>
        <v>1</v>
      </c>
      <c r="AC37" s="1561">
        <f t="shared" si="5"/>
        <v>1</v>
      </c>
    </row>
    <row r="38" spans="1:29" s="1215" customFormat="1" ht="15">
      <c r="A38" s="599"/>
      <c r="B38" s="1879"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9"/>
      <c r="M38" s="2120"/>
      <c r="N38" s="2120"/>
      <c r="O38" s="2121"/>
      <c r="P38" s="4022"/>
      <c r="Q38" s="1557" t="str">
        <f t="shared" si="14"/>
        <v>宗地开发程度</v>
      </c>
      <c r="R38" s="1553" t="s">
        <v>8</v>
      </c>
      <c r="S38" s="1554">
        <f t="shared" si="10"/>
        <v>100</v>
      </c>
      <c r="T38" s="1553" t="s">
        <v>8</v>
      </c>
      <c r="U38" s="1554">
        <f t="shared" si="11"/>
        <v>100</v>
      </c>
      <c r="V38" s="1553" t="s">
        <v>8</v>
      </c>
      <c r="W38" s="1554">
        <f t="shared" si="12"/>
        <v>100</v>
      </c>
      <c r="X38" s="1555"/>
      <c r="Y38" s="4022"/>
      <c r="Z38" s="1145" t="str">
        <f t="shared" si="13"/>
        <v>宗地开发程度</v>
      </c>
      <c r="AA38" s="1556">
        <f t="shared" si="3"/>
        <v>1</v>
      </c>
      <c r="AB38" s="1556">
        <f t="shared" si="4"/>
        <v>1</v>
      </c>
      <c r="AC38" s="1556">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6"/>
      <c r="M39" s="2118"/>
      <c r="N39" s="2118"/>
      <c r="O39" s="2125"/>
      <c r="P39" s="4022" t="s">
        <v>601</v>
      </c>
      <c r="Q39" s="1557" t="str">
        <f t="shared" si="14"/>
        <v>工程地质条件</v>
      </c>
      <c r="R39" s="1558" t="s">
        <v>8</v>
      </c>
      <c r="S39" s="1559">
        <f t="shared" si="10"/>
        <v>100</v>
      </c>
      <c r="T39" s="1558" t="s">
        <v>8</v>
      </c>
      <c r="U39" s="1559">
        <f t="shared" si="11"/>
        <v>100</v>
      </c>
      <c r="V39" s="1558" t="s">
        <v>8</v>
      </c>
      <c r="W39" s="1559">
        <f t="shared" si="12"/>
        <v>100</v>
      </c>
      <c r="X39" s="1552"/>
      <c r="Y39" s="4022" t="s">
        <v>601</v>
      </c>
      <c r="Z39" s="1560" t="str">
        <f t="shared" si="13"/>
        <v>工程地质条件</v>
      </c>
      <c r="AA39" s="1561">
        <f t="shared" si="3"/>
        <v>1</v>
      </c>
      <c r="AB39" s="1561">
        <f t="shared" si="4"/>
        <v>1</v>
      </c>
      <c r="AC39" s="1561">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6"/>
      <c r="M40" s="2118"/>
      <c r="N40" s="2118"/>
      <c r="O40" s="2125"/>
      <c r="P40" s="4022"/>
      <c r="Q40" s="1557">
        <f t="shared" si="14"/>
        <v>111</v>
      </c>
      <c r="R40" s="1558" t="s">
        <v>8</v>
      </c>
      <c r="S40" s="1559">
        <f t="shared" si="10"/>
        <v>100</v>
      </c>
      <c r="T40" s="1558" t="s">
        <v>8</v>
      </c>
      <c r="U40" s="1559">
        <f t="shared" si="11"/>
        <v>100</v>
      </c>
      <c r="V40" s="1558" t="s">
        <v>8</v>
      </c>
      <c r="W40" s="1559">
        <f t="shared" si="12"/>
        <v>100</v>
      </c>
      <c r="X40" s="1552"/>
      <c r="Y40" s="4022"/>
      <c r="Z40" s="1560">
        <f t="shared" si="13"/>
        <v>111</v>
      </c>
      <c r="AA40" s="1561">
        <f t="shared" si="3"/>
        <v>1</v>
      </c>
      <c r="AB40" s="1561">
        <f t="shared" si="4"/>
        <v>1</v>
      </c>
      <c r="AC40" s="1561">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6"/>
      <c r="M41" s="2118"/>
      <c r="N41" s="2118"/>
      <c r="O41" s="2125"/>
      <c r="P41" s="4022"/>
      <c r="Q41" s="1557">
        <f t="shared" si="14"/>
        <v>111</v>
      </c>
      <c r="R41" s="1558" t="s">
        <v>8</v>
      </c>
      <c r="S41" s="1559">
        <f t="shared" si="10"/>
        <v>100</v>
      </c>
      <c r="T41" s="1558" t="s">
        <v>8</v>
      </c>
      <c r="U41" s="1559">
        <f t="shared" si="11"/>
        <v>100</v>
      </c>
      <c r="V41" s="1558" t="s">
        <v>8</v>
      </c>
      <c r="W41" s="1559">
        <f t="shared" si="12"/>
        <v>100</v>
      </c>
      <c r="X41" s="1552"/>
      <c r="Y41" s="4022"/>
      <c r="Z41" s="1560">
        <f t="shared" si="13"/>
        <v>111</v>
      </c>
      <c r="AA41" s="1561">
        <f t="shared" si="3"/>
        <v>1</v>
      </c>
      <c r="AB41" s="1561">
        <f t="shared" si="4"/>
        <v>1</v>
      </c>
      <c r="AC41" s="1561">
        <f t="shared" si="5"/>
        <v>1</v>
      </c>
    </row>
    <row r="42" spans="1:29" s="1334"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4"/>
      <c r="M42" s="2155"/>
      <c r="N42" s="2155"/>
      <c r="O42" s="2127"/>
      <c r="P42" s="4022"/>
      <c r="Q42" s="1557">
        <f t="shared" si="14"/>
        <v>111</v>
      </c>
      <c r="R42" s="1562" t="s">
        <v>8</v>
      </c>
      <c r="S42" s="1563">
        <f t="shared" si="10"/>
        <v>100</v>
      </c>
      <c r="T42" s="1562" t="s">
        <v>8</v>
      </c>
      <c r="U42" s="1563">
        <f t="shared" si="11"/>
        <v>100</v>
      </c>
      <c r="V42" s="1562" t="s">
        <v>8</v>
      </c>
      <c r="W42" s="1563">
        <f t="shared" si="12"/>
        <v>100</v>
      </c>
      <c r="X42" s="1564"/>
      <c r="Y42" s="4022"/>
      <c r="Z42" s="1565">
        <f t="shared" si="13"/>
        <v>111</v>
      </c>
      <c r="AA42" s="1561">
        <f t="shared" si="3"/>
        <v>1</v>
      </c>
      <c r="AB42" s="1561">
        <f t="shared" si="4"/>
        <v>1</v>
      </c>
      <c r="AC42" s="1561">
        <f t="shared" si="5"/>
        <v>1</v>
      </c>
    </row>
    <row r="43" spans="1:29" ht="15">
      <c r="A43" s="606" t="s">
        <v>556</v>
      </c>
      <c r="B43" s="607" t="s">
        <v>2931</v>
      </c>
      <c r="C43" s="608" t="s">
        <v>1</v>
      </c>
      <c r="D43" s="609"/>
      <c r="E43" s="610"/>
      <c r="F43" s="611"/>
      <c r="G43" s="612"/>
      <c r="H43" s="613"/>
      <c r="I43" s="610"/>
      <c r="J43" s="613"/>
      <c r="K43" s="1335"/>
      <c r="L43" s="2128"/>
      <c r="M43" s="2118"/>
      <c r="N43" s="2118"/>
      <c r="O43" s="2129"/>
      <c r="P43" s="4017" t="str">
        <f>A43</f>
        <v>成交单价</v>
      </c>
      <c r="Q43" s="4017"/>
      <c r="R43" s="4031">
        <f>E43</f>
        <v>0</v>
      </c>
      <c r="S43" s="4031"/>
      <c r="T43" s="4031">
        <f>G43</f>
        <v>0</v>
      </c>
      <c r="U43" s="4031"/>
      <c r="V43" s="4031">
        <f>I43</f>
        <v>0</v>
      </c>
      <c r="W43" s="4031"/>
      <c r="X43" s="1544"/>
      <c r="Y43" s="1566"/>
      <c r="Z43" s="1544"/>
      <c r="AA43" s="1544"/>
      <c r="AB43" s="1544"/>
      <c r="AC43" s="1544"/>
    </row>
    <row r="44" spans="1:29" ht="15.75" thickBot="1">
      <c r="A44" s="614" t="s">
        <v>2692</v>
      </c>
      <c r="B44" s="615"/>
      <c r="C44" s="616" t="e">
        <f>R45</f>
        <v>#DIV/0!</v>
      </c>
      <c r="D44" s="617"/>
      <c r="E44" s="616" t="e">
        <f>R44</f>
        <v>#DIV/0!</v>
      </c>
      <c r="F44" s="618"/>
      <c r="G44" s="619" t="e">
        <f>T44</f>
        <v>#DIV/0!</v>
      </c>
      <c r="H44" s="617"/>
      <c r="I44" s="616" t="e">
        <f>V44</f>
        <v>#DIV/0!</v>
      </c>
      <c r="J44" s="617"/>
      <c r="K44" s="1336"/>
      <c r="L44" s="2128"/>
      <c r="M44" s="2118"/>
      <c r="N44" s="2118"/>
      <c r="O44" s="2129"/>
      <c r="P44" s="4017" t="str">
        <f>A44</f>
        <v>比较价格（元/平方米）</v>
      </c>
      <c r="Q44" s="4017"/>
      <c r="R44" s="4041" t="e">
        <f>ROUND(PRODUCT(R43,AA9:AA42),0)</f>
        <v>#DIV/0!</v>
      </c>
      <c r="S44" s="4041"/>
      <c r="T44" s="4041" t="e">
        <f>ROUND(PRODUCT(T43,AB9:AB42),0)</f>
        <v>#DIV/0!</v>
      </c>
      <c r="U44" s="4041"/>
      <c r="V44" s="4041" t="e">
        <f>ROUND(PRODUCT(V43,AC9:AC42),0)</f>
        <v>#DIV/0!</v>
      </c>
      <c r="W44" s="4041"/>
      <c r="X44" s="1544"/>
      <c r="Y44" s="1544"/>
      <c r="Z44" s="1544"/>
      <c r="AA44" s="1544"/>
      <c r="AB44" s="1544"/>
      <c r="AC44" s="1544"/>
    </row>
    <row r="45" spans="1:29" ht="15.75" thickBot="1">
      <c r="A45" s="620" t="s">
        <v>2932</v>
      </c>
      <c r="B45" s="621"/>
      <c r="C45" s="622" t="e">
        <f>R45</f>
        <v>#DIV/0!</v>
      </c>
      <c r="D45" s="622"/>
      <c r="E45" s="622"/>
      <c r="F45" s="622"/>
      <c r="G45" s="622"/>
      <c r="H45" s="622"/>
      <c r="I45" s="622"/>
      <c r="J45" s="622"/>
      <c r="K45" s="1337"/>
      <c r="L45" s="2128"/>
      <c r="M45" s="2118"/>
      <c r="N45" s="2118"/>
      <c r="O45" s="2129"/>
      <c r="P45" s="4038" t="str">
        <f>A45</f>
        <v>估价对象XX用房的比较价格（楼面单价，元/平方米）</v>
      </c>
      <c r="Q45" s="4039"/>
      <c r="R45" s="4040" t="e">
        <f>ROUND(AVERAGE(R44:V44),0)</f>
        <v>#DIV/0!</v>
      </c>
      <c r="S45" s="4040"/>
      <c r="T45" s="4040"/>
      <c r="U45" s="4040"/>
      <c r="V45" s="4040"/>
      <c r="W45" s="4040"/>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40" customFormat="1" ht="13.5" customHeight="1">
      <c r="A50" s="2130"/>
      <c r="B50" s="2130"/>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40"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8" t="s">
        <v>560</v>
      </c>
      <c r="B52" s="629" t="s">
        <v>561</v>
      </c>
      <c r="C52" s="1545" t="s">
        <v>1724</v>
      </c>
      <c r="D52" s="2211" t="s">
        <v>2293</v>
      </c>
      <c r="E52" s="630" t="s">
        <v>562</v>
      </c>
      <c r="F52" s="1935" t="s">
        <v>563</v>
      </c>
      <c r="G52" s="4042" t="s">
        <v>2284</v>
      </c>
      <c r="H52" s="4043"/>
      <c r="I52" s="1936" t="s">
        <v>1945</v>
      </c>
      <c r="J52" s="1540">
        <f>项目基本情况!F41</f>
        <v>0</v>
      </c>
      <c r="K52" s="2138" t="s">
        <v>1723</v>
      </c>
      <c r="L52" s="2134"/>
      <c r="M52" s="2129"/>
      <c r="N52" s="2129"/>
      <c r="O52" s="2129"/>
      <c r="P52" s="2129"/>
      <c r="Q52" s="2129"/>
      <c r="R52" s="2129"/>
      <c r="S52" s="2129"/>
      <c r="T52" s="2129"/>
      <c r="U52" s="2129"/>
      <c r="V52" s="2129"/>
      <c r="W52" s="2129"/>
      <c r="X52" s="2129"/>
      <c r="Y52" s="2129"/>
      <c r="Z52" s="2129"/>
      <c r="AA52" s="2129"/>
      <c r="AB52" s="2129"/>
      <c r="AC52" s="2129"/>
    </row>
    <row r="53" spans="1:29" s="1341" customFormat="1" ht="12.75">
      <c r="A53" s="632" t="s">
        <v>564</v>
      </c>
      <c r="B53" s="633" t="e">
        <f>C45</f>
        <v>#DIV/0!</v>
      </c>
      <c r="C53" s="634">
        <v>1</v>
      </c>
      <c r="D53" s="2212">
        <v>1</v>
      </c>
      <c r="E53" s="634">
        <f>'数据-汇总表'!E8+'数据-汇总表'!E9</f>
        <v>131098.96</v>
      </c>
      <c r="F53" s="1934" t="e">
        <f t="shared" ref="F53:F62" si="15">ROUND(B53*E53/10000,0)</f>
        <v>#DIV/0!</v>
      </c>
      <c r="G53" s="4044"/>
      <c r="H53" s="4045"/>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1" customFormat="1" ht="12.75">
      <c r="A54" s="636" t="s">
        <v>565</v>
      </c>
      <c r="B54" s="637" t="e">
        <f>ROUND($C$45*C54*D54,0)</f>
        <v>#DIV/0!</v>
      </c>
      <c r="C54" s="377">
        <f t="shared" ref="C54:C62" si="16">IF($C$52="北京市系数",I54,J54)</f>
        <v>0</v>
      </c>
      <c r="D54" s="2213">
        <v>0.25</v>
      </c>
      <c r="E54" s="638"/>
      <c r="F54" s="1934" t="e">
        <f t="shared" si="15"/>
        <v>#DIV/0!</v>
      </c>
      <c r="G54" s="4046" t="s">
        <v>2285</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1" customFormat="1" ht="12.75">
      <c r="A55" s="636" t="s">
        <v>566</v>
      </c>
      <c r="B55" s="637" t="e">
        <f t="shared" ref="B55:B62" si="17">ROUND($C$45*C55*D55,0)</f>
        <v>#DIV/0!</v>
      </c>
      <c r="C55" s="377">
        <f t="shared" si="16"/>
        <v>0</v>
      </c>
      <c r="D55" s="2213">
        <v>0.25</v>
      </c>
      <c r="E55" s="638"/>
      <c r="F55" s="1934" t="e">
        <f t="shared" si="15"/>
        <v>#DIV/0!</v>
      </c>
      <c r="G55" s="4046"/>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1" customFormat="1" ht="12.75">
      <c r="A56" s="636" t="s">
        <v>567</v>
      </c>
      <c r="B56" s="637" t="e">
        <f t="shared" si="17"/>
        <v>#DIV/0!</v>
      </c>
      <c r="C56" s="377">
        <f t="shared" si="16"/>
        <v>0</v>
      </c>
      <c r="D56" s="2213">
        <v>0.25</v>
      </c>
      <c r="E56" s="638"/>
      <c r="F56" s="1934" t="e">
        <f t="shared" si="15"/>
        <v>#DIV/0!</v>
      </c>
      <c r="G56" s="4046"/>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1" customFormat="1" ht="12.75">
      <c r="A57" s="636" t="s">
        <v>568</v>
      </c>
      <c r="B57" s="637" t="e">
        <f t="shared" si="17"/>
        <v>#DIV/0!</v>
      </c>
      <c r="C57" s="377">
        <f t="shared" si="16"/>
        <v>0</v>
      </c>
      <c r="D57" s="2213">
        <v>0.25</v>
      </c>
      <c r="E57" s="638"/>
      <c r="F57" s="1934" t="e">
        <f t="shared" si="15"/>
        <v>#DIV/0!</v>
      </c>
      <c r="G57" s="4046"/>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1" customFormat="1" ht="12.75">
      <c r="A58" s="2315" t="s">
        <v>2328</v>
      </c>
      <c r="B58" s="637" t="e">
        <f t="shared" si="17"/>
        <v>#DIV/0!</v>
      </c>
      <c r="C58" s="377">
        <f t="shared" si="16"/>
        <v>0</v>
      </c>
      <c r="D58" s="2213">
        <v>0.25</v>
      </c>
      <c r="E58" s="640">
        <f>'数据-汇总表'!E11</f>
        <v>0</v>
      </c>
      <c r="F58" s="1934" t="e">
        <f t="shared" si="15"/>
        <v>#DIV/0!</v>
      </c>
      <c r="G58" s="1940" t="s">
        <v>2286</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1" customFormat="1" ht="12.75">
      <c r="A59" s="636" t="s">
        <v>569</v>
      </c>
      <c r="B59" s="637" t="e">
        <f t="shared" si="17"/>
        <v>#DIV/0!</v>
      </c>
      <c r="C59" s="377">
        <f t="shared" si="16"/>
        <v>0</v>
      </c>
      <c r="D59" s="2213">
        <v>0.25</v>
      </c>
      <c r="E59" s="640">
        <f>'数据-汇总表'!E12</f>
        <v>0</v>
      </c>
      <c r="F59" s="1934" t="e">
        <f t="shared" si="15"/>
        <v>#DIV/0!</v>
      </c>
      <c r="G59" s="1930" t="s">
        <v>1677</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1" customFormat="1" ht="12.75">
      <c r="A60" s="636" t="s">
        <v>570</v>
      </c>
      <c r="B60" s="637" t="e">
        <f t="shared" si="17"/>
        <v>#DIV/0!</v>
      </c>
      <c r="C60" s="377">
        <f t="shared" si="16"/>
        <v>0</v>
      </c>
      <c r="D60" s="2213">
        <v>0.25</v>
      </c>
      <c r="E60" s="640">
        <f>'数据-汇总表'!E13</f>
        <v>28598.17</v>
      </c>
      <c r="F60" s="1934" t="e">
        <f t="shared" si="15"/>
        <v>#DIV/0!</v>
      </c>
      <c r="G60" s="1930" t="s">
        <v>923</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1" customFormat="1" ht="12.75">
      <c r="A61" s="636" t="s">
        <v>571</v>
      </c>
      <c r="B61" s="637" t="e">
        <f t="shared" si="17"/>
        <v>#DIV/0!</v>
      </c>
      <c r="C61" s="377">
        <f t="shared" si="16"/>
        <v>0</v>
      </c>
      <c r="D61" s="2213">
        <v>0.25</v>
      </c>
      <c r="E61" s="640">
        <f>'数据-汇总表'!E14</f>
        <v>0</v>
      </c>
      <c r="F61" s="1934" t="e">
        <f t="shared" si="15"/>
        <v>#DIV/0!</v>
      </c>
      <c r="G61" s="1940" t="s">
        <v>2285</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1" customFormat="1" ht="13.5" thickBot="1">
      <c r="A62" s="636" t="s">
        <v>572</v>
      </c>
      <c r="B62" s="637" t="e">
        <f t="shared" si="17"/>
        <v>#DIV/0!</v>
      </c>
      <c r="C62" s="377">
        <f t="shared" si="16"/>
        <v>0</v>
      </c>
      <c r="D62" s="2213">
        <v>0.25</v>
      </c>
      <c r="E62" s="640">
        <f>'数据-汇总表'!E15</f>
        <v>0</v>
      </c>
      <c r="F62" s="1934" t="e">
        <f t="shared" si="15"/>
        <v>#DIV/0!</v>
      </c>
      <c r="G62" s="1941" t="s">
        <v>2286</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1" customFormat="1" ht="13.5" thickBot="1">
      <c r="A63" s="641" t="s">
        <v>573</v>
      </c>
      <c r="B63" s="642" t="s">
        <v>17</v>
      </c>
      <c r="C63" s="642" t="s">
        <v>18</v>
      </c>
      <c r="D63" s="642" t="s">
        <v>2294</v>
      </c>
      <c r="E63" s="642">
        <f>IF(B43="楼面地价",SUM(E53:E62),'数据-汇总表'!D3)</f>
        <v>27220.14</v>
      </c>
      <c r="F63" s="643"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2019-7-1</v>
      </c>
      <c r="D65" s="2753">
        <f>EDATE(C65,-3)</f>
        <v>43556</v>
      </c>
      <c r="E65" s="2753">
        <f t="shared" ref="E65:N65" si="18">EDATE(D65,-3)</f>
        <v>43466</v>
      </c>
      <c r="F65" s="2753">
        <f t="shared" si="18"/>
        <v>43374</v>
      </c>
      <c r="G65" s="2753">
        <f t="shared" si="18"/>
        <v>43282</v>
      </c>
      <c r="H65" s="2753">
        <f t="shared" si="18"/>
        <v>43191</v>
      </c>
      <c r="I65" s="2753">
        <f t="shared" si="18"/>
        <v>43101</v>
      </c>
      <c r="J65" s="2753">
        <f t="shared" si="18"/>
        <v>43009</v>
      </c>
      <c r="K65" s="2753">
        <f t="shared" si="18"/>
        <v>42917</v>
      </c>
      <c r="L65" s="2753">
        <f t="shared" si="18"/>
        <v>42826</v>
      </c>
      <c r="M65" s="2753">
        <f t="shared" si="18"/>
        <v>42736</v>
      </c>
      <c r="N65" s="2753">
        <f t="shared" si="18"/>
        <v>42644</v>
      </c>
      <c r="O65" s="2129"/>
      <c r="P65" s="2129"/>
      <c r="Q65" s="2129"/>
      <c r="R65" s="2129"/>
      <c r="S65" s="2129"/>
      <c r="T65" s="2129"/>
      <c r="U65" s="2129"/>
      <c r="V65" s="2129"/>
      <c r="W65" s="2129"/>
      <c r="X65" s="2129"/>
      <c r="Y65" s="2129"/>
      <c r="Z65" s="2129"/>
      <c r="AA65" s="2129"/>
      <c r="AB65" s="2129"/>
      <c r="AC65" s="2129"/>
    </row>
    <row r="66" spans="1:29" ht="21.75" thickBot="1">
      <c r="A66" s="1569" t="s">
        <v>574</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2" customFormat="1" ht="15">
      <c r="A67" s="2531" t="s">
        <v>2532</v>
      </c>
      <c r="B67" s="645"/>
      <c r="C67" s="2749" t="str">
        <f>YEAR(C65)&amp;"-"&amp;ROUNDUP(MONTH(C65)/3,0)</f>
        <v>2019-3</v>
      </c>
      <c r="D67" s="2755" t="str">
        <f t="shared" ref="D67:N67" si="19">YEAR(D65)&amp;"-"&amp;ROUNDUP(MONTH(D65)/3,0)</f>
        <v>2019-2</v>
      </c>
      <c r="E67" s="2755" t="str">
        <f t="shared" si="19"/>
        <v>2019-1</v>
      </c>
      <c r="F67" s="2755" t="str">
        <f t="shared" si="19"/>
        <v>2018-4</v>
      </c>
      <c r="G67" s="2755" t="str">
        <f t="shared" si="19"/>
        <v>2018-3</v>
      </c>
      <c r="H67" s="2755" t="str">
        <f t="shared" si="19"/>
        <v>2018-2</v>
      </c>
      <c r="I67" s="2755" t="str">
        <f t="shared" si="19"/>
        <v>2018-1</v>
      </c>
      <c r="J67" s="2755" t="str">
        <f t="shared" si="19"/>
        <v>2017-4</v>
      </c>
      <c r="K67" s="2755" t="str">
        <f t="shared" si="19"/>
        <v>2017-3</v>
      </c>
      <c r="L67" s="2755" t="str">
        <f t="shared" si="19"/>
        <v>2017-2</v>
      </c>
      <c r="M67" s="2755" t="str">
        <f t="shared" si="19"/>
        <v>2017-1</v>
      </c>
      <c r="N67" s="2755" t="str">
        <f t="shared" si="19"/>
        <v>2016-4</v>
      </c>
      <c r="O67" s="2143"/>
      <c r="P67" s="2144"/>
      <c r="Q67" s="2145"/>
      <c r="R67" s="2145"/>
      <c r="S67" s="2145"/>
      <c r="T67" s="2145"/>
      <c r="U67" s="2145"/>
      <c r="V67" s="2145"/>
      <c r="W67" s="2145"/>
      <c r="X67" s="2145"/>
      <c r="Y67" s="2145"/>
      <c r="Z67" s="2145"/>
      <c r="AA67" s="2145"/>
      <c r="AB67" s="2145"/>
      <c r="AC67" s="2145"/>
    </row>
    <row r="68" spans="1:29" s="1215" customFormat="1" ht="27.75" customHeight="1">
      <c r="A68" s="2752" t="s">
        <v>2648</v>
      </c>
      <c r="B68" s="478" t="str">
        <f>"北京市平均增长率"&amp;TEXT(基准地价!P24,"0.00%")</f>
        <v>北京市平均增长率1.40%</v>
      </c>
      <c r="C68" s="893">
        <v>100</v>
      </c>
      <c r="D68" s="729"/>
      <c r="E68" s="729"/>
      <c r="F68" s="729"/>
      <c r="G68" s="729"/>
      <c r="H68" s="729"/>
      <c r="I68" s="729"/>
      <c r="J68" s="729"/>
      <c r="K68" s="729"/>
      <c r="L68" s="729"/>
      <c r="M68" s="2747"/>
      <c r="N68" s="2748"/>
      <c r="O68" s="2146"/>
      <c r="P68" s="2142"/>
      <c r="Q68" s="1977"/>
      <c r="R68" s="1977"/>
      <c r="S68" s="1977"/>
      <c r="T68" s="1977"/>
      <c r="U68" s="1977"/>
      <c r="V68" s="1977"/>
      <c r="W68" s="1977"/>
      <c r="X68" s="1977"/>
      <c r="Y68" s="1977"/>
      <c r="Z68" s="1977"/>
      <c r="AA68" s="1977"/>
      <c r="AB68" s="1977"/>
      <c r="AC68" s="1977"/>
    </row>
    <row r="69" spans="1:29" s="1215" customFormat="1" ht="15.75" thickBot="1">
      <c r="A69" s="652" t="s">
        <v>575</v>
      </c>
      <c r="B69" s="653"/>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5" customFormat="1" ht="15">
      <c r="A70" s="658" t="s">
        <v>531</v>
      </c>
      <c r="B70" s="647"/>
      <c r="C70" s="659" t="s">
        <v>576</v>
      </c>
      <c r="D70" s="660"/>
      <c r="E70" s="660"/>
      <c r="F70" s="660"/>
      <c r="G70" s="660"/>
      <c r="H70" s="660"/>
      <c r="I70" s="660"/>
      <c r="J70" s="660"/>
      <c r="K70" s="660"/>
      <c r="L70" s="661"/>
      <c r="M70" s="662"/>
      <c r="N70" s="2146"/>
      <c r="O70" s="2146"/>
      <c r="P70" s="2147"/>
      <c r="Q70" s="2142"/>
      <c r="R70" s="1977"/>
      <c r="S70" s="1977"/>
      <c r="T70" s="1977"/>
      <c r="U70" s="1977"/>
      <c r="V70" s="1977"/>
      <c r="W70" s="1977"/>
      <c r="X70" s="1977"/>
      <c r="Y70" s="1977"/>
      <c r="Z70" s="1977"/>
      <c r="AA70" s="1977"/>
      <c r="AB70" s="1977"/>
      <c r="AC70" s="1977"/>
    </row>
    <row r="71" spans="1:29" s="1215" customFormat="1" ht="15.75" thickBot="1">
      <c r="A71" s="658"/>
      <c r="B71" s="647"/>
      <c r="C71" s="648">
        <v>100</v>
      </c>
      <c r="D71" s="649"/>
      <c r="E71" s="649"/>
      <c r="F71" s="649"/>
      <c r="G71" s="649"/>
      <c r="H71" s="649"/>
      <c r="I71" s="649"/>
      <c r="J71" s="649"/>
      <c r="K71" s="649"/>
      <c r="L71" s="649"/>
      <c r="M71" s="651"/>
      <c r="N71" s="2146"/>
      <c r="O71" s="2146"/>
      <c r="P71" s="2142"/>
      <c r="Q71" s="2142"/>
      <c r="R71" s="1977"/>
      <c r="S71" s="1977"/>
      <c r="T71" s="1977"/>
      <c r="U71" s="1977"/>
      <c r="V71" s="1977"/>
      <c r="W71" s="1977"/>
      <c r="X71" s="1977"/>
      <c r="Y71" s="1977"/>
      <c r="Z71" s="1977"/>
      <c r="AA71" s="1977"/>
      <c r="AB71" s="1977"/>
      <c r="AC71" s="1977"/>
    </row>
    <row r="72" spans="1:29">
      <c r="A72" s="663" t="s">
        <v>577</v>
      </c>
      <c r="B72" s="664" t="s">
        <v>534</v>
      </c>
      <c r="C72" s="597"/>
      <c r="D72" s="597"/>
      <c r="E72" s="597"/>
      <c r="F72" s="597"/>
      <c r="G72" s="597"/>
      <c r="H72" s="597"/>
      <c r="I72" s="597"/>
      <c r="J72" s="597"/>
      <c r="K72" s="665"/>
      <c r="L72" s="666"/>
      <c r="M72" s="667"/>
      <c r="N72" s="2148"/>
      <c r="O72" s="2148"/>
      <c r="P72" s="2149"/>
      <c r="Q72" s="2142"/>
      <c r="R72" s="2129"/>
      <c r="S72" s="2129"/>
      <c r="T72" s="2129"/>
      <c r="U72" s="2129"/>
      <c r="V72" s="2129"/>
      <c r="W72" s="2129"/>
      <c r="X72" s="2129"/>
      <c r="Y72" s="2129"/>
      <c r="Z72" s="2129"/>
      <c r="AA72" s="2129"/>
      <c r="AB72" s="2129"/>
      <c r="AC72" s="2129"/>
    </row>
    <row r="73" spans="1:29" ht="15.75" thickBot="1">
      <c r="A73" s="668"/>
      <c r="B73" s="669"/>
      <c r="C73" s="670"/>
      <c r="D73" s="670"/>
      <c r="E73" s="670"/>
      <c r="F73" s="670"/>
      <c r="G73" s="670"/>
      <c r="H73" s="670"/>
      <c r="I73" s="670"/>
      <c r="J73" s="670"/>
      <c r="K73" s="670"/>
      <c r="L73" s="670"/>
      <c r="M73" s="671"/>
      <c r="N73" s="2150"/>
      <c r="O73" s="2150"/>
      <c r="P73" s="2149"/>
      <c r="Q73" s="2142"/>
      <c r="R73" s="2129"/>
      <c r="S73" s="2129"/>
      <c r="T73" s="2129"/>
      <c r="U73" s="2129"/>
      <c r="V73" s="2129"/>
      <c r="W73" s="2129"/>
      <c r="X73" s="2129"/>
      <c r="Y73" s="2129"/>
      <c r="Z73" s="2129"/>
      <c r="AA73" s="2129"/>
      <c r="AB73" s="2129"/>
      <c r="AC73" s="2129"/>
    </row>
    <row r="74" spans="1:29" ht="27.75" thickTop="1">
      <c r="A74" s="668"/>
      <c r="B74" s="672" t="s">
        <v>537</v>
      </c>
      <c r="C74" s="673"/>
      <c r="D74" s="673"/>
      <c r="E74" s="673"/>
      <c r="F74" s="673"/>
      <c r="G74" s="673"/>
      <c r="H74" s="673"/>
      <c r="I74" s="673"/>
      <c r="J74" s="673"/>
      <c r="K74" s="674"/>
      <c r="L74" s="675"/>
      <c r="M74" s="676"/>
      <c r="N74" s="2148"/>
      <c r="O74" s="2148"/>
      <c r="P74" s="2149"/>
      <c r="Q74" s="2142"/>
      <c r="R74" s="2129"/>
      <c r="S74" s="2129"/>
      <c r="T74" s="2129"/>
      <c r="U74" s="2129"/>
      <c r="V74" s="2129"/>
      <c r="W74" s="2129"/>
      <c r="X74" s="2129"/>
      <c r="Y74" s="2129"/>
      <c r="Z74" s="2129"/>
      <c r="AA74" s="2129"/>
      <c r="AB74" s="2129"/>
      <c r="AC74" s="2129"/>
    </row>
    <row r="75" spans="1:29" ht="15.75" thickBot="1">
      <c r="A75" s="668"/>
      <c r="B75" s="677"/>
      <c r="C75" s="678"/>
      <c r="D75" s="678"/>
      <c r="E75" s="678"/>
      <c r="F75" s="678"/>
      <c r="G75" s="678"/>
      <c r="H75" s="678"/>
      <c r="I75" s="678"/>
      <c r="J75" s="678"/>
      <c r="K75" s="678"/>
      <c r="L75" s="678"/>
      <c r="M75" s="679"/>
      <c r="N75" s="2150"/>
      <c r="O75" s="2150"/>
      <c r="P75" s="2149"/>
      <c r="Q75" s="2142"/>
      <c r="R75" s="2129"/>
      <c r="S75" s="2129"/>
      <c r="T75" s="2129"/>
      <c r="U75" s="2129"/>
      <c r="V75" s="2129"/>
      <c r="W75" s="2129"/>
      <c r="X75" s="2129"/>
      <c r="Y75" s="2129"/>
      <c r="Z75" s="2129"/>
      <c r="AA75" s="2129"/>
      <c r="AB75" s="2129"/>
      <c r="AC75" s="2129"/>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8"/>
      <c r="B77" s="682"/>
      <c r="C77" s="540"/>
      <c r="D77" s="540"/>
      <c r="E77" s="540"/>
      <c r="F77" s="540"/>
      <c r="G77" s="540"/>
      <c r="H77" s="540"/>
      <c r="I77" s="540"/>
      <c r="J77" s="540"/>
      <c r="K77" s="683"/>
      <c r="L77" s="684"/>
      <c r="M77" s="685"/>
      <c r="N77" s="2148"/>
      <c r="O77" s="2148"/>
      <c r="P77" s="2149"/>
      <c r="Q77" s="2142"/>
      <c r="R77" s="2129"/>
      <c r="S77" s="2129"/>
      <c r="T77" s="2129"/>
      <c r="U77" s="2129"/>
      <c r="V77" s="2129"/>
      <c r="W77" s="2129"/>
      <c r="X77" s="2129"/>
      <c r="Y77" s="2129"/>
      <c r="Z77" s="2129"/>
      <c r="AA77" s="2129"/>
      <c r="AB77" s="2129"/>
      <c r="AC77" s="2129"/>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50"/>
      <c r="O78" s="2150"/>
      <c r="P78" s="2149"/>
      <c r="Q78" s="2142"/>
      <c r="R78" s="2129"/>
      <c r="S78" s="2129"/>
      <c r="T78" s="2129"/>
      <c r="U78" s="2129"/>
      <c r="V78" s="2129"/>
      <c r="W78" s="2129"/>
      <c r="X78" s="2129"/>
      <c r="Y78" s="2129"/>
      <c r="Z78" s="2129"/>
      <c r="AA78" s="2129"/>
      <c r="AB78" s="2129"/>
      <c r="AC78" s="2129"/>
    </row>
    <row r="79" spans="1:29" s="1334" customFormat="1" ht="15.75" thickTop="1">
      <c r="A79" s="686"/>
      <c r="B79" s="672">
        <f>B14</f>
        <v>111</v>
      </c>
      <c r="C79" s="687"/>
      <c r="D79" s="687"/>
      <c r="E79" s="687"/>
      <c r="F79" s="687"/>
      <c r="G79" s="687"/>
      <c r="H79" s="688"/>
      <c r="I79" s="688"/>
      <c r="J79" s="688"/>
      <c r="K79" s="688"/>
      <c r="L79" s="689"/>
      <c r="M79" s="690"/>
      <c r="N79" s="2151"/>
      <c r="O79" s="2151"/>
      <c r="P79" s="2152"/>
      <c r="Q79" s="2153"/>
      <c r="R79" s="2154"/>
      <c r="S79" s="2154"/>
      <c r="T79" s="2154"/>
      <c r="U79" s="2154"/>
      <c r="V79" s="2154"/>
      <c r="W79" s="2154"/>
      <c r="X79" s="2154"/>
      <c r="Y79" s="2154"/>
      <c r="Z79" s="2154"/>
      <c r="AA79" s="2154"/>
      <c r="AB79" s="2154"/>
      <c r="AC79" s="2154"/>
    </row>
    <row r="80" spans="1:29" s="1334" customFormat="1" ht="15.75" thickBot="1">
      <c r="A80" s="686"/>
      <c r="B80" s="677"/>
      <c r="C80" s="691"/>
      <c r="D80" s="670"/>
      <c r="E80" s="670"/>
      <c r="F80" s="670"/>
      <c r="G80" s="670"/>
      <c r="H80" s="670"/>
      <c r="I80" s="670"/>
      <c r="J80" s="670"/>
      <c r="K80" s="670"/>
      <c r="L80" s="670"/>
      <c r="M80" s="671"/>
      <c r="N80" s="2150"/>
      <c r="O80" s="2150"/>
      <c r="P80" s="2152"/>
      <c r="Q80" s="2153"/>
      <c r="R80" s="2154"/>
      <c r="S80" s="2154"/>
      <c r="T80" s="2154"/>
      <c r="U80" s="2154"/>
      <c r="V80" s="2154"/>
      <c r="W80" s="2154"/>
      <c r="X80" s="2154"/>
      <c r="Y80" s="2154"/>
      <c r="Z80" s="2154"/>
      <c r="AA80" s="2154"/>
      <c r="AB80" s="2154"/>
      <c r="AC80" s="2154"/>
    </row>
    <row r="81" spans="1:29" s="1334" customFormat="1" ht="15.75" thickTop="1">
      <c r="A81" s="686"/>
      <c r="B81" s="672">
        <f>B15</f>
        <v>111</v>
      </c>
      <c r="C81" s="687"/>
      <c r="D81" s="687"/>
      <c r="E81" s="687"/>
      <c r="F81" s="687"/>
      <c r="G81" s="687"/>
      <c r="H81" s="688"/>
      <c r="I81" s="688"/>
      <c r="J81" s="688"/>
      <c r="K81" s="688"/>
      <c r="L81" s="689"/>
      <c r="M81" s="690"/>
      <c r="N81" s="2151"/>
      <c r="O81" s="2151"/>
      <c r="P81" s="2155"/>
      <c r="Q81" s="2156"/>
      <c r="R81" s="2154"/>
      <c r="S81" s="2154"/>
      <c r="T81" s="2154"/>
      <c r="U81" s="2154"/>
      <c r="V81" s="2154"/>
      <c r="W81" s="2154"/>
      <c r="X81" s="2154"/>
      <c r="Y81" s="2154"/>
      <c r="Z81" s="2154"/>
      <c r="AA81" s="2154"/>
      <c r="AB81" s="2154"/>
      <c r="AC81" s="2154"/>
    </row>
    <row r="82" spans="1:29" s="1334" customFormat="1" ht="15.75" thickBot="1">
      <c r="A82" s="686"/>
      <c r="B82" s="677"/>
      <c r="C82" s="691"/>
      <c r="D82" s="691"/>
      <c r="E82" s="691"/>
      <c r="F82" s="691"/>
      <c r="G82" s="691"/>
      <c r="H82" s="692"/>
      <c r="I82" s="692"/>
      <c r="J82" s="692"/>
      <c r="K82" s="692"/>
      <c r="L82" s="692"/>
      <c r="M82" s="693"/>
      <c r="N82" s="2151"/>
      <c r="O82" s="2151"/>
      <c r="P82" s="2152"/>
      <c r="Q82" s="2153"/>
      <c r="R82" s="2154"/>
      <c r="S82" s="2154"/>
      <c r="T82" s="2154"/>
      <c r="U82" s="2154"/>
      <c r="V82" s="2154"/>
      <c r="W82" s="2154"/>
      <c r="X82" s="2154"/>
      <c r="Y82" s="2154"/>
      <c r="Z82" s="2154"/>
      <c r="AA82" s="2154"/>
      <c r="AB82" s="2154"/>
      <c r="AC82" s="2154"/>
    </row>
    <row r="83" spans="1:29" s="1334" customFormat="1" ht="15.75" thickTop="1">
      <c r="A83" s="686"/>
      <c r="B83" s="680">
        <f>B16</f>
        <v>111</v>
      </c>
      <c r="C83" s="660"/>
      <c r="D83" s="660"/>
      <c r="E83" s="660"/>
      <c r="F83" s="660"/>
      <c r="G83" s="660"/>
      <c r="H83" s="694"/>
      <c r="I83" s="694"/>
      <c r="J83" s="694"/>
      <c r="K83" s="694"/>
      <c r="L83" s="695"/>
      <c r="M83" s="696"/>
      <c r="N83" s="2151"/>
      <c r="O83" s="2151"/>
      <c r="P83" s="2157"/>
      <c r="Q83" s="2153"/>
      <c r="R83" s="2154"/>
      <c r="S83" s="2154"/>
      <c r="T83" s="2154"/>
      <c r="U83" s="2154"/>
      <c r="V83" s="2154"/>
      <c r="W83" s="2154"/>
      <c r="X83" s="2154"/>
      <c r="Y83" s="2154"/>
      <c r="Z83" s="2154"/>
      <c r="AA83" s="2154"/>
      <c r="AB83" s="2154"/>
      <c r="AC83" s="2154"/>
    </row>
    <row r="84" spans="1:29" s="1334" customFormat="1" ht="15.75" thickBot="1">
      <c r="A84" s="697"/>
      <c r="B84" s="698"/>
      <c r="C84" s="699"/>
      <c r="D84" s="699"/>
      <c r="E84" s="699"/>
      <c r="F84" s="699"/>
      <c r="G84" s="699"/>
      <c r="H84" s="700"/>
      <c r="I84" s="700"/>
      <c r="J84" s="700"/>
      <c r="K84" s="700"/>
      <c r="L84" s="700"/>
      <c r="M84" s="701"/>
      <c r="N84" s="2151"/>
      <c r="O84" s="2151"/>
      <c r="P84" s="2152"/>
      <c r="Q84" s="2153"/>
      <c r="R84" s="2154"/>
      <c r="S84" s="2154"/>
      <c r="T84" s="2154"/>
      <c r="U84" s="2154"/>
      <c r="V84" s="2154"/>
      <c r="W84" s="2154"/>
      <c r="X84" s="2154"/>
      <c r="Y84" s="2154"/>
      <c r="Z84" s="2154"/>
      <c r="AA84" s="2154"/>
      <c r="AB84" s="2154"/>
      <c r="AC84" s="2154"/>
    </row>
    <row r="85" spans="1:29">
      <c r="A85" s="663" t="s">
        <v>539</v>
      </c>
      <c r="B85" s="664" t="s">
        <v>602</v>
      </c>
      <c r="C85" s="702" t="s">
        <v>579</v>
      </c>
      <c r="D85" s="702" t="s">
        <v>580</v>
      </c>
      <c r="E85" s="702" t="s">
        <v>581</v>
      </c>
      <c r="F85" s="702" t="s">
        <v>582</v>
      </c>
      <c r="G85" s="702" t="s">
        <v>583</v>
      </c>
      <c r="H85" s="703"/>
      <c r="I85" s="703"/>
      <c r="J85" s="703"/>
      <c r="K85" s="704"/>
      <c r="L85" s="705"/>
      <c r="M85" s="706"/>
      <c r="N85" s="2148"/>
      <c r="O85" s="2148"/>
      <c r="P85" s="2158"/>
      <c r="Q85" s="2142"/>
      <c r="R85" s="2129"/>
      <c r="S85" s="2129"/>
      <c r="T85" s="2129"/>
      <c r="U85" s="2129"/>
      <c r="V85" s="2129"/>
      <c r="W85" s="2129"/>
      <c r="X85" s="2129"/>
      <c r="Y85" s="2129"/>
      <c r="Z85" s="2129"/>
      <c r="AA85" s="2129"/>
      <c r="AB85" s="2129"/>
      <c r="AC85" s="2129"/>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50"/>
      <c r="O86" s="2150"/>
      <c r="P86" s="2149"/>
      <c r="Q86" s="2142"/>
      <c r="R86" s="2129"/>
      <c r="S86" s="2129"/>
      <c r="T86" s="2129"/>
      <c r="U86" s="2129"/>
      <c r="V86" s="2129"/>
      <c r="W86" s="2129"/>
      <c r="X86" s="2129"/>
      <c r="Y86" s="2129"/>
      <c r="Z86" s="2129"/>
      <c r="AA86" s="2129"/>
      <c r="AB86" s="2129"/>
      <c r="AC86" s="2129"/>
    </row>
    <row r="87" spans="1:29" ht="15.75" thickTop="1">
      <c r="A87" s="668"/>
      <c r="B87" s="672" t="s">
        <v>586</v>
      </c>
      <c r="C87" s="707" t="s">
        <v>579</v>
      </c>
      <c r="D87" s="707" t="s">
        <v>580</v>
      </c>
      <c r="E87" s="707" t="s">
        <v>581</v>
      </c>
      <c r="F87" s="707" t="s">
        <v>582</v>
      </c>
      <c r="G87" s="707" t="s">
        <v>583</v>
      </c>
      <c r="H87" s="673"/>
      <c r="I87" s="673"/>
      <c r="J87" s="673"/>
      <c r="K87" s="674"/>
      <c r="L87" s="675"/>
      <c r="M87" s="676"/>
      <c r="N87" s="2148"/>
      <c r="O87" s="2148"/>
      <c r="P87" s="2149"/>
      <c r="Q87" s="2142"/>
      <c r="R87" s="2129"/>
      <c r="S87" s="2129"/>
      <c r="T87" s="2129"/>
      <c r="U87" s="2129"/>
      <c r="V87" s="2129"/>
      <c r="W87" s="2129"/>
      <c r="X87" s="2129"/>
      <c r="Y87" s="2129"/>
      <c r="Z87" s="2129"/>
      <c r="AA87" s="2129"/>
      <c r="AB87" s="2129"/>
      <c r="AC87" s="2129"/>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50"/>
      <c r="O88" s="2150"/>
      <c r="P88" s="2149"/>
      <c r="Q88" s="2142"/>
      <c r="R88" s="2129"/>
      <c r="S88" s="2129"/>
      <c r="T88" s="2129"/>
      <c r="U88" s="2129"/>
      <c r="V88" s="2129"/>
      <c r="W88" s="2129"/>
      <c r="X88" s="2129"/>
      <c r="Y88" s="2129"/>
      <c r="Z88" s="2129"/>
      <c r="AA88" s="2129"/>
      <c r="AB88" s="2129"/>
      <c r="AC88" s="2129"/>
    </row>
    <row r="89" spans="1:29" s="1215" customFormat="1" ht="27.75" thickTop="1">
      <c r="A89" s="708"/>
      <c r="B89" s="672" t="s">
        <v>587</v>
      </c>
      <c r="C89" s="707" t="s">
        <v>579</v>
      </c>
      <c r="D89" s="707" t="s">
        <v>580</v>
      </c>
      <c r="E89" s="707" t="s">
        <v>581</v>
      </c>
      <c r="F89" s="707" t="s">
        <v>582</v>
      </c>
      <c r="G89" s="707" t="s">
        <v>583</v>
      </c>
      <c r="H89" s="707"/>
      <c r="I89" s="707"/>
      <c r="J89" s="707"/>
      <c r="K89" s="707"/>
      <c r="L89" s="709"/>
      <c r="M89" s="710"/>
      <c r="N89" s="2146"/>
      <c r="O89" s="2146"/>
      <c r="P89" s="2149"/>
      <c r="Q89" s="2142"/>
      <c r="R89" s="1977"/>
      <c r="S89" s="1977"/>
      <c r="T89" s="1977"/>
      <c r="U89" s="1977"/>
      <c r="V89" s="1977"/>
      <c r="W89" s="1977"/>
      <c r="X89" s="1977"/>
      <c r="Y89" s="1977"/>
      <c r="Z89" s="1977"/>
      <c r="AA89" s="1977"/>
      <c r="AB89" s="1977"/>
      <c r="AC89" s="1977"/>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50"/>
      <c r="O90" s="2150"/>
      <c r="P90" s="2149"/>
      <c r="Q90" s="2142"/>
      <c r="R90" s="1977"/>
      <c r="S90" s="1977"/>
      <c r="T90" s="1977"/>
      <c r="U90" s="1977"/>
      <c r="V90" s="1977"/>
      <c r="W90" s="1977"/>
      <c r="X90" s="1977"/>
      <c r="Y90" s="1977"/>
      <c r="Z90" s="1977"/>
      <c r="AA90" s="1977"/>
      <c r="AB90" s="1977"/>
      <c r="AC90" s="1977"/>
    </row>
    <row r="91" spans="1:29" s="1215" customFormat="1" ht="27.75" thickTop="1">
      <c r="A91" s="708"/>
      <c r="B91" s="672" t="s">
        <v>588</v>
      </c>
      <c r="C91" s="702" t="s">
        <v>579</v>
      </c>
      <c r="D91" s="702" t="s">
        <v>580</v>
      </c>
      <c r="E91" s="702" t="s">
        <v>581</v>
      </c>
      <c r="F91" s="702" t="s">
        <v>582</v>
      </c>
      <c r="G91" s="702" t="s">
        <v>583</v>
      </c>
      <c r="H91" s="707"/>
      <c r="I91" s="707"/>
      <c r="J91" s="707"/>
      <c r="K91" s="707"/>
      <c r="L91" s="707"/>
      <c r="M91" s="710"/>
      <c r="N91" s="2146"/>
      <c r="O91" s="2146"/>
      <c r="P91" s="2149"/>
      <c r="Q91" s="2142"/>
      <c r="R91" s="1977"/>
      <c r="S91" s="1977"/>
      <c r="T91" s="1977"/>
      <c r="U91" s="1977"/>
      <c r="V91" s="1977"/>
      <c r="W91" s="1977"/>
      <c r="X91" s="1977"/>
      <c r="Y91" s="1977"/>
      <c r="Z91" s="1977"/>
      <c r="AA91" s="1977"/>
      <c r="AB91" s="1977"/>
      <c r="AC91" s="1977"/>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50"/>
      <c r="O92" s="2150"/>
      <c r="P92" s="2149"/>
      <c r="Q92" s="2142"/>
      <c r="R92" s="1977"/>
      <c r="S92" s="1977"/>
      <c r="T92" s="1977"/>
      <c r="U92" s="1977"/>
      <c r="V92" s="1977"/>
      <c r="W92" s="1977"/>
      <c r="X92" s="1977"/>
      <c r="Y92" s="1977"/>
      <c r="Z92" s="1977"/>
      <c r="AA92" s="1977"/>
      <c r="AB92" s="1977"/>
      <c r="AC92" s="1977"/>
    </row>
    <row r="93" spans="1:29" s="1334" customFormat="1" ht="15.75" thickTop="1">
      <c r="A93" s="686"/>
      <c r="B93" s="1880" t="s">
        <v>2547</v>
      </c>
      <c r="C93" s="702" t="s">
        <v>579</v>
      </c>
      <c r="D93" s="702" t="s">
        <v>580</v>
      </c>
      <c r="E93" s="702" t="s">
        <v>581</v>
      </c>
      <c r="F93" s="702" t="s">
        <v>582</v>
      </c>
      <c r="G93" s="702" t="s">
        <v>583</v>
      </c>
      <c r="H93" s="712"/>
      <c r="I93" s="712"/>
      <c r="J93" s="712"/>
      <c r="K93" s="712"/>
      <c r="L93" s="713"/>
      <c r="M93" s="714"/>
      <c r="N93" s="2151"/>
      <c r="O93" s="2151"/>
      <c r="P93" s="2152"/>
      <c r="Q93" s="2153"/>
      <c r="R93" s="2154"/>
      <c r="S93" s="2154"/>
      <c r="T93" s="2154"/>
      <c r="U93" s="2154"/>
      <c r="V93" s="2154"/>
      <c r="W93" s="2154"/>
      <c r="X93" s="2154"/>
      <c r="Y93" s="2154"/>
      <c r="Z93" s="2154"/>
      <c r="AA93" s="2154"/>
      <c r="AB93" s="2154"/>
      <c r="AC93" s="2154"/>
    </row>
    <row r="94" spans="1:29" s="1334" customFormat="1" ht="15.75" thickBot="1">
      <c r="A94" s="686"/>
      <c r="B94" s="677"/>
      <c r="C94" s="678">
        <v>100</v>
      </c>
      <c r="D94" s="678">
        <f>C94-$K25</f>
        <v>100</v>
      </c>
      <c r="E94" s="678">
        <f>D94-$K25</f>
        <v>100</v>
      </c>
      <c r="F94" s="678">
        <f>E94-$K25</f>
        <v>100</v>
      </c>
      <c r="G94" s="678">
        <f>F94-$K25</f>
        <v>100</v>
      </c>
      <c r="H94" s="715"/>
      <c r="I94" s="715"/>
      <c r="J94" s="715"/>
      <c r="K94" s="715"/>
      <c r="L94" s="715"/>
      <c r="M94" s="716"/>
      <c r="N94" s="2151"/>
      <c r="O94" s="2151"/>
      <c r="P94" s="2152"/>
      <c r="Q94" s="2153"/>
      <c r="R94" s="2154"/>
      <c r="S94" s="2154"/>
      <c r="T94" s="2154"/>
      <c r="U94" s="2154"/>
      <c r="V94" s="2154"/>
      <c r="W94" s="2154"/>
      <c r="X94" s="2154"/>
      <c r="Y94" s="2154"/>
      <c r="Z94" s="2154"/>
      <c r="AA94" s="2154"/>
      <c r="AB94" s="2154"/>
      <c r="AC94" s="2154"/>
    </row>
    <row r="95" spans="1:29" s="1334" customFormat="1" ht="15.75" thickTop="1">
      <c r="A95" s="686"/>
      <c r="B95" s="2560" t="s">
        <v>2549</v>
      </c>
      <c r="C95" s="2561" t="s">
        <v>2550</v>
      </c>
      <c r="D95" s="2561" t="s">
        <v>2551</v>
      </c>
      <c r="E95" s="2561" t="s">
        <v>2552</v>
      </c>
      <c r="F95" s="2561" t="s">
        <v>2553</v>
      </c>
      <c r="G95" s="2561" t="s">
        <v>2554</v>
      </c>
      <c r="H95" s="712"/>
      <c r="I95" s="712"/>
      <c r="J95" s="712"/>
      <c r="K95" s="712"/>
      <c r="L95" s="712"/>
      <c r="M95" s="714"/>
      <c r="N95" s="2151"/>
      <c r="O95" s="2151"/>
      <c r="P95" s="2152"/>
      <c r="Q95" s="2153"/>
      <c r="R95" s="2154"/>
      <c r="S95" s="2154"/>
      <c r="T95" s="2154"/>
      <c r="U95" s="2154"/>
      <c r="V95" s="2154"/>
      <c r="W95" s="2154"/>
      <c r="X95" s="2154"/>
      <c r="Y95" s="2154"/>
      <c r="Z95" s="2154"/>
      <c r="AA95" s="2154"/>
      <c r="AB95" s="2154"/>
      <c r="AC95" s="2154"/>
    </row>
    <row r="96" spans="1:29" s="1334" customFormat="1" ht="15.75" thickBot="1">
      <c r="A96" s="686"/>
      <c r="B96" s="680"/>
      <c r="C96" s="678">
        <v>100</v>
      </c>
      <c r="D96" s="678">
        <f>C96-$K27</f>
        <v>100</v>
      </c>
      <c r="E96" s="678">
        <f>D96-$K27</f>
        <v>100</v>
      </c>
      <c r="F96" s="678">
        <f>E96-$K27</f>
        <v>100</v>
      </c>
      <c r="G96" s="678">
        <f>F96-$K27</f>
        <v>100</v>
      </c>
      <c r="H96" s="682"/>
      <c r="I96" s="682"/>
      <c r="J96" s="682"/>
      <c r="K96" s="682"/>
      <c r="L96" s="682"/>
      <c r="M96" s="2553"/>
      <c r="N96" s="2151"/>
      <c r="O96" s="2151"/>
      <c r="P96" s="2152"/>
      <c r="Q96" s="2153"/>
      <c r="R96" s="2154"/>
      <c r="S96" s="2154"/>
      <c r="T96" s="2154"/>
      <c r="U96" s="2154"/>
      <c r="V96" s="2154"/>
      <c r="W96" s="2154"/>
      <c r="X96" s="2154"/>
      <c r="Y96" s="2154"/>
      <c r="Z96" s="2154"/>
      <c r="AA96" s="2154"/>
      <c r="AB96" s="2154"/>
      <c r="AC96" s="2154"/>
    </row>
    <row r="97" spans="1:29" ht="15.75" thickTop="1">
      <c r="A97" s="668"/>
      <c r="B97" s="672" t="str">
        <f>B29</f>
        <v>临街状况</v>
      </c>
      <c r="C97" s="673" t="s">
        <v>589</v>
      </c>
      <c r="D97" s="673" t="s">
        <v>590</v>
      </c>
      <c r="E97" s="673" t="s">
        <v>591</v>
      </c>
      <c r="F97" s="673" t="s">
        <v>592</v>
      </c>
      <c r="G97" s="673"/>
      <c r="H97" s="673"/>
      <c r="I97" s="673"/>
      <c r="J97" s="673"/>
      <c r="K97" s="674"/>
      <c r="L97" s="675"/>
      <c r="M97" s="676"/>
      <c r="N97" s="2148"/>
      <c r="O97" s="2148"/>
      <c r="P97" s="2149"/>
      <c r="Q97" s="2142"/>
      <c r="R97" s="2129"/>
      <c r="S97" s="2129"/>
      <c r="T97" s="2129"/>
      <c r="U97" s="2129"/>
      <c r="V97" s="2129"/>
      <c r="W97" s="2129"/>
      <c r="X97" s="2129"/>
      <c r="Y97" s="2129"/>
      <c r="Z97" s="2129"/>
      <c r="AA97" s="2129"/>
      <c r="AB97" s="2129"/>
      <c r="AC97" s="2129"/>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8"/>
      <c r="B99" s="672" t="s">
        <v>548</v>
      </c>
      <c r="C99" s="687"/>
      <c r="D99" s="687"/>
      <c r="E99" s="687"/>
      <c r="F99" s="687"/>
      <c r="G99" s="687"/>
      <c r="H99" s="717"/>
      <c r="I99" s="717"/>
      <c r="J99" s="717"/>
      <c r="K99" s="718"/>
      <c r="L99" s="719"/>
      <c r="M99" s="720"/>
      <c r="N99" s="2148"/>
      <c r="O99" s="2148"/>
      <c r="P99" s="2149"/>
      <c r="Q99" s="2142"/>
      <c r="R99" s="2129"/>
      <c r="S99" s="2129"/>
      <c r="T99" s="2129"/>
      <c r="U99" s="2129"/>
      <c r="V99" s="2129"/>
      <c r="W99" s="2129"/>
      <c r="X99" s="2129"/>
      <c r="Y99" s="2129"/>
      <c r="Z99" s="2129"/>
      <c r="AA99" s="2129"/>
      <c r="AB99" s="2129"/>
      <c r="AC99" s="2129"/>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8"/>
      <c r="B101" s="672" t="s">
        <v>549</v>
      </c>
      <c r="C101" s="717"/>
      <c r="D101" s="717"/>
      <c r="E101" s="717"/>
      <c r="F101" s="717"/>
      <c r="G101" s="717"/>
      <c r="H101" s="717"/>
      <c r="I101" s="717"/>
      <c r="J101" s="717"/>
      <c r="K101" s="718"/>
      <c r="L101" s="719"/>
      <c r="M101" s="720"/>
      <c r="N101" s="2148"/>
      <c r="O101" s="2148"/>
      <c r="P101" s="2149"/>
      <c r="Q101" s="2142"/>
      <c r="R101" s="2129"/>
      <c r="S101" s="2129"/>
      <c r="T101" s="2129"/>
      <c r="U101" s="2129"/>
      <c r="V101" s="2129"/>
      <c r="W101" s="2129"/>
      <c r="X101" s="2129"/>
      <c r="Y101" s="2129"/>
      <c r="Z101" s="2129"/>
      <c r="AA101" s="2129"/>
      <c r="AB101" s="2129"/>
      <c r="AC101" s="2129"/>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8"/>
      <c r="B103" s="680">
        <f>B33</f>
        <v>111</v>
      </c>
      <c r="C103" s="687"/>
      <c r="D103" s="687"/>
      <c r="E103" s="687"/>
      <c r="F103" s="687"/>
      <c r="G103" s="721"/>
      <c r="H103" s="721"/>
      <c r="I103" s="721"/>
      <c r="J103" s="721"/>
      <c r="K103" s="722"/>
      <c r="L103" s="723"/>
      <c r="M103" s="724"/>
      <c r="N103" s="2148"/>
      <c r="O103" s="2148"/>
      <c r="P103" s="2149"/>
      <c r="Q103" s="2142"/>
      <c r="R103" s="2129"/>
      <c r="S103" s="2129"/>
      <c r="T103" s="2129"/>
      <c r="U103" s="2129"/>
      <c r="V103" s="2129"/>
      <c r="W103" s="2129"/>
      <c r="X103" s="2129"/>
      <c r="Y103" s="2129"/>
      <c r="Z103" s="2129"/>
      <c r="AA103" s="2129"/>
      <c r="AB103" s="2129"/>
      <c r="AC103" s="2129"/>
    </row>
    <row r="104" spans="1:29" ht="15.75" thickBot="1">
      <c r="A104" s="668"/>
      <c r="B104" s="698"/>
      <c r="C104" s="691"/>
      <c r="D104" s="670"/>
      <c r="E104" s="670"/>
      <c r="F104" s="670"/>
      <c r="G104" s="725"/>
      <c r="H104" s="725"/>
      <c r="I104" s="725"/>
      <c r="J104" s="725"/>
      <c r="K104" s="725"/>
      <c r="L104" s="725"/>
      <c r="M104" s="726"/>
      <c r="N104" s="2150"/>
      <c r="O104" s="2150"/>
      <c r="P104" s="2149"/>
      <c r="Q104" s="2142"/>
      <c r="R104" s="2129"/>
      <c r="S104" s="2129"/>
      <c r="T104" s="2129"/>
      <c r="U104" s="2129"/>
      <c r="V104" s="2129"/>
      <c r="W104" s="2129"/>
      <c r="X104" s="2129"/>
      <c r="Y104" s="2129"/>
      <c r="Z104" s="2129"/>
      <c r="AA104" s="2129"/>
      <c r="AB104" s="2129"/>
      <c r="AC104" s="2129"/>
    </row>
    <row r="105" spans="1:29" ht="15" thickTop="1">
      <c r="A105" s="586"/>
      <c r="B105" s="672">
        <f>B34</f>
        <v>111</v>
      </c>
      <c r="C105" s="687"/>
      <c r="D105" s="687"/>
      <c r="E105" s="687"/>
      <c r="F105" s="687"/>
      <c r="G105" s="717"/>
      <c r="H105" s="717"/>
      <c r="I105" s="717"/>
      <c r="J105" s="717"/>
      <c r="K105" s="718"/>
      <c r="L105" s="719"/>
      <c r="M105" s="720"/>
      <c r="N105" s="2148"/>
      <c r="O105" s="2148"/>
      <c r="P105" s="2149"/>
      <c r="Q105" s="2142"/>
      <c r="R105" s="2129"/>
      <c r="S105" s="2129"/>
      <c r="T105" s="2129"/>
      <c r="U105" s="2129"/>
      <c r="V105" s="2129"/>
      <c r="W105" s="2129"/>
      <c r="X105" s="2129"/>
      <c r="Y105" s="2129"/>
      <c r="Z105" s="2129"/>
      <c r="AA105" s="2129"/>
      <c r="AB105" s="2129"/>
      <c r="AC105" s="2129"/>
    </row>
    <row r="106" spans="1:29" ht="15.75" thickBot="1">
      <c r="A106" s="668"/>
      <c r="B106" s="677"/>
      <c r="C106" s="691"/>
      <c r="D106" s="691"/>
      <c r="E106" s="691"/>
      <c r="F106" s="691"/>
      <c r="G106" s="670"/>
      <c r="H106" s="670"/>
      <c r="I106" s="670"/>
      <c r="J106" s="670"/>
      <c r="K106" s="670"/>
      <c r="L106" s="670"/>
      <c r="M106" s="671"/>
      <c r="N106" s="2150"/>
      <c r="O106" s="2150"/>
      <c r="P106" s="2149"/>
      <c r="Q106" s="2142"/>
      <c r="R106" s="2129"/>
      <c r="S106" s="2129"/>
      <c r="T106" s="2129"/>
      <c r="U106" s="2129"/>
      <c r="V106" s="2129"/>
      <c r="W106" s="2129"/>
      <c r="X106" s="2129"/>
      <c r="Y106" s="2129"/>
      <c r="Z106" s="2129"/>
      <c r="AA106" s="2129"/>
      <c r="AB106" s="2129"/>
      <c r="AC106" s="2129"/>
    </row>
    <row r="107" spans="1:29" s="1334" customFormat="1" ht="15" thickTop="1">
      <c r="A107" s="727"/>
      <c r="B107" s="728">
        <f>B35</f>
        <v>111</v>
      </c>
      <c r="C107" s="660"/>
      <c r="D107" s="660"/>
      <c r="E107" s="660"/>
      <c r="F107" s="660"/>
      <c r="G107" s="729"/>
      <c r="H107" s="729"/>
      <c r="I107" s="729"/>
      <c r="J107" s="730"/>
      <c r="K107" s="730"/>
      <c r="L107" s="731"/>
      <c r="M107" s="732"/>
      <c r="N107" s="2151"/>
      <c r="O107" s="2151"/>
      <c r="P107" s="2152"/>
      <c r="Q107" s="2153"/>
      <c r="R107" s="2154"/>
      <c r="S107" s="2154"/>
      <c r="T107" s="2154"/>
      <c r="U107" s="2154"/>
      <c r="V107" s="2154"/>
      <c r="W107" s="2154"/>
      <c r="X107" s="2154"/>
      <c r="Y107" s="2154"/>
      <c r="Z107" s="2154"/>
      <c r="AA107" s="2154"/>
      <c r="AB107" s="2154"/>
      <c r="AC107" s="2154"/>
    </row>
    <row r="108" spans="1:29" s="1334" customFormat="1" ht="15.75" thickBot="1">
      <c r="A108" s="686"/>
      <c r="B108" s="680"/>
      <c r="C108" s="699"/>
      <c r="D108" s="699"/>
      <c r="E108" s="699"/>
      <c r="F108" s="699"/>
      <c r="G108" s="591"/>
      <c r="H108" s="591"/>
      <c r="I108" s="591"/>
      <c r="J108" s="591"/>
      <c r="K108" s="591"/>
      <c r="L108" s="591"/>
      <c r="M108" s="733"/>
      <c r="N108" s="2150"/>
      <c r="O108" s="2150"/>
      <c r="P108" s="2152"/>
      <c r="Q108" s="2153"/>
      <c r="R108" s="2154"/>
      <c r="S108" s="2154"/>
      <c r="T108" s="2154"/>
      <c r="U108" s="2154"/>
      <c r="V108" s="2154"/>
      <c r="W108" s="2154"/>
      <c r="X108" s="2154"/>
      <c r="Y108" s="2154"/>
      <c r="Z108" s="2154"/>
      <c r="AA108" s="2154"/>
      <c r="AB108" s="2154"/>
      <c r="AC108" s="2154"/>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0" t="str">
        <f t="shared" si="25"/>
        <v>(含)-</v>
      </c>
      <c r="L109" s="3041" t="str">
        <f t="shared" si="25"/>
        <v>(含)-</v>
      </c>
      <c r="M109" s="3042"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8"/>
      <c r="B110" s="680"/>
      <c r="C110" s="729"/>
      <c r="D110" s="729"/>
      <c r="E110" s="729"/>
      <c r="F110" s="729"/>
      <c r="G110" s="729"/>
      <c r="H110" s="729"/>
      <c r="I110" s="729"/>
      <c r="J110" s="730"/>
      <c r="K110" s="730"/>
      <c r="L110" s="731"/>
      <c r="M110" s="732"/>
      <c r="N110" s="2148"/>
      <c r="O110" s="2148"/>
      <c r="P110" s="2149"/>
      <c r="Q110" s="2142"/>
      <c r="R110" s="2129"/>
      <c r="S110" s="2129"/>
      <c r="T110" s="2129"/>
      <c r="U110" s="2129"/>
      <c r="V110" s="2129"/>
      <c r="W110" s="2129"/>
      <c r="X110" s="2129"/>
      <c r="Y110" s="2129"/>
      <c r="Z110" s="2129"/>
      <c r="AA110" s="2129"/>
      <c r="AB110" s="2129"/>
      <c r="AC110" s="2129"/>
    </row>
    <row r="111" spans="1:29" ht="15.75" thickBot="1">
      <c r="A111" s="668"/>
      <c r="B111" s="677"/>
      <c r="C111" s="699"/>
      <c r="D111" s="725"/>
      <c r="E111" s="725"/>
      <c r="F111" s="725"/>
      <c r="G111" s="725"/>
      <c r="H111" s="725"/>
      <c r="I111" s="725"/>
      <c r="J111" s="725"/>
      <c r="K111" s="725"/>
      <c r="L111" s="725"/>
      <c r="M111" s="726"/>
      <c r="N111" s="2150"/>
      <c r="O111" s="2150"/>
      <c r="P111" s="2149"/>
      <c r="Q111" s="2142"/>
      <c r="R111" s="2129"/>
      <c r="S111" s="2129"/>
      <c r="T111" s="2129"/>
      <c r="U111" s="2129"/>
      <c r="V111" s="2129"/>
      <c r="W111" s="2129"/>
      <c r="X111" s="2129"/>
      <c r="Y111" s="2129"/>
      <c r="Z111" s="2129"/>
      <c r="AA111" s="2129"/>
      <c r="AB111" s="2129"/>
      <c r="AC111" s="2129"/>
    </row>
    <row r="112" spans="1:29" ht="15" thickTop="1">
      <c r="A112" s="734"/>
      <c r="B112" s="672" t="s">
        <v>594</v>
      </c>
      <c r="C112" s="717"/>
      <c r="D112" s="717"/>
      <c r="E112" s="717"/>
      <c r="F112" s="717"/>
      <c r="G112" s="717"/>
      <c r="H112" s="717"/>
      <c r="I112" s="717"/>
      <c r="J112" s="717"/>
      <c r="K112" s="718"/>
      <c r="L112" s="719"/>
      <c r="M112" s="720"/>
      <c r="N112" s="2148"/>
      <c r="O112" s="2148"/>
      <c r="P112" s="2149"/>
      <c r="Q112" s="2142"/>
      <c r="R112" s="2129"/>
      <c r="S112" s="2129"/>
      <c r="T112" s="2129"/>
      <c r="U112" s="2129"/>
      <c r="V112" s="2129"/>
      <c r="W112" s="2129"/>
      <c r="X112" s="2129"/>
      <c r="Y112" s="2129"/>
      <c r="Z112" s="2129"/>
      <c r="AA112" s="2129"/>
      <c r="AB112" s="2129"/>
      <c r="AC112" s="2129"/>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50"/>
      <c r="O113" s="2150"/>
      <c r="P113" s="2149"/>
      <c r="Q113" s="2142"/>
      <c r="R113" s="2129"/>
      <c r="S113" s="2129"/>
      <c r="T113" s="2129"/>
      <c r="U113" s="2129"/>
      <c r="V113" s="2129"/>
      <c r="W113" s="2129"/>
      <c r="X113" s="2129"/>
      <c r="Y113" s="2129"/>
      <c r="Z113" s="2129"/>
      <c r="AA113" s="2129"/>
      <c r="AB113" s="2129"/>
      <c r="AC113" s="2129"/>
    </row>
    <row r="114" spans="1:29" s="1334" customFormat="1" ht="15" thickTop="1">
      <c r="A114" s="727"/>
      <c r="B114" s="1880" t="s">
        <v>2425</v>
      </c>
      <c r="C114" s="1370"/>
      <c r="D114" s="1370"/>
      <c r="E114" s="1370"/>
      <c r="F114" s="1370"/>
      <c r="G114" s="1370"/>
      <c r="H114" s="717"/>
      <c r="I114" s="717"/>
      <c r="J114" s="717"/>
      <c r="K114" s="718"/>
      <c r="L114" s="719"/>
      <c r="M114" s="720"/>
      <c r="N114" s="2151"/>
      <c r="O114" s="2151"/>
      <c r="P114" s="2152"/>
      <c r="Q114" s="2153"/>
      <c r="R114" s="2154"/>
      <c r="S114" s="2154"/>
      <c r="T114" s="2154"/>
      <c r="U114" s="2154"/>
      <c r="V114" s="2154"/>
      <c r="W114" s="2154"/>
      <c r="X114" s="2154"/>
      <c r="Y114" s="2154"/>
      <c r="Z114" s="2154"/>
      <c r="AA114" s="2154"/>
      <c r="AB114" s="2154"/>
      <c r="AC114" s="2154"/>
    </row>
    <row r="115" spans="1:29" s="1334"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4"/>
      <c r="B116" s="672" t="s">
        <v>596</v>
      </c>
      <c r="C116" s="687"/>
      <c r="D116" s="687"/>
      <c r="E116" s="717"/>
      <c r="F116" s="717"/>
      <c r="G116" s="717"/>
      <c r="H116" s="717"/>
      <c r="I116" s="717"/>
      <c r="J116" s="717"/>
      <c r="K116" s="718"/>
      <c r="L116" s="719"/>
      <c r="M116" s="720"/>
      <c r="N116" s="2148"/>
      <c r="O116" s="2148"/>
      <c r="P116" s="2149"/>
      <c r="Q116" s="2142"/>
      <c r="R116" s="2129"/>
      <c r="S116" s="2129"/>
      <c r="T116" s="2129"/>
      <c r="U116" s="2129"/>
      <c r="V116" s="2129"/>
      <c r="W116" s="2129"/>
      <c r="X116" s="2129"/>
      <c r="Y116" s="2129"/>
      <c r="Z116" s="2129"/>
      <c r="AA116" s="2129"/>
      <c r="AB116" s="2129"/>
      <c r="AC116" s="2129"/>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4"/>
      <c r="B118" s="672">
        <f>B40</f>
        <v>111</v>
      </c>
      <c r="C118" s="687"/>
      <c r="D118" s="687"/>
      <c r="E118" s="687"/>
      <c r="F118" s="687"/>
      <c r="G118" s="687"/>
      <c r="H118" s="717"/>
      <c r="I118" s="717"/>
      <c r="J118" s="717"/>
      <c r="K118" s="718"/>
      <c r="L118" s="719"/>
      <c r="M118" s="720"/>
      <c r="N118" s="2148"/>
      <c r="O118" s="2148"/>
      <c r="P118" s="2149"/>
      <c r="Q118" s="2142"/>
      <c r="R118" s="2129"/>
      <c r="S118" s="2129"/>
      <c r="T118" s="2129"/>
      <c r="U118" s="2129"/>
      <c r="V118" s="2129"/>
      <c r="W118" s="2129"/>
      <c r="X118" s="2129"/>
      <c r="Y118" s="2129"/>
      <c r="Z118" s="2129"/>
      <c r="AA118" s="2129"/>
      <c r="AB118" s="2129"/>
      <c r="AC118" s="2129"/>
    </row>
    <row r="119" spans="1:29" ht="15.75" thickBot="1">
      <c r="A119" s="668"/>
      <c r="B119" s="677"/>
      <c r="C119" s="691"/>
      <c r="D119" s="670"/>
      <c r="E119" s="670"/>
      <c r="F119" s="670"/>
      <c r="G119" s="670"/>
      <c r="H119" s="670"/>
      <c r="I119" s="670"/>
      <c r="J119" s="670"/>
      <c r="K119" s="670"/>
      <c r="L119" s="670"/>
      <c r="M119" s="671"/>
      <c r="N119" s="2150"/>
      <c r="O119" s="2150"/>
      <c r="P119" s="2149"/>
      <c r="Q119" s="2142"/>
      <c r="R119" s="2129"/>
      <c r="S119" s="2129"/>
      <c r="T119" s="2129"/>
      <c r="U119" s="2129"/>
      <c r="V119" s="2129"/>
      <c r="W119" s="2129"/>
      <c r="X119" s="2129"/>
      <c r="Y119" s="2129"/>
      <c r="Z119" s="2129"/>
      <c r="AA119" s="2129"/>
      <c r="AB119" s="2129"/>
      <c r="AC119" s="2129"/>
    </row>
    <row r="120" spans="1:29" ht="15" thickTop="1">
      <c r="A120" s="734"/>
      <c r="B120" s="672">
        <f>B41</f>
        <v>111</v>
      </c>
      <c r="C120" s="687"/>
      <c r="D120" s="687"/>
      <c r="E120" s="687"/>
      <c r="F120" s="687"/>
      <c r="G120" s="717"/>
      <c r="H120" s="717"/>
      <c r="I120" s="717"/>
      <c r="J120" s="717"/>
      <c r="K120" s="718"/>
      <c r="L120" s="719"/>
      <c r="M120" s="720"/>
      <c r="N120" s="2148"/>
      <c r="O120" s="2148"/>
      <c r="P120" s="2149"/>
      <c r="Q120" s="2142"/>
      <c r="R120" s="2129"/>
      <c r="S120" s="2129"/>
      <c r="T120" s="2129"/>
      <c r="U120" s="2129"/>
      <c r="V120" s="2129"/>
      <c r="W120" s="2129"/>
      <c r="X120" s="2129"/>
      <c r="Y120" s="2129"/>
      <c r="Z120" s="2129"/>
      <c r="AA120" s="2129"/>
      <c r="AB120" s="2129"/>
      <c r="AC120" s="2129"/>
    </row>
    <row r="121" spans="1:29" ht="15.75" thickBot="1">
      <c r="A121" s="668"/>
      <c r="B121" s="677"/>
      <c r="C121" s="691"/>
      <c r="D121" s="691"/>
      <c r="E121" s="691"/>
      <c r="F121" s="691"/>
      <c r="G121" s="670"/>
      <c r="H121" s="670"/>
      <c r="I121" s="670"/>
      <c r="J121" s="670"/>
      <c r="K121" s="670"/>
      <c r="L121" s="670"/>
      <c r="M121" s="671"/>
      <c r="N121" s="2150"/>
      <c r="O121" s="2150"/>
      <c r="P121" s="2149"/>
      <c r="Q121" s="2142"/>
      <c r="R121" s="2129"/>
      <c r="S121" s="2129"/>
      <c r="T121" s="2129"/>
      <c r="U121" s="2129"/>
      <c r="V121" s="2129"/>
      <c r="W121" s="2129"/>
      <c r="X121" s="2129"/>
      <c r="Y121" s="2129"/>
      <c r="Z121" s="2129"/>
      <c r="AA121" s="2129"/>
      <c r="AB121" s="2129"/>
      <c r="AC121" s="2129"/>
    </row>
    <row r="122" spans="1:29" s="1334" customFormat="1" ht="15" thickTop="1">
      <c r="A122" s="727"/>
      <c r="B122" s="672">
        <f>B42</f>
        <v>111</v>
      </c>
      <c r="C122" s="660"/>
      <c r="D122" s="660"/>
      <c r="E122" s="660"/>
      <c r="F122" s="660"/>
      <c r="G122" s="688"/>
      <c r="H122" s="688"/>
      <c r="I122" s="688"/>
      <c r="J122" s="688"/>
      <c r="K122" s="688"/>
      <c r="L122" s="689"/>
      <c r="M122" s="690"/>
      <c r="N122" s="2151"/>
      <c r="O122" s="2151"/>
      <c r="P122" s="2152"/>
      <c r="Q122" s="2153"/>
      <c r="R122" s="2154"/>
      <c r="S122" s="2154"/>
      <c r="T122" s="2154"/>
      <c r="U122" s="2154"/>
      <c r="V122" s="2154"/>
      <c r="W122" s="2154"/>
      <c r="X122" s="2154"/>
      <c r="Y122" s="2154"/>
      <c r="Z122" s="2154"/>
      <c r="AA122" s="2154"/>
      <c r="AB122" s="2154"/>
      <c r="AC122" s="2154"/>
    </row>
    <row r="123" spans="1:29" s="1334" customFormat="1" ht="15.75" thickBot="1">
      <c r="A123" s="697"/>
      <c r="B123" s="735"/>
      <c r="C123" s="699"/>
      <c r="D123" s="699"/>
      <c r="E123" s="699"/>
      <c r="F123" s="699"/>
      <c r="G123" s="725"/>
      <c r="H123" s="725"/>
      <c r="I123" s="725"/>
      <c r="J123" s="725"/>
      <c r="K123" s="725"/>
      <c r="L123" s="725"/>
      <c r="M123" s="726"/>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1694</v>
      </c>
      <c r="B1" s="1395"/>
      <c r="C1" s="1401" t="s">
        <v>2426</v>
      </c>
      <c r="D1" s="1507">
        <f>SUM(D29:D30,D33:D39)</f>
        <v>0</v>
      </c>
      <c r="E1" s="1401" t="s">
        <v>2427</v>
      </c>
      <c r="F1" s="2415"/>
      <c r="G1" s="1396"/>
      <c r="H1" s="1396"/>
      <c r="I1" s="1396"/>
      <c r="J1" s="1396"/>
      <c r="K1" s="1396"/>
      <c r="L1" s="1866" t="s">
        <v>2238</v>
      </c>
      <c r="M1" s="1867">
        <f>SUMPRODUCT((区片价!B5:B9=I2)*(区片价!C3:F3=E2)*(区片价!C5:F9))</f>
        <v>0</v>
      </c>
      <c r="N1" s="1868">
        <f>SUMPRODUCT((因素修正幅度!B5:B9=I2)*(因素修正幅度!C3:F3=E2)*(因素修正幅度!C5:F9))</f>
        <v>0</v>
      </c>
      <c r="O1" s="1396"/>
      <c r="P1" s="1396"/>
      <c r="Q1" s="2173"/>
      <c r="R1" s="2889" t="s">
        <v>2761</v>
      </c>
      <c r="S1" s="2889" t="s">
        <v>2762</v>
      </c>
      <c r="T1" s="2889" t="s">
        <v>2783</v>
      </c>
      <c r="U1" s="2889" t="s">
        <v>2784</v>
      </c>
      <c r="V1" s="2889" t="s">
        <v>2785</v>
      </c>
      <c r="W1" s="2173"/>
      <c r="X1" s="2173"/>
      <c r="Y1" s="2173"/>
      <c r="Z1" s="2173"/>
      <c r="AA1" s="2173"/>
      <c r="AB1" s="2173"/>
      <c r="AC1" s="2174"/>
    </row>
    <row r="2" spans="1:39" ht="15.75">
      <c r="A2" s="1401" t="s">
        <v>920</v>
      </c>
      <c r="B2" s="1037" t="e">
        <f>C26</f>
        <v>#DIV/0!</v>
      </c>
      <c r="C2" s="1402" t="s">
        <v>921</v>
      </c>
      <c r="D2" s="1403" t="s">
        <v>922</v>
      </c>
      <c r="E2" s="1404"/>
      <c r="F2" s="1403" t="s">
        <v>924</v>
      </c>
      <c r="G2" s="1636">
        <f>IF(E2="商业",项目基本情况!B43,IF(E2="办公",项目基本情况!C43,IF(E2="住宅",项目基本情况!D43,项目基本情况!E43)))</f>
        <v>0</v>
      </c>
      <c r="H2" s="1403" t="s">
        <v>926</v>
      </c>
      <c r="I2" s="1637">
        <f>IF(E2="商业",项目基本情况!B44,IF(E2="办公",项目基本情况!C44,IF(E2="住宅",项目基本情况!D44,项目基本情况!E44)))</f>
        <v>0</v>
      </c>
      <c r="J2" s="1405"/>
      <c r="K2" s="1405"/>
      <c r="L2" s="1869" t="s">
        <v>2239</v>
      </c>
      <c r="M2" s="1870">
        <f>SUMPRODUCT((区片价!B10:B28=I2)*(区片价!C3:F3=E2)*(区片价!C10:F28))</f>
        <v>0</v>
      </c>
      <c r="N2" s="1871">
        <f>SUMPRODUCT((因素修正幅度!B10:B28=I2)*(因素修正幅度!C3:F3=E2)*(因素修正幅度!C10:F28))</f>
        <v>0</v>
      </c>
      <c r="O2" s="1405"/>
      <c r="P2" s="1396"/>
      <c r="Q2" s="2173"/>
      <c r="R2" s="2890">
        <v>1</v>
      </c>
      <c r="S2" s="2890">
        <f>ROUND(IF(G3&gt;1,IF(R2&lt;7,SUMPRODUCT((B93:B98=R2)*(C92:N92=G2)*(C93:N98)),SUMIF(C92:N92,G2,C100:N100)),IF(R2&lt;7,SUMPRODUCT((B102:B107=R2)*(C92:N92=G2)*(C102:N107)),SUMIF(C92:N92,G2,C109:N109))),4)</f>
        <v>0</v>
      </c>
      <c r="T2" s="2890" t="e">
        <f>ROUND($C$5*$C$18*$C$19*$C$20*S2*$C$24,0)</f>
        <v>#DIV/0!</v>
      </c>
      <c r="U2" s="2879"/>
      <c r="V2" s="2890" t="e">
        <f>ROUND(T2*U2/10000,0)</f>
        <v>#DIV/0!</v>
      </c>
      <c r="W2" s="2173"/>
      <c r="X2" s="2173"/>
      <c r="Y2" s="2173"/>
      <c r="Z2" s="2173"/>
      <c r="AA2" s="2173"/>
      <c r="AB2" s="2173"/>
      <c r="AC2" s="2174"/>
    </row>
    <row r="3" spans="1:39" ht="15.75">
      <c r="A3" s="1406" t="s">
        <v>1687</v>
      </c>
      <c r="B3" s="1037" t="e">
        <f>ROUND(B2*10000/D1,0)</f>
        <v>#DIV/0!</v>
      </c>
      <c r="C3" s="1402" t="s">
        <v>927</v>
      </c>
      <c r="D3" s="1403" t="s">
        <v>928</v>
      </c>
      <c r="E3" s="1407"/>
      <c r="F3" s="1408"/>
      <c r="G3" s="1038">
        <f>IF(F3="宗地容积率",'数据-汇总表'!I4,IF(F3="估价对象容积率",'数据-汇总表'!I6,'数据-汇总表'!I7))</f>
        <v>4.8</v>
      </c>
      <c r="H3" s="1409" t="s">
        <v>929</v>
      </c>
      <c r="I3" s="1039">
        <v>8</v>
      </c>
      <c r="J3" s="1405" t="s">
        <v>930</v>
      </c>
      <c r="K3" s="1405"/>
      <c r="L3" s="1869" t="s">
        <v>2240</v>
      </c>
      <c r="M3" s="1870">
        <f>SUMPRODUCT((区片价!B29:B48=I2)*(区片价!C3:F3=E2)*(区片价!C29:F48))</f>
        <v>0</v>
      </c>
      <c r="N3" s="1871">
        <f>SUMPRODUCT((因素修正幅度!B29:B48=I2)*(因素修正幅度!C3:F3=E2)*(因素修正幅度!C29:F48))</f>
        <v>0</v>
      </c>
      <c r="O3" s="1405"/>
      <c r="P3" s="1396"/>
      <c r="Q3" s="2173"/>
      <c r="R3" s="2890">
        <v>2</v>
      </c>
      <c r="S3" s="2890">
        <f>ROUND(IF(G3&gt;1,IF(R3&lt;7,SUMPRODUCT((B93:B98=R3)*(C92:N92=G2)*(C93:N98)),SUMIF(C92:N92,G2,C100:N100)),IF(R3&lt;7,SUMPRODUCT((B102:B107=R3)*(C92:N92=G2)*(C102:N107)),SUMIF(C92:N92,G2,C109:N109))),4)</f>
        <v>0</v>
      </c>
      <c r="T3" s="2890" t="e">
        <f t="shared" ref="T3:T16" si="0">ROUND($C$5*$C$18*$C$19*$C$20*S3*$C$24,0)</f>
        <v>#DIV/0!</v>
      </c>
      <c r="U3" s="2879"/>
      <c r="V3" s="2890" t="e">
        <f t="shared" ref="V3:V16" si="1">ROUND(T3*U3/10000,0)</f>
        <v>#DIV/0!</v>
      </c>
      <c r="W3" s="2173"/>
      <c r="X3" s="2173"/>
      <c r="Y3" s="2173"/>
      <c r="Z3" s="2173"/>
      <c r="AA3" s="2173"/>
      <c r="AB3" s="2173"/>
      <c r="AC3" s="2174"/>
    </row>
    <row r="4" spans="1:39" ht="28.5">
      <c r="A4" s="1875" t="s">
        <v>2280</v>
      </c>
      <c r="B4" s="2416" t="e">
        <f>ROUND(B2*10000/F1,0)</f>
        <v>#DIV/0!</v>
      </c>
      <c r="C4" s="1878" t="s">
        <v>2254</v>
      </c>
      <c r="D4" s="1878" t="e">
        <f>ROUND(B2/(F1/666.67),0)</f>
        <v>#DIV/0!</v>
      </c>
      <c r="E4" s="1878" t="s">
        <v>2255</v>
      </c>
      <c r="F4" s="1876"/>
      <c r="G4" s="1876"/>
      <c r="H4" s="1876"/>
      <c r="I4" s="1876"/>
      <c r="J4" s="1877"/>
      <c r="K4" s="3145"/>
      <c r="L4" s="1869" t="s">
        <v>2241</v>
      </c>
      <c r="M4" s="1870">
        <f>SUMPRODUCT((区片价!B49:B75=I2)*(区片价!C3:F3=E2)*(区片价!C49:F75))</f>
        <v>0</v>
      </c>
      <c r="N4" s="1871">
        <f>SUMPRODUCT((因素修正幅度!B49:B75=I2)*(因素修正幅度!C3:F3=E2)*(因素修正幅度!C49:F75))</f>
        <v>0</v>
      </c>
      <c r="O4" s="3145"/>
      <c r="P4" s="1396"/>
      <c r="Q4" s="2173"/>
      <c r="R4" s="2890">
        <v>3</v>
      </c>
      <c r="S4" s="2890">
        <f>ROUND(IF(G3&gt;1,IF(R4&lt;7,SUMPRODUCT((B93:B98=R4)*(C92:N92=G2)*(C93:N98)),SUMIF(C92:N92,G2,C100:N100)),IF(R4&lt;7,SUMPRODUCT((B102:B107=R4)*(C92:N92=G2)*(C102:N107)),SUMIF(C92:N92,G2,C109:N109))),4)</f>
        <v>0</v>
      </c>
      <c r="T4" s="2890" t="e">
        <f t="shared" si="0"/>
        <v>#DIV/0!</v>
      </c>
      <c r="U4" s="2879"/>
      <c r="V4" s="2890" t="e">
        <f t="shared" si="1"/>
        <v>#DIV/0!</v>
      </c>
      <c r="W4" s="2173"/>
      <c r="X4" s="2173"/>
      <c r="Y4" s="2173"/>
      <c r="Z4" s="2173"/>
      <c r="AA4" s="2173"/>
      <c r="AB4" s="2173"/>
      <c r="AC4" s="2174"/>
    </row>
    <row r="5" spans="1:39" s="1416" customFormat="1" ht="15.75" thickBot="1">
      <c r="A5" s="1622" t="s">
        <v>1823</v>
      </c>
      <c r="B5" s="1410" t="s">
        <v>931</v>
      </c>
      <c r="C5" s="1040" t="e">
        <f>ROUND(IF(E2="商业",C6*C7+C16,(IF(E2="住宅",C6*C12+C16,C6+C16))),0)</f>
        <v>#DIV/0!</v>
      </c>
      <c r="D5" s="3068" t="e">
        <f>ROUND(C6+C16,0)</f>
        <v>#DIV/0!</v>
      </c>
      <c r="E5" s="3068"/>
      <c r="F5" s="1411"/>
      <c r="G5" s="1412"/>
      <c r="H5" s="1412"/>
      <c r="I5" s="1412"/>
      <c r="J5" s="1413"/>
      <c r="K5" s="3146"/>
      <c r="L5" s="1869" t="s">
        <v>2242</v>
      </c>
      <c r="M5" s="1870">
        <f>SUMPRODUCT((区片价!B76:B109=I2)*(区片价!C3:F3=E2)*(区片价!C76:F109))</f>
        <v>0</v>
      </c>
      <c r="N5" s="1871">
        <f>SUMPRODUCT((因素修正幅度!B76:B109=I2)*(因素修正幅度!C3:F3=E2)*(因素修正幅度!C76:F109))</f>
        <v>0</v>
      </c>
      <c r="O5" s="3146"/>
      <c r="P5" s="1579"/>
      <c r="Q5" s="2173"/>
      <c r="R5" s="2890">
        <v>4</v>
      </c>
      <c r="S5" s="2890">
        <f>ROUND(IF(G3&gt;1,IF(R5&lt;7,SUMPRODUCT((B93:B98=R5)*(C92:N92=G2)*(C93:N98)),SUMIF(C92:N92,G2,C100:N100)),IF(R5&lt;7,SUMPRODUCT((B102:B107=R5)*(C92:N92=G2)*(C102:N107)),SUMIF(C92:N92,G2,C109:N109))),4)</f>
        <v>0</v>
      </c>
      <c r="T5" s="2890" t="e">
        <f t="shared" si="0"/>
        <v>#DIV/0!</v>
      </c>
      <c r="U5" s="2879"/>
      <c r="V5" s="2890"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1870</v>
      </c>
      <c r="B6" s="1417" t="s">
        <v>931</v>
      </c>
      <c r="C6" s="1041">
        <f>SUMIF(L1:L12,基准地价!G2,M1:M12)</f>
        <v>0</v>
      </c>
      <c r="D6" s="1418" t="s">
        <v>1695</v>
      </c>
      <c r="E6" s="1419"/>
      <c r="F6" s="1419"/>
      <c r="G6" s="1420"/>
      <c r="H6" s="1420"/>
      <c r="I6" s="1420"/>
      <c r="J6" s="1421"/>
      <c r="K6" s="1451"/>
      <c r="L6" s="1869" t="s">
        <v>2243</v>
      </c>
      <c r="M6" s="1870">
        <f>SUMPRODUCT((区片价!B110:B157=I2)*(区片价!C3:F3=E2)*(区片价!C110:F157))</f>
        <v>0</v>
      </c>
      <c r="N6" s="1871">
        <f>SUMPRODUCT((因素修正幅度!B110:B157=I2)*(因素修正幅度!C3:F3=E2)*(因素修正幅度!C110:F157))</f>
        <v>0</v>
      </c>
      <c r="O6" s="1451"/>
      <c r="P6" s="1580"/>
      <c r="Q6" s="2173"/>
      <c r="R6" s="2890">
        <v>5</v>
      </c>
      <c r="S6" s="2890">
        <f>ROUND(IF(G3&gt;1,IF(R6&lt;7,SUMPRODUCT((B93:B98=R6)*(C92:N92=G2)*(C93:N98)),SUMIF(C92:N92,G2,C100:N100)),IF(R6&lt;7,SUMPRODUCT((B102:B107=R6)*(C92:N92=G2)*(C102:N107)),SUMIF(C92:N92,G2,C109:N109))),4)</f>
        <v>0</v>
      </c>
      <c r="T6" s="2890" t="e">
        <f t="shared" si="0"/>
        <v>#DIV/0!</v>
      </c>
      <c r="U6" s="2879"/>
      <c r="V6" s="2890" t="e">
        <f t="shared" si="1"/>
        <v>#DIV/0!</v>
      </c>
      <c r="W6" s="2173"/>
      <c r="X6" s="2173"/>
      <c r="Y6" s="2173"/>
      <c r="Z6" s="2173"/>
      <c r="AA6" s="2173"/>
      <c r="AB6" s="2173"/>
      <c r="AC6" s="2175"/>
      <c r="AD6" s="1414"/>
      <c r="AE6" s="1414"/>
      <c r="AF6" s="1414"/>
      <c r="AG6" s="1414"/>
      <c r="AH6" s="1414"/>
      <c r="AI6" s="1414"/>
      <c r="AJ6" s="1415"/>
    </row>
    <row r="7" spans="1:39" ht="24">
      <c r="A7" s="4054" t="str">
        <f>IF(E2="商业",IF(C8="不临58条商业街","",2),"")</f>
        <v/>
      </c>
      <c r="B7" s="1422" t="s">
        <v>932</v>
      </c>
      <c r="C7" s="1042" t="e">
        <f>IF(C8="不临58条商业街",1,ROUND(1+(1.6*E8+1.2*E9+0.8*E10+0.4*E11)*C9,4))</f>
        <v>#DIV/0!</v>
      </c>
      <c r="D7" s="1423" t="s">
        <v>933</v>
      </c>
      <c r="E7" s="1043"/>
      <c r="F7" s="1424"/>
      <c r="G7" s="1425"/>
      <c r="H7" s="1425"/>
      <c r="I7" s="1425"/>
      <c r="J7" s="1426"/>
      <c r="K7" s="1451"/>
      <c r="L7" s="1869" t="s">
        <v>2244</v>
      </c>
      <c r="M7" s="1870">
        <f>SUMPRODUCT((区片价!B158:B205=I2)*(区片价!C3:F3=E2)*(区片价!C158:F205))</f>
        <v>0</v>
      </c>
      <c r="N7" s="1871">
        <f>SUMPRODUCT((因素修正幅度!B158:B205=I2)*(因素修正幅度!C3:F3=E2)*(因素修正幅度!C158:F205))</f>
        <v>0</v>
      </c>
      <c r="O7" s="1451"/>
      <c r="P7" s="1580"/>
      <c r="Q7" s="2173"/>
      <c r="R7" s="2890">
        <v>6</v>
      </c>
      <c r="S7" s="2890">
        <f>ROUND(IF(G3&gt;1,IF(R7&lt;7,SUMPRODUCT((B93:B98=R7)*(C92:N92=G2)*(C93:N98)),SUMIF(C92:N92,G2,C100:N100)),IF(R7&lt;7,SUMPRODUCT((B102:B107=R7)*(C92:N92=G2)*(C102:N107)),SUMIF(C92:N92,G2,C109:N109))),4)</f>
        <v>0</v>
      </c>
      <c r="T7" s="2890" t="e">
        <f t="shared" si="0"/>
        <v>#DIV/0!</v>
      </c>
      <c r="U7" s="2879"/>
      <c r="V7" s="2890" t="e">
        <f t="shared" si="1"/>
        <v>#DIV/0!</v>
      </c>
      <c r="W7" s="2888" t="s">
        <v>2764</v>
      </c>
      <c r="X7" s="2880">
        <f>G2</f>
        <v>0</v>
      </c>
      <c r="Y7" s="2880" t="s">
        <v>2765</v>
      </c>
      <c r="Z7" s="2881">
        <f>G3</f>
        <v>4.8</v>
      </c>
      <c r="AA7" s="2176"/>
      <c r="AB7" s="2176"/>
      <c r="AC7" s="2177"/>
      <c r="AD7" s="2882"/>
      <c r="AE7" s="2882"/>
      <c r="AF7" s="2882"/>
      <c r="AG7" s="2882"/>
      <c r="AH7" s="2882"/>
      <c r="AI7" s="2882"/>
      <c r="AJ7" s="2883"/>
    </row>
    <row r="8" spans="1:39" ht="15">
      <c r="A8" s="4055"/>
      <c r="B8" s="1409" t="s">
        <v>934</v>
      </c>
      <c r="C8" s="1515"/>
      <c r="D8" s="1044" t="s">
        <v>935</v>
      </c>
      <c r="E8" s="1045" t="e">
        <f>ROUND(C11/E7,4)</f>
        <v>#DIV/0!</v>
      </c>
      <c r="F8" s="1427" t="s">
        <v>936</v>
      </c>
      <c r="G8" s="1428"/>
      <c r="H8" s="1428"/>
      <c r="I8" s="1428"/>
      <c r="J8" s="1429"/>
      <c r="K8" s="1451"/>
      <c r="L8" s="1869" t="s">
        <v>2245</v>
      </c>
      <c r="M8" s="1870">
        <f>SUMPRODUCT((区片价!B206:B244=I2)*(区片价!C3:F3=E2)*(区片价!C206:F244))</f>
        <v>0</v>
      </c>
      <c r="N8" s="1871">
        <f>SUMPRODUCT((因素修正幅度!B206:B244=I2)*(因素修正幅度!C3:F3=E2)*(因素修正幅度!C206:F244))</f>
        <v>0</v>
      </c>
      <c r="O8" s="1451"/>
      <c r="P8" s="1396"/>
      <c r="Q8" s="2173"/>
      <c r="R8" s="2890">
        <v>7</v>
      </c>
      <c r="S8" s="2879"/>
      <c r="T8" s="2890" t="e">
        <f t="shared" si="0"/>
        <v>#DIV/0!</v>
      </c>
      <c r="U8" s="2879"/>
      <c r="V8" s="2890" t="e">
        <f t="shared" si="1"/>
        <v>#DIV/0!</v>
      </c>
      <c r="W8" s="4065" t="s">
        <v>2782</v>
      </c>
      <c r="X8" s="4066"/>
      <c r="Y8" s="1833" t="s">
        <v>2766</v>
      </c>
      <c r="Z8" s="1833" t="s">
        <v>2767</v>
      </c>
      <c r="AA8" s="1833" t="s">
        <v>2768</v>
      </c>
      <c r="AB8" s="1833" t="s">
        <v>2769</v>
      </c>
      <c r="AC8" s="1833" t="s">
        <v>2770</v>
      </c>
      <c r="AD8" s="1833" t="s">
        <v>2771</v>
      </c>
      <c r="AE8" s="1833" t="s">
        <v>2772</v>
      </c>
      <c r="AF8" s="1833" t="s">
        <v>2773</v>
      </c>
      <c r="AG8" s="1833" t="s">
        <v>2774</v>
      </c>
      <c r="AH8" s="1833" t="s">
        <v>2775</v>
      </c>
      <c r="AI8" s="1833" t="s">
        <v>2776</v>
      </c>
      <c r="AJ8" s="1833" t="s">
        <v>2777</v>
      </c>
    </row>
    <row r="9" spans="1:39" ht="15">
      <c r="A9" s="4055"/>
      <c r="B9" s="1409" t="s">
        <v>937</v>
      </c>
      <c r="C9" s="1046">
        <f>SUMIF(修正!C59:C119,C8,修正!E59:E119)</f>
        <v>0</v>
      </c>
      <c r="D9" s="1047" t="s">
        <v>938</v>
      </c>
      <c r="E9" s="1047" t="e">
        <f>ROUND(C11/E7,4)</f>
        <v>#DIV/0!</v>
      </c>
      <c r="F9" s="1427" t="s">
        <v>939</v>
      </c>
      <c r="G9" s="1428"/>
      <c r="H9" s="1428"/>
      <c r="I9" s="1428"/>
      <c r="J9" s="1429"/>
      <c r="K9" s="1451"/>
      <c r="L9" s="1869" t="s">
        <v>2246</v>
      </c>
      <c r="M9" s="1870">
        <f>SUMPRODUCT((区片价!B245:B289=I2)*(区片价!C3:F3=E2)*(区片价!C245:F289))</f>
        <v>0</v>
      </c>
      <c r="N9" s="1871">
        <f>SUMPRODUCT((因素修正幅度!B245:B289=I2)*(因素修正幅度!C3:F3=E2)*(因素修正幅度!C245:F289))</f>
        <v>0</v>
      </c>
      <c r="O9" s="1451"/>
      <c r="P9" s="1396"/>
      <c r="Q9" s="2173"/>
      <c r="R9" s="2890">
        <v>8</v>
      </c>
      <c r="S9" s="2879"/>
      <c r="T9" s="2890" t="e">
        <f t="shared" si="0"/>
        <v>#DIV/0!</v>
      </c>
      <c r="U9" s="2879"/>
      <c r="V9" s="2890" t="e">
        <f t="shared" si="1"/>
        <v>#DIV/0!</v>
      </c>
      <c r="W9" s="4064" t="s">
        <v>2778</v>
      </c>
      <c r="X9" s="2884" t="s">
        <v>2779</v>
      </c>
      <c r="Y9" s="3046"/>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4055"/>
      <c r="B10" s="1409" t="s">
        <v>940</v>
      </c>
      <c r="C10" s="1047">
        <f>SUMIF(修正!C59:C119,C8,修正!F59:F119)</f>
        <v>0</v>
      </c>
      <c r="D10" s="1047" t="s">
        <v>941</v>
      </c>
      <c r="E10" s="1047" t="e">
        <f>ROUND(C11/E7,4)</f>
        <v>#DIV/0!</v>
      </c>
      <c r="F10" s="1427" t="s">
        <v>942</v>
      </c>
      <c r="G10" s="1428"/>
      <c r="H10" s="1428"/>
      <c r="I10" s="1428"/>
      <c r="J10" s="1429"/>
      <c r="K10" s="1451"/>
      <c r="L10" s="1869" t="s">
        <v>2247</v>
      </c>
      <c r="M10" s="1870">
        <f>SUMPRODUCT((区片价!B290:B316=I2)*(区片价!C3:F3=E2)*(区片价!C290:F316))</f>
        <v>0</v>
      </c>
      <c r="N10" s="1871">
        <f>SUMPRODUCT((因素修正幅度!B290:B316=I2)*(因素修正幅度!C3:F3=E2)*(因素修正幅度!C290:F316))</f>
        <v>0</v>
      </c>
      <c r="O10" s="1451"/>
      <c r="P10" s="1396"/>
      <c r="Q10" s="2173"/>
      <c r="R10" s="2890">
        <v>9</v>
      </c>
      <c r="S10" s="2879"/>
      <c r="T10" s="2890" t="e">
        <f t="shared" si="0"/>
        <v>#DIV/0!</v>
      </c>
      <c r="U10" s="2879"/>
      <c r="V10" s="2890" t="e">
        <f t="shared" si="1"/>
        <v>#DIV/0!</v>
      </c>
      <c r="W10" s="4064"/>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4055"/>
      <c r="B11" s="1430" t="s">
        <v>943</v>
      </c>
      <c r="C11" s="1048">
        <f>C10/4</f>
        <v>0</v>
      </c>
      <c r="D11" s="1048" t="s">
        <v>944</v>
      </c>
      <c r="E11" s="1048" t="e">
        <f>ROUND(C11/E7,4)</f>
        <v>#DIV/0!</v>
      </c>
      <c r="F11" s="1431" t="s">
        <v>945</v>
      </c>
      <c r="G11" s="1432"/>
      <c r="H11" s="1432"/>
      <c r="I11" s="1432"/>
      <c r="J11" s="1433"/>
      <c r="K11" s="1451"/>
      <c r="L11" s="1869" t="s">
        <v>2248</v>
      </c>
      <c r="M11" s="1870">
        <f>SUMPRODUCT((区片价!B317:B337=I2)*(区片价!C3:F3=E2)*(区片价!C317:F337))</f>
        <v>0</v>
      </c>
      <c r="N11" s="1871">
        <f>SUMPRODUCT((因素修正幅度!B317:B337=I2)*(因素修正幅度!C3:F3=E2)*(因素修正幅度!C317:F337))</f>
        <v>0</v>
      </c>
      <c r="O11" s="1451"/>
      <c r="P11" s="1396"/>
      <c r="Q11" s="2173"/>
      <c r="R11" s="2890">
        <v>10</v>
      </c>
      <c r="S11" s="2879"/>
      <c r="T11" s="2890" t="e">
        <f t="shared" si="0"/>
        <v>#DIV/0!</v>
      </c>
      <c r="U11" s="2879"/>
      <c r="V11" s="2890" t="e">
        <f t="shared" si="1"/>
        <v>#DIV/0!</v>
      </c>
      <c r="W11" s="4064" t="s">
        <v>2780</v>
      </c>
      <c r="X11" s="1047" t="s">
        <v>2765</v>
      </c>
      <c r="Y11" s="1637">
        <f>$G$3</f>
        <v>4.8</v>
      </c>
      <c r="Z11" s="1637">
        <f t="shared" ref="Z11:AJ11" si="3">$G$3</f>
        <v>4.8</v>
      </c>
      <c r="AA11" s="1637">
        <f t="shared" si="3"/>
        <v>4.8</v>
      </c>
      <c r="AB11" s="1637">
        <f t="shared" si="3"/>
        <v>4.8</v>
      </c>
      <c r="AC11" s="1637">
        <f t="shared" si="3"/>
        <v>4.8</v>
      </c>
      <c r="AD11" s="1637">
        <f t="shared" si="3"/>
        <v>4.8</v>
      </c>
      <c r="AE11" s="1637">
        <f t="shared" si="3"/>
        <v>4.8</v>
      </c>
      <c r="AF11" s="1637">
        <f t="shared" si="3"/>
        <v>4.8</v>
      </c>
      <c r="AG11" s="1637">
        <f t="shared" si="3"/>
        <v>4.8</v>
      </c>
      <c r="AH11" s="1637">
        <f t="shared" si="3"/>
        <v>4.8</v>
      </c>
      <c r="AI11" s="1637">
        <f t="shared" si="3"/>
        <v>4.8</v>
      </c>
      <c r="AJ11" s="1637">
        <f t="shared" si="3"/>
        <v>4.8</v>
      </c>
    </row>
    <row r="12" spans="1:39" ht="25.5" thickBot="1">
      <c r="A12" s="4054" t="s">
        <v>1871</v>
      </c>
      <c r="B12" s="1434" t="s">
        <v>946</v>
      </c>
      <c r="C12" s="1042">
        <f>ROUND(C15*D15*E15*F15*G15*H15*I15*J15,4)</f>
        <v>1</v>
      </c>
      <c r="D12" s="1435" t="s">
        <v>947</v>
      </c>
      <c r="E12" s="1436"/>
      <c r="F12" s="1436"/>
      <c r="G12" s="1437"/>
      <c r="H12" s="1437"/>
      <c r="I12" s="1437"/>
      <c r="J12" s="1438"/>
      <c r="K12" s="1451"/>
      <c r="L12" s="1872" t="s">
        <v>2249</v>
      </c>
      <c r="M12" s="1873">
        <f>SUMPRODUCT((区片价!B338:B344=I2)*(区片价!C3:F3=E2)*(区片价!C338:F344))</f>
        <v>0</v>
      </c>
      <c r="N12" s="1874">
        <f>SUMPRODUCT((因素修正幅度!B338:B344=I2)*(因素修正幅度!C3:F3=E2)*(因素修正幅度!C338:F344))</f>
        <v>0</v>
      </c>
      <c r="O12" s="1451"/>
      <c r="P12" s="1396"/>
      <c r="Q12" s="2173"/>
      <c r="R12" s="2890">
        <v>11</v>
      </c>
      <c r="S12" s="2879"/>
      <c r="T12" s="2890" t="e">
        <f t="shared" si="0"/>
        <v>#DIV/0!</v>
      </c>
      <c r="U12" s="2879"/>
      <c r="V12" s="2890" t="e">
        <f t="shared" si="1"/>
        <v>#DIV/0!</v>
      </c>
      <c r="W12" s="4064"/>
      <c r="X12" s="2887" t="s">
        <v>2781</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4056"/>
      <c r="B13" s="1439" t="s">
        <v>1696</v>
      </c>
      <c r="C13" s="1440" t="s">
        <v>1697</v>
      </c>
      <c r="D13" s="1084" t="s">
        <v>1698</v>
      </c>
      <c r="E13" s="1084" t="s">
        <v>1699</v>
      </c>
      <c r="F13" s="1441" t="s">
        <v>948</v>
      </c>
      <c r="G13" s="1442" t="s">
        <v>1642</v>
      </c>
      <c r="H13" s="1443" t="s">
        <v>1642</v>
      </c>
      <c r="I13" s="1444" t="s">
        <v>1642</v>
      </c>
      <c r="J13" s="1445" t="s">
        <v>1642</v>
      </c>
      <c r="K13" s="3161"/>
      <c r="L13" s="3161"/>
      <c r="M13" s="3161"/>
      <c r="N13" s="3161"/>
      <c r="O13" s="3161"/>
      <c r="P13" s="1396"/>
      <c r="Q13" s="2173"/>
      <c r="R13" s="2890">
        <v>12</v>
      </c>
      <c r="S13" s="2879"/>
      <c r="T13" s="2890" t="e">
        <f t="shared" si="0"/>
        <v>#DIV/0!</v>
      </c>
      <c r="U13" s="2879"/>
      <c r="V13" s="2890" t="e">
        <f t="shared" si="1"/>
        <v>#DIV/0!</v>
      </c>
      <c r="W13" s="4064"/>
      <c r="X13" s="2887"/>
      <c r="Y13" s="2886">
        <f>(-0.163*(Y12^2)-0.59*Y12+7617)*(10^(-4))/Y11</f>
        <v>0.15868750000000001</v>
      </c>
      <c r="Z13" s="2886">
        <f t="shared" ref="Z13:AJ13" si="5">(-0.163*(Z12^2)-0.59*Z12+7617)*(10^(-4))/Z11</f>
        <v>0.15868750000000001</v>
      </c>
      <c r="AA13" s="2886">
        <f t="shared" si="5"/>
        <v>0.15868750000000001</v>
      </c>
      <c r="AB13" s="2886">
        <f t="shared" si="5"/>
        <v>0.15868750000000001</v>
      </c>
      <c r="AC13" s="2886">
        <f t="shared" si="5"/>
        <v>0.15868750000000001</v>
      </c>
      <c r="AD13" s="2886">
        <f t="shared" si="5"/>
        <v>0.15868750000000001</v>
      </c>
      <c r="AE13" s="2886">
        <f t="shared" si="5"/>
        <v>0.15868750000000001</v>
      </c>
      <c r="AF13" s="2886">
        <f t="shared" si="5"/>
        <v>0.15868750000000001</v>
      </c>
      <c r="AG13" s="2886">
        <f t="shared" si="5"/>
        <v>0.15868750000000001</v>
      </c>
      <c r="AH13" s="2886">
        <f t="shared" si="5"/>
        <v>0.15868750000000001</v>
      </c>
      <c r="AI13" s="2886">
        <f t="shared" si="5"/>
        <v>0.15868750000000001</v>
      </c>
      <c r="AJ13" s="2886">
        <f t="shared" si="5"/>
        <v>0.15868750000000001</v>
      </c>
    </row>
    <row r="14" spans="1:39" ht="12.75" customHeight="1">
      <c r="A14" s="4056"/>
      <c r="B14" s="1446"/>
      <c r="C14" s="1447"/>
      <c r="D14" s="1448"/>
      <c r="E14" s="1448"/>
      <c r="F14" s="1449"/>
      <c r="G14" s="1450" t="s">
        <v>949</v>
      </c>
      <c r="H14" s="1451"/>
      <c r="I14" s="1452"/>
      <c r="J14" s="1453"/>
      <c r="K14" s="3147"/>
      <c r="L14" s="3147"/>
      <c r="M14" s="3147"/>
      <c r="N14" s="3147"/>
      <c r="O14" s="3147"/>
      <c r="P14" s="1396"/>
      <c r="Q14" s="2173"/>
      <c r="R14" s="2890">
        <v>13</v>
      </c>
      <c r="S14" s="2879"/>
      <c r="T14" s="2890" t="e">
        <f t="shared" si="0"/>
        <v>#DIV/0!</v>
      </c>
      <c r="U14" s="2879"/>
      <c r="V14" s="2890" t="e">
        <f t="shared" si="1"/>
        <v>#DIV/0!</v>
      </c>
      <c r="W14" s="2173"/>
      <c r="X14" s="2173"/>
      <c r="Y14" s="2173"/>
      <c r="Z14" s="2173"/>
      <c r="AA14" s="2173"/>
      <c r="AB14" s="2173"/>
      <c r="AC14" s="2174"/>
    </row>
    <row r="15" spans="1:39" ht="13.5" customHeight="1" thickBot="1">
      <c r="A15" s="4057"/>
      <c r="B15" s="3166" t="s">
        <v>1700</v>
      </c>
      <c r="C15" s="1048">
        <f>IF(C14="有",1.1,1)</f>
        <v>1</v>
      </c>
      <c r="D15" s="1048">
        <f>IF(D14="有",1.1,1)</f>
        <v>1</v>
      </c>
      <c r="E15" s="1048">
        <f>IF(E14="有",1.1,1)</f>
        <v>1</v>
      </c>
      <c r="F15" s="1048">
        <f>IF(F14="500米范围内",1.2,IF(F14="500-1000米",1.1,1))</f>
        <v>1</v>
      </c>
      <c r="G15" s="3158">
        <v>1</v>
      </c>
      <c r="H15" s="3158">
        <v>1</v>
      </c>
      <c r="I15" s="3158">
        <v>1</v>
      </c>
      <c r="J15" s="3159">
        <v>1</v>
      </c>
      <c r="K15" s="3162"/>
      <c r="L15" s="3162"/>
      <c r="M15" s="3162"/>
      <c r="N15" s="3162"/>
      <c r="O15" s="3162"/>
      <c r="P15" s="1396"/>
      <c r="Q15" s="2173"/>
      <c r="R15" s="2890">
        <v>14</v>
      </c>
      <c r="S15" s="2879"/>
      <c r="T15" s="2890" t="e">
        <f t="shared" si="0"/>
        <v>#DIV/0!</v>
      </c>
      <c r="U15" s="2879"/>
      <c r="V15" s="2890" t="e">
        <f t="shared" si="1"/>
        <v>#DIV/0!</v>
      </c>
      <c r="W15" s="2173"/>
      <c r="X15" s="2173"/>
      <c r="Y15" s="2173"/>
      <c r="Z15" s="2173"/>
      <c r="AA15" s="2173"/>
      <c r="AB15" s="2173"/>
      <c r="AC15" s="2174"/>
    </row>
    <row r="16" spans="1:39" ht="24.6" customHeight="1">
      <c r="A16" s="4054" t="s">
        <v>1838</v>
      </c>
      <c r="B16" s="1422" t="s">
        <v>950</v>
      </c>
      <c r="C16" s="1051" t="e">
        <f>ROUND(IF(F17="与级别开发程度一致",0,(G17-E17)/C17),0)</f>
        <v>#DIV/0!</v>
      </c>
      <c r="D16" s="4072" t="s">
        <v>954</v>
      </c>
      <c r="E16" s="4073"/>
      <c r="F16" s="4072" t="s">
        <v>951</v>
      </c>
      <c r="G16" s="4073"/>
      <c r="H16" s="1454"/>
      <c r="I16" s="1454"/>
      <c r="J16" s="1454"/>
      <c r="K16" s="1454"/>
      <c r="L16" s="1454"/>
      <c r="M16" s="1454"/>
      <c r="N16" s="1454"/>
      <c r="O16" s="3171"/>
      <c r="P16" s="1396"/>
      <c r="Q16" s="2176"/>
      <c r="R16" s="2890">
        <v>15</v>
      </c>
      <c r="S16" s="2879"/>
      <c r="T16" s="2890" t="e">
        <f t="shared" si="0"/>
        <v>#DIV/0!</v>
      </c>
      <c r="U16" s="2879"/>
      <c r="V16" s="2890" t="e">
        <f t="shared" si="1"/>
        <v>#DIV/0!</v>
      </c>
      <c r="W16" s="2176"/>
      <c r="X16" s="2176"/>
      <c r="Y16" s="2176"/>
      <c r="Z16" s="2176"/>
      <c r="AA16" s="2176"/>
      <c r="AB16" s="2176"/>
      <c r="AC16" s="2177"/>
    </row>
    <row r="17" spans="1:40" ht="13.5" thickBot="1">
      <c r="A17" s="4058"/>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5">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733" t="s">
        <v>1829</v>
      </c>
      <c r="B18" s="3167" t="s">
        <v>955</v>
      </c>
      <c r="C18" s="3168">
        <f>SUMIF(修正!C18:C39,E3,修正!E18:E39)</f>
        <v>0</v>
      </c>
      <c r="D18" s="3169"/>
      <c r="E18" s="3170"/>
      <c r="F18" s="3152"/>
      <c r="G18" s="3146"/>
      <c r="H18" s="3146"/>
      <c r="I18" s="3146"/>
      <c r="J18" s="3160"/>
      <c r="K18" s="3146"/>
      <c r="L18" s="3146"/>
      <c r="M18" s="3146"/>
      <c r="N18" s="3146"/>
      <c r="O18" s="3146"/>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1835</v>
      </c>
      <c r="B19" s="1457" t="s">
        <v>956</v>
      </c>
      <c r="C19" s="1052" t="e">
        <f>ROUND(IF(H19="按公示增长率计算",SUMPRODUCT((地价!A3:A27=YEAR(G19)&amp;"-"&amp;ROUNDUP(MONTH(G19)/3,0))*(地价!X2:AB2=E2)*(地价!X3:AB27)),IF(H19="地价指数",M20/M19,(1+I19)^O19)),4)</f>
        <v>#VALUE!</v>
      </c>
      <c r="D19" s="1461" t="s">
        <v>957</v>
      </c>
      <c r="E19" s="1053">
        <v>41640</v>
      </c>
      <c r="F19" s="1461" t="s">
        <v>958</v>
      </c>
      <c r="G19" s="1054">
        <f>'数据-取费表'!B2</f>
        <v>43647</v>
      </c>
      <c r="H19" s="1462"/>
      <c r="I19" s="2739" t="str">
        <f>IF(H19="季度增幅（自定义）",SUMIF(N21:N24,E2,O21:O24),"")</f>
        <v/>
      </c>
      <c r="J19" s="1458"/>
      <c r="K19" s="3146"/>
      <c r="L19" s="2989" t="s">
        <v>2840</v>
      </c>
      <c r="M19" s="2990">
        <f>ROUND(SUMIF(地价!B2:F2,E2,地价!B27:F27),0)</f>
        <v>0</v>
      </c>
      <c r="N19" s="2741" t="s">
        <v>1676</v>
      </c>
      <c r="O19" s="2740">
        <f>ROUNDDOWN(DATEDIF(E19,G19,"M")/3,0)</f>
        <v>22</v>
      </c>
      <c r="P19" s="1581"/>
      <c r="Q19" s="2878"/>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733" t="s">
        <v>1836</v>
      </c>
      <c r="B20" s="2734" t="s">
        <v>971</v>
      </c>
      <c r="C20" s="2735" t="e">
        <f>ROUND(POWER(1+G20,J20-I20)*(POWER(1+G20,I20)-1)/(POWER(1+G20,J20)-1),4)</f>
        <v>#DIV/0!</v>
      </c>
      <c r="D20" s="2736" t="s">
        <v>972</v>
      </c>
      <c r="E20" s="3043">
        <f ca="1">存贷款利率!I4/100</f>
        <v>4.3499999999999997E-2</v>
      </c>
      <c r="F20" s="2736" t="s">
        <v>973</v>
      </c>
      <c r="G20" s="2737">
        <f>SUMIF(M26:P26,E2,M28:P28)</f>
        <v>0</v>
      </c>
      <c r="H20" s="2736" t="s">
        <v>974</v>
      </c>
      <c r="I20" s="2732" t="e">
        <f>SUMIF('数据-取费表'!C6:C15,E2,'数据-取费表'!F6:F15)/COUNTIF('数据-取费表'!C6:C15,E2)</f>
        <v>#DIV/0!</v>
      </c>
      <c r="J20" s="2738">
        <f>IF(E2="住宅",70,IF(E2="商业",40,50))</f>
        <v>50</v>
      </c>
      <c r="K20" s="3148"/>
      <c r="L20" s="2991" t="s">
        <v>2841</v>
      </c>
      <c r="M20" s="3155">
        <f>ROUND(SUMPRODUCT((地价!A4:A27=YEAR(G19)&amp;"-"&amp;ROUNDUP(MONTH(G19)/3,0))*(地价!B2:F2=E2)*(地价!B4:F27)),0)</f>
        <v>0</v>
      </c>
      <c r="N20" s="2744" t="s">
        <v>2644</v>
      </c>
      <c r="O20" s="2742" t="s">
        <v>2643</v>
      </c>
      <c r="P20" s="2743" t="s">
        <v>2649</v>
      </c>
      <c r="Q20" s="2878"/>
      <c r="R20" s="2179"/>
      <c r="S20" s="2179"/>
      <c r="T20" s="2179"/>
      <c r="U20" s="2179"/>
      <c r="V20" s="2179"/>
      <c r="W20" s="2179"/>
      <c r="X20" s="2179"/>
      <c r="Y20" s="1459"/>
      <c r="Z20" s="1459"/>
      <c r="AA20" s="1459"/>
      <c r="AB20" s="1459"/>
      <c r="AC20" s="1459"/>
      <c r="AD20" s="1459"/>
    </row>
    <row r="21" spans="1:40" s="1416" customFormat="1" ht="14.25">
      <c r="A21" s="1626" t="s">
        <v>1837</v>
      </c>
      <c r="B21" s="1467" t="s">
        <v>2760</v>
      </c>
      <c r="C21" s="1153">
        <f>IF(B21="容积率修正",IF(G3&lt;=10,D22,J22),C23)</f>
        <v>0</v>
      </c>
      <c r="D21" s="1468"/>
      <c r="E21" s="1468"/>
      <c r="F21" s="1468"/>
      <c r="G21" s="1468"/>
      <c r="H21" s="1468"/>
      <c r="I21" s="1468"/>
      <c r="J21" s="1469"/>
      <c r="K21" s="3146"/>
      <c r="L21" s="1468"/>
      <c r="M21" s="1468"/>
      <c r="N21" s="1465" t="s">
        <v>975</v>
      </c>
      <c r="O21" s="1528"/>
      <c r="P21" s="2731">
        <f>SUMPRODUCT((地价!A3:A27=YEAR(G19)&amp;"-"&amp;ROUNDUP(MONTH(G19)/3,0))*(地价!AD2:AH2=N21)*(地价!AD3:AH27))</f>
        <v>1.44E-2</v>
      </c>
      <c r="Q21" s="2878"/>
      <c r="R21" s="2179"/>
      <c r="S21" s="2179"/>
      <c r="T21" s="2179"/>
      <c r="U21" s="2179"/>
      <c r="V21" s="2179"/>
      <c r="W21" s="2179"/>
      <c r="X21" s="2179"/>
      <c r="Y21" s="1398"/>
      <c r="Z21" s="1398"/>
      <c r="AA21" s="1398"/>
      <c r="AB21" s="1398"/>
      <c r="AC21" s="1459"/>
      <c r="AD21" s="1459"/>
    </row>
    <row r="22" spans="1:40" s="1416" customFormat="1" ht="14.25">
      <c r="A22" s="1627" t="s">
        <v>1870</v>
      </c>
      <c r="B22" s="1470" t="s">
        <v>976</v>
      </c>
      <c r="C22" s="1055" t="s">
        <v>1702</v>
      </c>
      <c r="D22" s="1055" t="b">
        <f>IF(E22=G22,F22,IF(G3&lt;=10,ROUND(F22+(H22-F22)*(G3-E22)/(G22-E22),4),"——"))</f>
        <v>0</v>
      </c>
      <c r="E22" s="1038">
        <f>ROUNDDOWN(G3,1)</f>
        <v>4.8</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4.8</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9"/>
      <c r="L22" s="1468"/>
      <c r="M22" s="1468"/>
      <c r="N22" s="1465" t="s">
        <v>978</v>
      </c>
      <c r="O22" s="1528"/>
      <c r="P22" s="2731">
        <f>SUMPRODUCT((地价!A3:A27=YEAR(G19)&amp;"-"&amp;ROUNDUP(MONTH(G19)/3,0))*(地价!AD2:AH2=N22)*(地价!AD3:AH27))</f>
        <v>1.44E-2</v>
      </c>
      <c r="Q22" s="2878"/>
      <c r="R22" s="2179"/>
      <c r="S22" s="2179"/>
      <c r="T22" s="2179"/>
      <c r="U22" s="2179"/>
      <c r="V22" s="2179"/>
      <c r="W22" s="2179"/>
      <c r="X22" s="2179"/>
      <c r="Y22" s="1459"/>
      <c r="Z22" s="1459"/>
      <c r="AA22" s="1459"/>
      <c r="AB22" s="1459"/>
      <c r="AC22" s="1459"/>
      <c r="AD22" s="1459"/>
    </row>
    <row r="23" spans="1:40" ht="15.75" thickBot="1">
      <c r="A23" s="1627" t="s">
        <v>1871</v>
      </c>
      <c r="B23" s="1470" t="s">
        <v>979</v>
      </c>
      <c r="C23" s="1056">
        <f>ROUND(IF(G3&gt;1,IF(I3&lt;7,SUMPRODUCT((B93:B98=I3)*(C92:N92=G2)*(C93:N98)),SUMIF(C92:N92,G2,C100:N100)),IF(I3&lt;7,SUMPRODUCT((B102:B107=I3)*(C92:N92=G2)*(C102:N107)),SUMIF(C92:N92,G2,C109:N109))),4)</f>
        <v>0</v>
      </c>
      <c r="D23" s="1516"/>
      <c r="E23" s="1516"/>
      <c r="F23" s="1517"/>
      <c r="G23" s="1518"/>
      <c r="H23" s="1519"/>
      <c r="I23" s="1520"/>
      <c r="J23" s="1520"/>
      <c r="K23" s="3150"/>
      <c r="L23" s="1396"/>
      <c r="M23" s="1396"/>
      <c r="N23" s="1465" t="s">
        <v>923</v>
      </c>
      <c r="O23" s="1528"/>
      <c r="P23" s="2731">
        <f>SUMPRODUCT((地价!A3:A27=YEAR(G19)&amp;"-"&amp;ROUNDUP(MONTH(G19)/3,0))*(地价!AD2:AH2=N23)*(地价!AD3:AH27))</f>
        <v>2.23E-2</v>
      </c>
      <c r="Q23" s="2878"/>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1872</v>
      </c>
      <c r="B24" s="1410" t="s">
        <v>980</v>
      </c>
      <c r="C24" s="1057">
        <f>SUMIF(A44:A87,E2,B44:B87)</f>
        <v>0</v>
      </c>
      <c r="D24" s="1521"/>
      <c r="E24" s="1522"/>
      <c r="F24" s="1522"/>
      <c r="G24" s="1522"/>
      <c r="H24" s="1522"/>
      <c r="I24" s="1522"/>
      <c r="J24" s="1522"/>
      <c r="K24" s="3150"/>
      <c r="L24" s="1468"/>
      <c r="M24" s="1468"/>
      <c r="N24" s="1465" t="s">
        <v>981</v>
      </c>
      <c r="O24" s="3154"/>
      <c r="P24" s="2731">
        <f>SUMPRODUCT((地价!A3:A27=YEAR(G19)&amp;"-"&amp;ROUNDUP(MONTH(G19)/3,0))*(地价!AD2:AH2=N24)*(地价!AD3:AH27))</f>
        <v>1.4E-2</v>
      </c>
      <c r="Q24" s="2878"/>
      <c r="R24" s="2179"/>
      <c r="S24" s="2179"/>
      <c r="T24" s="2179"/>
      <c r="U24" s="2179"/>
      <c r="V24" s="2179"/>
      <c r="W24" s="2179"/>
      <c r="X24" s="2179"/>
      <c r="Y24" s="1459"/>
      <c r="Z24" s="1459"/>
      <c r="AA24" s="1459"/>
      <c r="AB24" s="1459"/>
      <c r="AC24" s="1459"/>
      <c r="AD24" s="1459"/>
    </row>
    <row r="25" spans="1:40" ht="15" thickBot="1">
      <c r="A25" s="1625" t="s">
        <v>1873</v>
      </c>
      <c r="B25" s="1472" t="s">
        <v>982</v>
      </c>
      <c r="C25" s="1473"/>
      <c r="D25" s="1425"/>
      <c r="E25" s="1425"/>
      <c r="F25" s="1474"/>
      <c r="G25" s="1425"/>
      <c r="H25" s="1425"/>
      <c r="I25" s="1425"/>
      <c r="J25" s="1426"/>
      <c r="K25" s="1451"/>
      <c r="L25" s="2179"/>
      <c r="M25" s="2179"/>
      <c r="N25" s="3156" t="s">
        <v>2647</v>
      </c>
      <c r="O25" s="3157"/>
      <c r="P25" s="2410">
        <f>SUMPRODUCT((地价!A3:A27=YEAR(G19)&amp;"-"&amp;ROUNDUP(MONTH(G19)/3,0))*(地价!AD2:AH2=N25)*(地价!AD3:AH27))</f>
        <v>2.0400000000000001E-2</v>
      </c>
      <c r="Q25" s="2878"/>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986</v>
      </c>
      <c r="C26" s="1058" t="e">
        <f>E29+SUM(E33:E39)</f>
        <v>#DIV/0!</v>
      </c>
      <c r="D26" s="1476"/>
      <c r="E26" s="1451"/>
      <c r="F26" s="1477"/>
      <c r="G26" s="1451"/>
      <c r="H26" s="1451"/>
      <c r="I26" s="1451"/>
      <c r="J26" s="1478"/>
      <c r="K26" s="1451"/>
      <c r="L26" s="1582" t="s">
        <v>898</v>
      </c>
      <c r="M26" s="1423" t="s">
        <v>983</v>
      </c>
      <c r="N26" s="1423" t="s">
        <v>984</v>
      </c>
      <c r="O26" s="1423" t="s">
        <v>902</v>
      </c>
      <c r="P26" s="1463" t="s">
        <v>985</v>
      </c>
      <c r="Q26" s="2878"/>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988</v>
      </c>
      <c r="C27" s="1059" t="e">
        <f>E30+SUM(I33:I39)</f>
        <v>#DIV/0!</v>
      </c>
      <c r="D27" s="1480"/>
      <c r="E27" s="1481"/>
      <c r="F27" s="1482"/>
      <c r="G27" s="1481"/>
      <c r="H27" s="1481"/>
      <c r="I27" s="1481"/>
      <c r="J27" s="1483"/>
      <c r="K27" s="1451"/>
      <c r="L27" s="1455" t="s">
        <v>987</v>
      </c>
      <c r="M27" s="1046">
        <v>0.25</v>
      </c>
      <c r="N27" s="1046">
        <v>0.2</v>
      </c>
      <c r="O27" s="1046">
        <v>0.15</v>
      </c>
      <c r="P27" s="1525">
        <v>0.1</v>
      </c>
      <c r="Q27" s="2179"/>
      <c r="R27" s="2878"/>
      <c r="S27" s="2878"/>
      <c r="T27" s="2878"/>
      <c r="U27" s="2878"/>
      <c r="V27" s="2878"/>
      <c r="W27" s="2179"/>
      <c r="X27" s="2179"/>
      <c r="Y27" s="2179"/>
      <c r="Z27" s="2179"/>
      <c r="AA27" s="2179"/>
      <c r="AB27" s="2179"/>
      <c r="AC27" s="2179"/>
    </row>
    <row r="28" spans="1:40" ht="15" thickBot="1">
      <c r="A28" s="1471"/>
      <c r="B28" s="1484" t="s">
        <v>989</v>
      </c>
      <c r="C28" s="1485" t="s">
        <v>990</v>
      </c>
      <c r="D28" s="1485" t="s">
        <v>991</v>
      </c>
      <c r="E28" s="1486" t="s">
        <v>992</v>
      </c>
      <c r="F28" s="1487"/>
      <c r="G28" s="1437"/>
      <c r="H28" s="1437"/>
      <c r="I28" s="1437"/>
      <c r="J28" s="1438"/>
      <c r="K28" s="1451"/>
      <c r="L28" s="1456" t="s">
        <v>973</v>
      </c>
      <c r="M28" s="1526">
        <f ca="1">ROUND($E$20*(1+M27),3)</f>
        <v>5.3999999999999999E-2</v>
      </c>
      <c r="N28" s="1526">
        <f ca="1">ROUND($E$20*(1+N27),3)</f>
        <v>5.1999999999999998E-2</v>
      </c>
      <c r="O28" s="1526">
        <f ca="1">ROUND($E$20*(1+O27),3)</f>
        <v>0.05</v>
      </c>
      <c r="P28" s="1527">
        <f ca="1">ROUND($E$20*(1+P27),3)</f>
        <v>4.8000000000000001E-2</v>
      </c>
      <c r="Q28" s="2179"/>
      <c r="R28" s="2878"/>
      <c r="S28" s="2878"/>
      <c r="T28" s="2878"/>
      <c r="U28" s="2878"/>
      <c r="V28" s="2878"/>
      <c r="W28" s="2179"/>
      <c r="X28" s="2179"/>
      <c r="Y28" s="2179"/>
      <c r="Z28" s="2179"/>
      <c r="AA28" s="2179"/>
      <c r="AB28" s="2179"/>
      <c r="AC28" s="2179"/>
      <c r="AD28" s="1459"/>
      <c r="AE28" s="1459"/>
      <c r="AF28" s="1459"/>
      <c r="AG28" s="1459"/>
    </row>
    <row r="29" spans="1:40" ht="14.25">
      <c r="A29" s="1488"/>
      <c r="B29" s="1489" t="s">
        <v>993</v>
      </c>
      <c r="C29" s="1058" t="e">
        <f>ROUND(C5*C18*C19*C20*C21*C24,0)</f>
        <v>#DIV/0!</v>
      </c>
      <c r="D29" s="1490"/>
      <c r="E29" s="1833" t="e">
        <f>ROUND(C29*D29/10000,0)</f>
        <v>#DIV/0!</v>
      </c>
      <c r="F29" s="1491" t="s">
        <v>1701</v>
      </c>
      <c r="G29" s="1492"/>
      <c r="H29" s="1492"/>
      <c r="I29" s="1492"/>
      <c r="J29" s="1493"/>
      <c r="K29" s="3151"/>
      <c r="L29" s="3151"/>
      <c r="M29" s="3151"/>
      <c r="N29" s="3151"/>
      <c r="O29" s="3151"/>
      <c r="P29" s="1396"/>
      <c r="Q29" s="2179"/>
      <c r="R29" s="2179"/>
      <c r="S29" s="2179"/>
      <c r="T29" s="2179"/>
      <c r="U29" s="2179"/>
      <c r="V29" s="2179"/>
      <c r="W29" s="2878"/>
      <c r="X29" s="2878"/>
      <c r="Y29" s="2878"/>
      <c r="Z29" s="2878"/>
      <c r="AA29" s="2878"/>
      <c r="AB29" s="2179"/>
      <c r="AC29" s="2179"/>
      <c r="AD29" s="2179"/>
      <c r="AE29" s="2179"/>
      <c r="AF29" s="2179"/>
      <c r="AG29" s="2179"/>
      <c r="AH29" s="2179"/>
      <c r="AJ29" s="1398"/>
      <c r="AK29" s="1398"/>
      <c r="AL29" s="1398"/>
      <c r="AM29" s="1397"/>
      <c r="AN29" s="1397"/>
    </row>
    <row r="30" spans="1:40" ht="24.75" thickBot="1">
      <c r="A30" s="1494"/>
      <c r="B30" s="1495" t="s">
        <v>994</v>
      </c>
      <c r="C30" s="1050" t="e">
        <f>ROUND(IF(E2="工业",C29*M39,C29*M38),0)</f>
        <v>#DIV/0!</v>
      </c>
      <c r="D30" s="1496"/>
      <c r="E30" s="1833" t="e">
        <f>ROUND(C30*D30/10000,0)</f>
        <v>#DIV/0!</v>
      </c>
      <c r="F30" s="1497" t="s">
        <v>995</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996</v>
      </c>
      <c r="C31" s="1502" t="s">
        <v>997</v>
      </c>
      <c r="D31" s="1437"/>
      <c r="E31" s="1502"/>
      <c r="F31" s="1502"/>
      <c r="G31" s="1435" t="s">
        <v>995</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990</v>
      </c>
      <c r="D32" s="1506" t="s">
        <v>991</v>
      </c>
      <c r="E32" s="1506" t="s">
        <v>992</v>
      </c>
      <c r="F32" s="1507" t="s">
        <v>998</v>
      </c>
      <c r="G32" s="1466" t="s">
        <v>990</v>
      </c>
      <c r="H32" s="1466" t="s">
        <v>991</v>
      </c>
      <c r="I32" s="1466" t="s">
        <v>992</v>
      </c>
      <c r="J32" s="1508"/>
      <c r="K32" s="3152"/>
      <c r="L32" s="3152"/>
      <c r="M32" s="3152"/>
      <c r="N32" s="3152"/>
      <c r="O32" s="3152"/>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4061" t="s">
        <v>2957</v>
      </c>
      <c r="B33" s="1510" t="s">
        <v>999</v>
      </c>
      <c r="C33" s="1058" t="e">
        <f>ROUND(D5*C19*C20*C24*F33,0)</f>
        <v>#DIV/0!</v>
      </c>
      <c r="D33" s="1523"/>
      <c r="E33" s="1047" t="e">
        <f>ROUND(C33*D33/10000,0)</f>
        <v>#DIV/0!</v>
      </c>
      <c r="F33" s="1047">
        <f>SUMIF(修正!A45:A56,G2,修正!B45:B56)</f>
        <v>0</v>
      </c>
      <c r="G33" s="1047" t="e">
        <f t="shared" ref="G33" si="6">ROUND(IF(E2="工业",C33*$M$39,C33*$M$38),0)</f>
        <v>#DIV/0!</v>
      </c>
      <c r="H33" s="1047">
        <f>D33</f>
        <v>0</v>
      </c>
      <c r="I33" s="1047" t="e">
        <f>ROUND(G33*H33/10000,0)</f>
        <v>#DIV/0!</v>
      </c>
      <c r="J33" s="1511"/>
      <c r="K33" s="3153"/>
      <c r="L33" s="3153"/>
      <c r="M33" s="3153"/>
      <c r="N33" s="3153"/>
      <c r="O33" s="3153"/>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4062"/>
      <c r="B34" s="1440" t="s">
        <v>1000</v>
      </c>
      <c r="C34" s="1058" t="e">
        <f>ROUND(D5*C19*C20*C24*F34,0)</f>
        <v>#DIV/0!</v>
      </c>
      <c r="D34" s="1523"/>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1"/>
      <c r="K34" s="3153"/>
      <c r="L34" s="3153"/>
      <c r="M34" s="3153"/>
      <c r="N34" s="3153"/>
      <c r="O34" s="3153"/>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4062"/>
      <c r="B35" s="1440" t="s">
        <v>1001</v>
      </c>
      <c r="C35" s="1058" t="e">
        <f>ROUND(D5*C19*C20*C24*F35,0)</f>
        <v>#DIV/0!</v>
      </c>
      <c r="D35" s="1523"/>
      <c r="E35" s="1047" t="e">
        <f t="shared" si="7"/>
        <v>#DIV/0!</v>
      </c>
      <c r="F35" s="1047">
        <f>SUMIF(修正!A45:A56,G2,修正!D45:D56)</f>
        <v>0</v>
      </c>
      <c r="G35" s="1047" t="e">
        <f>ROUND(IF(E2="工业",C35*$M$39,C35*$M$38),0)</f>
        <v>#DIV/0!</v>
      </c>
      <c r="H35" s="1047">
        <f t="shared" si="8"/>
        <v>0</v>
      </c>
      <c r="I35" s="1047" t="e">
        <f t="shared" si="9"/>
        <v>#DIV/0!</v>
      </c>
      <c r="J35" s="1511"/>
      <c r="K35" s="3153"/>
      <c r="L35" s="3153"/>
      <c r="M35" s="3153"/>
      <c r="N35" s="3153"/>
      <c r="O35" s="3153"/>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4063"/>
      <c r="B36" s="1440" t="s">
        <v>1002</v>
      </c>
      <c r="C36" s="1058" t="e">
        <f>ROUND(D5*C19*C20*C24*F36,0)</f>
        <v>#DIV/0!</v>
      </c>
      <c r="D36" s="1523"/>
      <c r="E36" s="1047" t="e">
        <f t="shared" si="7"/>
        <v>#DIV/0!</v>
      </c>
      <c r="F36" s="1047">
        <f>SUMIF(修正!A45:A56,G2,修正!E45:E56)</f>
        <v>0</v>
      </c>
      <c r="G36" s="1047" t="e">
        <f>ROUND(IF(E2="工业",C36*$M$39,C36*$M$38),0)</f>
        <v>#DIV/0!</v>
      </c>
      <c r="H36" s="1047">
        <f t="shared" si="8"/>
        <v>0</v>
      </c>
      <c r="I36" s="1047" t="e">
        <f t="shared" si="9"/>
        <v>#DIV/0!</v>
      </c>
      <c r="J36" s="1511"/>
      <c r="K36" s="3153"/>
      <c r="L36" s="3153"/>
      <c r="M36" s="3153"/>
      <c r="N36" s="3153"/>
      <c r="O36" s="3153"/>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1003</v>
      </c>
      <c r="C37" s="1047" t="e">
        <f>ROUND(D5*C19*C20*C24*F37,0)</f>
        <v>#DIV/0!</v>
      </c>
      <c r="D37" s="1523"/>
      <c r="E37" s="1047" t="e">
        <f t="shared" si="7"/>
        <v>#DIV/0!</v>
      </c>
      <c r="F37" s="1058">
        <f>SUMIF(修正!A45:A56,G2,修正!F45:F56)</f>
        <v>0</v>
      </c>
      <c r="G37" s="1047" t="e">
        <f>ROUND(IF(E2="工业",C37*$M$39,C37*$M$38),0)</f>
        <v>#DIV/0!</v>
      </c>
      <c r="H37" s="1047">
        <f t="shared" si="8"/>
        <v>0</v>
      </c>
      <c r="I37" s="1047" t="e">
        <f t="shared" si="9"/>
        <v>#DIV/0!</v>
      </c>
      <c r="J37" s="1511"/>
      <c r="K37" s="1396"/>
      <c r="L37" s="1529" t="s">
        <v>1703</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1004</v>
      </c>
      <c r="C38" s="1047" t="e">
        <f>ROUND(D5*C19*C41*C24*F38,0)</f>
        <v>#DIV/0!</v>
      </c>
      <c r="D38" s="1523"/>
      <c r="E38" s="1047" t="e">
        <f t="shared" si="7"/>
        <v>#DIV/0!</v>
      </c>
      <c r="F38" s="1058">
        <f>SUMIF(修正!A45:A56,G2,修正!G45:G56)</f>
        <v>0</v>
      </c>
      <c r="G38" s="1047" t="e">
        <f>ROUND(IF(E2="工业",C38*$M$39,C38*$M$38),0)</f>
        <v>#DIV/0!</v>
      </c>
      <c r="H38" s="1047">
        <f t="shared" si="8"/>
        <v>0</v>
      </c>
      <c r="I38" s="1047" t="e">
        <f t="shared" si="9"/>
        <v>#DIV/0!</v>
      </c>
      <c r="J38" s="1511"/>
      <c r="K38" s="1396"/>
      <c r="L38" s="1531" t="s">
        <v>1705</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1005</v>
      </c>
      <c r="C39" s="1050" t="e">
        <f>ROUND(D5*C19*C41*C24*F39,0)</f>
        <v>#DIV/0!</v>
      </c>
      <c r="D39" s="1524"/>
      <c r="E39" s="1050" t="e">
        <f t="shared" si="7"/>
        <v>#DIV/0!</v>
      </c>
      <c r="F39" s="1060">
        <f>SUMIF(修正!A45:A56,G2,修正!H45:H56)</f>
        <v>0</v>
      </c>
      <c r="G39" s="1050" t="e">
        <f>ROUND(IF(E2="工业",C39*$M$39,C39*$M$38),0)</f>
        <v>#DIV/0!</v>
      </c>
      <c r="H39" s="1050">
        <f t="shared" si="8"/>
        <v>0</v>
      </c>
      <c r="I39" s="1050" t="e">
        <f t="shared" si="9"/>
        <v>#DIV/0!</v>
      </c>
      <c r="J39" s="1513"/>
      <c r="K39" s="1396"/>
      <c r="L39" s="1533" t="s">
        <v>1704</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3144" t="s">
        <v>2984</v>
      </c>
      <c r="C41" s="838" t="e">
        <f>ROUND(POWER(1+E41,H41-G41)*(POWER(1+E41,G41)-1)/(POWER(1+E41,H41)-1),4)</f>
        <v>#DIV/0!</v>
      </c>
      <c r="D41" s="377" t="s">
        <v>2982</v>
      </c>
      <c r="E41" s="3143">
        <f>G20</f>
        <v>0</v>
      </c>
      <c r="F41" s="377" t="s">
        <v>2983</v>
      </c>
      <c r="G41" s="395"/>
      <c r="H41" s="377">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1006</v>
      </c>
      <c r="B44" s="2383"/>
      <c r="C44" s="2384"/>
      <c r="D44" s="2385"/>
      <c r="E44" s="2385"/>
      <c r="F44" s="2386"/>
      <c r="G44" s="1061"/>
      <c r="H44" s="2386"/>
      <c r="I44" s="1061"/>
      <c r="J44" s="1061"/>
      <c r="K44" s="1061"/>
      <c r="L44" s="1061"/>
      <c r="M44" s="1061"/>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7" t="s">
        <v>1007</v>
      </c>
      <c r="B45" s="2388">
        <f>1+E47</f>
        <v>1</v>
      </c>
      <c r="C45" s="2389"/>
      <c r="D45" s="2390"/>
      <c r="E45" s="2391"/>
      <c r="F45" s="2392"/>
      <c r="G45" s="2386"/>
      <c r="H45" s="2386"/>
      <c r="I45" s="1061"/>
      <c r="J45" s="1061"/>
      <c r="K45" s="1061"/>
      <c r="L45" s="1061"/>
      <c r="M45" s="1061"/>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2" t="s">
        <v>1008</v>
      </c>
      <c r="B46" s="2371" t="s">
        <v>1009</v>
      </c>
      <c r="C46" s="2393" t="s">
        <v>1010</v>
      </c>
      <c r="D46" s="2394" t="s">
        <v>1011</v>
      </c>
      <c r="E46" s="2395" t="s">
        <v>1013</v>
      </c>
      <c r="F46" s="2396" t="s">
        <v>2250</v>
      </c>
      <c r="G46" s="2394" t="s">
        <v>1014</v>
      </c>
      <c r="H46" s="2377" t="s">
        <v>2418</v>
      </c>
      <c r="I46" s="2394" t="s">
        <v>1012</v>
      </c>
      <c r="J46" s="2397" t="s">
        <v>1015</v>
      </c>
      <c r="K46" s="2397" t="s">
        <v>1016</v>
      </c>
      <c r="L46" s="2397" t="s">
        <v>1017</v>
      </c>
      <c r="M46" s="2397" t="s">
        <v>1018</v>
      </c>
      <c r="N46" s="2397" t="s">
        <v>1019</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48">
      <c r="A47" s="1062" t="s">
        <v>1020</v>
      </c>
      <c r="B47" s="2374" t="str">
        <f>估价对象房地状况!C16</f>
        <v>估价对象周边商业为项目内部商业街，周边商业氛围较好，人流量较大，商业繁华度较好</v>
      </c>
      <c r="C47" s="1049"/>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60">
      <c r="A48" s="1062" t="s">
        <v>1021</v>
      </c>
      <c r="B48" s="2371" t="str">
        <f>估价对象房地状况!C18</f>
        <v>周边道路密集程度一般、公共交通通达情况一般，有107路，203路、等公交线路通过，停车便捷程度一般，综合评价交通便捷度一般。</v>
      </c>
      <c r="C48" s="1049"/>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2" t="s">
        <v>1022</v>
      </c>
      <c r="B49" s="2371" t="str">
        <f>估价对象房地状况!C19</f>
        <v>区域土地利用方向较一致；</v>
      </c>
      <c r="C49" s="1049"/>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2" t="s">
        <v>1023</v>
      </c>
      <c r="B50" s="3045" t="s">
        <v>2934</v>
      </c>
      <c r="C50" s="1049"/>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2" t="s">
        <v>1024</v>
      </c>
      <c r="B51" s="2371" t="str">
        <f>估价对象房地状况!C24</f>
        <v>城市次干道-创意大道</v>
      </c>
      <c r="C51" s="1049"/>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2" t="s">
        <v>1025</v>
      </c>
      <c r="B52" s="3044" t="s">
        <v>2933</v>
      </c>
      <c r="C52" s="1049"/>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60">
      <c r="A53" s="2403" t="s">
        <v>1026</v>
      </c>
      <c r="B53" s="2372" t="str">
        <f>估价对象房地状况!C21</f>
        <v>所在区域2公里范围内有银行（中国邮政储蓄银行）、学校（巴川中学）、商业（无）、医院（无）等配套设施，公共配套设施一般；</v>
      </c>
      <c r="C53" s="1049"/>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1027</v>
      </c>
      <c r="B54" s="2371" t="str">
        <f>估价对象房地状况!C22</f>
        <v>所在区域基础设施水平达六通</v>
      </c>
      <c r="C54" s="1049"/>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48.75" thickBot="1">
      <c r="A55" s="2404" t="s">
        <v>1028</v>
      </c>
      <c r="B55" s="2375" t="str">
        <f>估价对象房地状况!C20</f>
        <v>周边自然环境（项目内部天鹅湖）；人文环境（潼南区图书馆），综合评价环境状况较好；</v>
      </c>
      <c r="C55" s="1049"/>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7" t="s">
        <v>1029</v>
      </c>
      <c r="B56" s="2388">
        <f>1+E58</f>
        <v>1</v>
      </c>
      <c r="C56" s="2407"/>
      <c r="D56" s="2390"/>
      <c r="E56" s="2391"/>
      <c r="F56" s="2392"/>
      <c r="G56" s="2386"/>
      <c r="H56" s="2386"/>
      <c r="I56" s="2386"/>
      <c r="J56" s="1061"/>
      <c r="K56" s="1061"/>
      <c r="L56" s="1061"/>
      <c r="M56" s="1061"/>
      <c r="N56" s="1061"/>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2" t="s">
        <v>1008</v>
      </c>
      <c r="B57" s="2371"/>
      <c r="C57" s="2393" t="s">
        <v>1010</v>
      </c>
      <c r="D57" s="2394" t="s">
        <v>1011</v>
      </c>
      <c r="E57" s="2395" t="s">
        <v>1013</v>
      </c>
      <c r="F57" s="2396" t="s">
        <v>2251</v>
      </c>
      <c r="G57" s="2394" t="s">
        <v>1014</v>
      </c>
      <c r="H57" s="2377" t="s">
        <v>2418</v>
      </c>
      <c r="I57" s="2394" t="s">
        <v>1012</v>
      </c>
      <c r="J57" s="2397" t="s">
        <v>1015</v>
      </c>
      <c r="K57" s="2397" t="s">
        <v>1016</v>
      </c>
      <c r="L57" s="2397" t="s">
        <v>1017</v>
      </c>
      <c r="M57" s="2397" t="s">
        <v>1018</v>
      </c>
      <c r="N57" s="2397" t="s">
        <v>1019</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36">
      <c r="A58" s="1062" t="s">
        <v>1030</v>
      </c>
      <c r="B58" s="2374" t="str">
        <f>估价对象房地状况!C17</f>
        <v>估价对象位于XX商圈，周边办公楼项目较多，入驻率高，办公集聚程度较好</v>
      </c>
      <c r="C58" s="1049"/>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60">
      <c r="A59" s="1062" t="s">
        <v>1021</v>
      </c>
      <c r="B59" s="2371" t="str">
        <f>估价对象房地状况!C18</f>
        <v>周边道路密集程度一般、公共交通通达情况一般，有107路，203路、等公交线路通过，停车便捷程度一般，综合评价交通便捷度一般。</v>
      </c>
      <c r="C59" s="1049"/>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2" t="s">
        <v>1022</v>
      </c>
      <c r="B60" s="2371" t="str">
        <f>估价对象房地状况!C19</f>
        <v>区域土地利用方向较一致；</v>
      </c>
      <c r="C60" s="1049"/>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2" t="s">
        <v>1023</v>
      </c>
      <c r="B61" s="3045" t="s">
        <v>2935</v>
      </c>
      <c r="C61" s="1049"/>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2" t="s">
        <v>1024</v>
      </c>
      <c r="B62" s="2371" t="str">
        <f>估价对象房地状况!C24</f>
        <v>城市次干道-创意大道</v>
      </c>
      <c r="C62" s="1049"/>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2" t="s">
        <v>1025</v>
      </c>
      <c r="B63" s="3044" t="s">
        <v>2933</v>
      </c>
      <c r="C63" s="1049"/>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60">
      <c r="A64" s="1062" t="s">
        <v>1026</v>
      </c>
      <c r="B64" s="2372" t="str">
        <f>估价对象房地状况!C21</f>
        <v>所在区域2公里范围内有银行（中国邮政储蓄银行）、学校（巴川中学）、商业（无）、医院（无）等配套设施，公共配套设施一般；</v>
      </c>
      <c r="C64" s="1049"/>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2" t="s">
        <v>1027</v>
      </c>
      <c r="B65" s="2372" t="str">
        <f>估价对象房地状况!C22</f>
        <v>所在区域基础设施水平达六通</v>
      </c>
      <c r="C65" s="1049"/>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48.75" thickBot="1">
      <c r="A66" s="2404" t="s">
        <v>1028</v>
      </c>
      <c r="B66" s="2376" t="str">
        <f>估价对象房地状况!C20</f>
        <v>周边自然环境（项目内部天鹅湖）；人文环境（潼南区图书馆），综合评价环境状况较好；</v>
      </c>
      <c r="C66" s="1049"/>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7" t="s">
        <v>1031</v>
      </c>
      <c r="B67" s="2388">
        <f>1+E69</f>
        <v>1</v>
      </c>
      <c r="C67" s="2407"/>
      <c r="D67" s="2390"/>
      <c r="E67" s="2391"/>
      <c r="F67" s="2392"/>
      <c r="G67" s="2386"/>
      <c r="H67" s="2386"/>
      <c r="I67" s="2386"/>
      <c r="J67" s="1061"/>
      <c r="K67" s="1061"/>
      <c r="L67" s="1061"/>
      <c r="M67" s="1061"/>
      <c r="N67" s="1061"/>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2" t="s">
        <v>1008</v>
      </c>
      <c r="B68" s="2371"/>
      <c r="C68" s="2393" t="s">
        <v>1010</v>
      </c>
      <c r="D68" s="2394" t="s">
        <v>1011</v>
      </c>
      <c r="E68" s="2395" t="s">
        <v>1013</v>
      </c>
      <c r="F68" s="2396" t="s">
        <v>2252</v>
      </c>
      <c r="G68" s="2394" t="s">
        <v>1014</v>
      </c>
      <c r="H68" s="2377" t="s">
        <v>2418</v>
      </c>
      <c r="I68" s="2394" t="s">
        <v>1012</v>
      </c>
      <c r="J68" s="2397" t="s">
        <v>1015</v>
      </c>
      <c r="K68" s="2397" t="s">
        <v>1016</v>
      </c>
      <c r="L68" s="2397" t="s">
        <v>1017</v>
      </c>
      <c r="M68" s="2397" t="s">
        <v>1018</v>
      </c>
      <c r="N68" s="2397" t="s">
        <v>1019</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36">
      <c r="A69" s="1062" t="s">
        <v>1032</v>
      </c>
      <c r="B69" s="2374" t="str">
        <f>估价对象房地状况!C15</f>
        <v>周边居住氛围一遍，有潼南天地、卓然铂金公馆等住宅小区，居住社区成熟度较好</v>
      </c>
      <c r="C69" s="1154"/>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60">
      <c r="A70" s="1062" t="s">
        <v>1033</v>
      </c>
      <c r="B70" s="2371" t="str">
        <f>估价对象房地状况!C18</f>
        <v>周边道路密集程度一般、公共交通通达情况一般，有107路，203路、等公交线路通过，停车便捷程度一般，综合评价交通便捷度一般。</v>
      </c>
      <c r="C70" s="1154"/>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2" t="s">
        <v>1022</v>
      </c>
      <c r="B71" s="2371" t="str">
        <f>估价对象房地状况!C19</f>
        <v>区域土地利用方向较一致；</v>
      </c>
      <c r="C71" s="1154"/>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2" t="s">
        <v>1034</v>
      </c>
      <c r="B72" s="2371" t="str">
        <f>估价对象房地状况!C24</f>
        <v>城市次干道-创意大道</v>
      </c>
      <c r="C72" s="1154"/>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60">
      <c r="A73" s="1062" t="s">
        <v>1026</v>
      </c>
      <c r="B73" s="2372" t="str">
        <f>估价对象房地状况!C21</f>
        <v>所在区域2公里范围内有银行（中国邮政储蓄银行）、学校（巴川中学）、商业（无）、医院（无）等配套设施，公共配套设施一般；</v>
      </c>
      <c r="C73" s="1154"/>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2" t="s">
        <v>1027</v>
      </c>
      <c r="B74" s="2372" t="str">
        <f>估价对象房地状况!C22</f>
        <v>所在区域基础设施水平达六通</v>
      </c>
      <c r="C74" s="1154"/>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2" t="s">
        <v>1025</v>
      </c>
      <c r="B75" s="3044" t="s">
        <v>2933</v>
      </c>
      <c r="C75" s="1154"/>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48">
      <c r="A76" s="1062" t="s">
        <v>1028</v>
      </c>
      <c r="B76" s="2374" t="str">
        <f>估价对象房地状况!C20</f>
        <v>周边自然环境（项目内部天鹅湖）；人文环境（潼南区图书馆），综合评价环境状况较好；</v>
      </c>
      <c r="C76" s="1154"/>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4" t="s">
        <v>1035</v>
      </c>
      <c r="B77" s="1834"/>
      <c r="C77" s="1154"/>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5">
      <c r="A78" s="2387" t="s">
        <v>1036</v>
      </c>
      <c r="B78" s="2388">
        <f>1+E80</f>
        <v>1</v>
      </c>
      <c r="C78" s="2407"/>
      <c r="D78" s="2390"/>
      <c r="E78" s="2391"/>
      <c r="F78" s="2392"/>
      <c r="G78" s="2386"/>
      <c r="H78" s="2386"/>
      <c r="I78" s="2386"/>
      <c r="J78" s="1061"/>
      <c r="K78" s="1061"/>
      <c r="L78" s="1061"/>
      <c r="M78" s="1061"/>
      <c r="N78" s="1061"/>
      <c r="AC78" s="1400"/>
      <c r="AD78" s="1399"/>
      <c r="AJ78" s="1398"/>
      <c r="AN78" s="1399"/>
    </row>
    <row r="79" spans="1:40" ht="24">
      <c r="A79" s="1062" t="s">
        <v>1008</v>
      </c>
      <c r="B79" s="2371"/>
      <c r="C79" s="2393" t="s">
        <v>1010</v>
      </c>
      <c r="D79" s="2394" t="s">
        <v>1011</v>
      </c>
      <c r="E79" s="2395" t="s">
        <v>1013</v>
      </c>
      <c r="F79" s="2396" t="s">
        <v>2253</v>
      </c>
      <c r="G79" s="2394" t="s">
        <v>1014</v>
      </c>
      <c r="H79" s="2377" t="s">
        <v>2418</v>
      </c>
      <c r="I79" s="2394" t="s">
        <v>1012</v>
      </c>
      <c r="J79" s="2397" t="s">
        <v>1015</v>
      </c>
      <c r="K79" s="2397" t="s">
        <v>1016</v>
      </c>
      <c r="L79" s="2397" t="s">
        <v>1017</v>
      </c>
      <c r="M79" s="2397" t="s">
        <v>1018</v>
      </c>
      <c r="N79" s="2397" t="s">
        <v>1019</v>
      </c>
      <c r="AC79" s="1400"/>
      <c r="AD79" s="1399"/>
      <c r="AJ79" s="1398"/>
      <c r="AN79" s="1399"/>
    </row>
    <row r="80" spans="1:40" ht="36">
      <c r="A80" s="1062" t="s">
        <v>1037</v>
      </c>
      <c r="B80" s="2371" t="str">
        <f>估价对象房地状况!G15</f>
        <v>估价对象位于XX开发区，园区建设成熟度XX，产业集聚程度XX</v>
      </c>
      <c r="C80" s="1049"/>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48">
      <c r="A81" s="1062" t="s">
        <v>1033</v>
      </c>
      <c r="B81" s="2371" t="str">
        <f>估价对象房地状况!G16</f>
        <v>估价对象周边道路状况、公共交通通达情况、停车便捷程度，综合评价交通便捷度较好</v>
      </c>
      <c r="C81" s="1049"/>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2" t="s">
        <v>1022</v>
      </c>
      <c r="B82" s="2371">
        <f>估价对象房地状况!G17</f>
        <v>0</v>
      </c>
      <c r="C82" s="1049"/>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4.25">
      <c r="A83" s="1062" t="s">
        <v>1034</v>
      </c>
      <c r="B83" s="2371">
        <f>估价对象房地状况!G22</f>
        <v>0</v>
      </c>
      <c r="C83" s="1049"/>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2" t="s">
        <v>1026</v>
      </c>
      <c r="B84" s="2372" t="str">
        <f>估价对象房地状况!G19</f>
        <v>估价对象所在区域公共配套设施齐备情况</v>
      </c>
      <c r="C84" s="1049"/>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2" t="s">
        <v>1027</v>
      </c>
      <c r="B85" s="2372" t="str">
        <f>估价对象房地状况!G20</f>
        <v>估价对象所在区域基础设施水平</v>
      </c>
      <c r="C85" s="1049"/>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24">
      <c r="A86" s="1062" t="s">
        <v>1025</v>
      </c>
      <c r="B86" s="3044" t="s">
        <v>2933</v>
      </c>
      <c r="C86" s="1049"/>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36.75" thickBot="1">
      <c r="A87" s="2404" t="s">
        <v>1038</v>
      </c>
      <c r="B87" s="2373" t="str">
        <f>估价对象房地状况!G18</f>
        <v>该园区内是否有污染型企业，绿化情况，卫生条件，整体环境状况判断</v>
      </c>
      <c r="C87" s="1049"/>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4059" t="s">
        <v>1633</v>
      </c>
      <c r="B90" s="4059"/>
      <c r="C90" s="4059"/>
      <c r="D90" s="4059"/>
      <c r="E90" s="4059"/>
      <c r="F90" s="4059"/>
      <c r="G90" s="4059"/>
      <c r="H90" s="4059"/>
      <c r="I90" s="4059"/>
      <c r="J90" s="4059"/>
      <c r="K90" s="2413"/>
      <c r="L90" s="2413"/>
      <c r="M90" s="2413"/>
      <c r="N90" s="2413"/>
    </row>
    <row r="91" spans="1:40">
      <c r="A91" s="4060" t="s">
        <v>1443</v>
      </c>
      <c r="B91" s="4060" t="s">
        <v>1634</v>
      </c>
      <c r="C91" s="1135" t="s">
        <v>1635</v>
      </c>
      <c r="D91" s="1136"/>
      <c r="E91" s="1136"/>
      <c r="F91" s="1136"/>
      <c r="G91" s="1136"/>
      <c r="H91" s="1136"/>
      <c r="I91" s="1136"/>
      <c r="J91" s="1137"/>
      <c r="K91" s="1129"/>
      <c r="L91" s="1129"/>
      <c r="M91" s="1129"/>
      <c r="N91" s="1129"/>
    </row>
    <row r="92" spans="1:40">
      <c r="A92" s="4060"/>
      <c r="B92" s="4060"/>
      <c r="C92" s="2412" t="s">
        <v>907</v>
      </c>
      <c r="D92" s="2412" t="s">
        <v>885</v>
      </c>
      <c r="E92" s="2412" t="s">
        <v>886</v>
      </c>
      <c r="F92" s="2412" t="s">
        <v>910</v>
      </c>
      <c r="G92" s="2412" t="s">
        <v>888</v>
      </c>
      <c r="H92" s="2412" t="s">
        <v>889</v>
      </c>
      <c r="I92" s="2412" t="s">
        <v>890</v>
      </c>
      <c r="J92" s="2412" t="s">
        <v>891</v>
      </c>
      <c r="K92" s="2412" t="s">
        <v>915</v>
      </c>
      <c r="L92" s="2412" t="s">
        <v>893</v>
      </c>
      <c r="M92" s="2412" t="s">
        <v>894</v>
      </c>
      <c r="N92" s="2412" t="s">
        <v>918</v>
      </c>
    </row>
    <row r="93" spans="1:40">
      <c r="A93" s="4067" t="s">
        <v>2763</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4068"/>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4068"/>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4068"/>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4068"/>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4068"/>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4068"/>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4069"/>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4067" t="s">
        <v>1637</v>
      </c>
      <c r="B101" s="1142" t="s">
        <v>906</v>
      </c>
      <c r="C101" s="1143">
        <f>$G$3</f>
        <v>4.8</v>
      </c>
      <c r="D101" s="1143">
        <f t="shared" ref="D101:N101" si="31">$G$3</f>
        <v>4.8</v>
      </c>
      <c r="E101" s="1143">
        <f t="shared" si="31"/>
        <v>4.8</v>
      </c>
      <c r="F101" s="1143">
        <f t="shared" si="31"/>
        <v>4.8</v>
      </c>
      <c r="G101" s="1143">
        <f t="shared" si="31"/>
        <v>4.8</v>
      </c>
      <c r="H101" s="1143">
        <f t="shared" si="31"/>
        <v>4.8</v>
      </c>
      <c r="I101" s="1143">
        <f t="shared" si="31"/>
        <v>4.8</v>
      </c>
      <c r="J101" s="1143">
        <f t="shared" si="31"/>
        <v>4.8</v>
      </c>
      <c r="K101" s="1143">
        <f t="shared" si="31"/>
        <v>4.8</v>
      </c>
      <c r="L101" s="1143">
        <f t="shared" si="31"/>
        <v>4.8</v>
      </c>
      <c r="M101" s="1143">
        <f t="shared" si="31"/>
        <v>4.8</v>
      </c>
      <c r="N101" s="1143">
        <f t="shared" si="31"/>
        <v>4.8</v>
      </c>
    </row>
    <row r="102" spans="1:14">
      <c r="A102" s="4068"/>
      <c r="B102" s="1138">
        <v>1</v>
      </c>
      <c r="C102" s="1139">
        <f>1.9362/C101</f>
        <v>0.40337499999999998</v>
      </c>
      <c r="D102" s="1139">
        <f>1.9362/D101</f>
        <v>0.40337499999999998</v>
      </c>
      <c r="E102" s="1139">
        <f>1.8629/E101</f>
        <v>0.38810416666666669</v>
      </c>
      <c r="F102" s="1139">
        <f>1.8629/F101</f>
        <v>0.38810416666666669</v>
      </c>
      <c r="G102" s="1139">
        <f>1.8629/G101</f>
        <v>0.38810416666666669</v>
      </c>
      <c r="H102" s="1139">
        <f>1.8629/H101</f>
        <v>0.38810416666666669</v>
      </c>
      <c r="I102" s="1139">
        <f>1.8629/I101</f>
        <v>0.38810416666666669</v>
      </c>
      <c r="J102" s="1139">
        <f>1.942/J101</f>
        <v>0.40458333333333335</v>
      </c>
      <c r="K102" s="1139">
        <f>1.942/K101</f>
        <v>0.40458333333333335</v>
      </c>
      <c r="L102" s="1139">
        <f>1.942/L101</f>
        <v>0.40458333333333335</v>
      </c>
      <c r="M102" s="1139">
        <f>1.942/M101</f>
        <v>0.40458333333333335</v>
      </c>
      <c r="N102" s="1139">
        <f>1.942/N101</f>
        <v>0.40458333333333335</v>
      </c>
    </row>
    <row r="103" spans="1:14">
      <c r="A103" s="4068"/>
      <c r="B103" s="1138">
        <v>2</v>
      </c>
      <c r="C103" s="1139">
        <f>1.4198/C101</f>
        <v>0.29579166666666667</v>
      </c>
      <c r="D103" s="1139">
        <f>1.4198/D101</f>
        <v>0.29579166666666667</v>
      </c>
      <c r="E103" s="1139">
        <f>1.3372/E101</f>
        <v>0.27858333333333335</v>
      </c>
      <c r="F103" s="1139">
        <f>1.3372/F101</f>
        <v>0.27858333333333335</v>
      </c>
      <c r="G103" s="1139">
        <f>1.3372/G101</f>
        <v>0.27858333333333335</v>
      </c>
      <c r="H103" s="1139">
        <f>1.3372/H101</f>
        <v>0.27858333333333335</v>
      </c>
      <c r="I103" s="1139">
        <f>1.3372/I101</f>
        <v>0.27858333333333335</v>
      </c>
      <c r="J103" s="1139">
        <f>1.2799/J101</f>
        <v>0.26664583333333336</v>
      </c>
      <c r="K103" s="1139">
        <f>1.2799/K101</f>
        <v>0.26664583333333336</v>
      </c>
      <c r="L103" s="1139">
        <f>1.2799/L101</f>
        <v>0.26664583333333336</v>
      </c>
      <c r="M103" s="1139">
        <f>1.2799/M101</f>
        <v>0.26664583333333336</v>
      </c>
      <c r="N103" s="1139">
        <f>1.2799/N101</f>
        <v>0.26664583333333336</v>
      </c>
    </row>
    <row r="104" spans="1:14">
      <c r="A104" s="4068"/>
      <c r="B104" s="1138">
        <v>3</v>
      </c>
      <c r="C104" s="1139">
        <f>1.1594/C101</f>
        <v>0.24154166666666668</v>
      </c>
      <c r="D104" s="1139">
        <f>1.1594/D101</f>
        <v>0.24154166666666668</v>
      </c>
      <c r="E104" s="1139">
        <f>1.0788/E101</f>
        <v>0.22475000000000001</v>
      </c>
      <c r="F104" s="1139">
        <f>1.0788/F101</f>
        <v>0.22475000000000001</v>
      </c>
      <c r="G104" s="1139">
        <f>1.0788/G101</f>
        <v>0.22475000000000001</v>
      </c>
      <c r="H104" s="1139">
        <f>1.0788/H101</f>
        <v>0.22475000000000001</v>
      </c>
      <c r="I104" s="1139">
        <f>1.0788/I101</f>
        <v>0.22475000000000001</v>
      </c>
      <c r="J104" s="1139">
        <f>1.0072/J101</f>
        <v>0.20983333333333337</v>
      </c>
      <c r="K104" s="1139">
        <f>1.0072/K101</f>
        <v>0.20983333333333337</v>
      </c>
      <c r="L104" s="1139">
        <f>1.0072/L101</f>
        <v>0.20983333333333337</v>
      </c>
      <c r="M104" s="1139">
        <f>1.0072/M101</f>
        <v>0.20983333333333337</v>
      </c>
      <c r="N104" s="1139">
        <f>1.0072/N101</f>
        <v>0.20983333333333337</v>
      </c>
    </row>
    <row r="105" spans="1:14">
      <c r="A105" s="4068"/>
      <c r="B105" s="1138">
        <v>4</v>
      </c>
      <c r="C105" s="1139">
        <f>0.9622/C101</f>
        <v>0.20045833333333335</v>
      </c>
      <c r="D105" s="1139">
        <f>0.9622/D101</f>
        <v>0.20045833333333335</v>
      </c>
      <c r="E105" s="1139">
        <f>0.8656/E101</f>
        <v>0.18033333333333335</v>
      </c>
      <c r="F105" s="1139">
        <f>0.8656/F101</f>
        <v>0.18033333333333335</v>
      </c>
      <c r="G105" s="1139">
        <f>0.8656/G101</f>
        <v>0.18033333333333335</v>
      </c>
      <c r="H105" s="1139">
        <f>0.8656/H101</f>
        <v>0.18033333333333335</v>
      </c>
      <c r="I105" s="1139">
        <f>0.8656/I101</f>
        <v>0.18033333333333335</v>
      </c>
      <c r="J105" s="1139">
        <f>0.7525/J101</f>
        <v>0.15677083333333333</v>
      </c>
      <c r="K105" s="1139">
        <f>0.7525/K101</f>
        <v>0.15677083333333333</v>
      </c>
      <c r="L105" s="1139">
        <f>0.7525/L101</f>
        <v>0.15677083333333333</v>
      </c>
      <c r="M105" s="1139">
        <f>0.7525/M101</f>
        <v>0.15677083333333333</v>
      </c>
      <c r="N105" s="1139">
        <f>0.7525/N101</f>
        <v>0.15677083333333333</v>
      </c>
    </row>
    <row r="106" spans="1:14">
      <c r="A106" s="4068"/>
      <c r="B106" s="1138">
        <v>5</v>
      </c>
      <c r="C106" s="1139">
        <f>0.8417/C101</f>
        <v>0.17535416666666667</v>
      </c>
      <c r="D106" s="1139">
        <f>0.8417/D101</f>
        <v>0.17535416666666667</v>
      </c>
      <c r="E106" s="1139">
        <f>0.7371/E101</f>
        <v>0.15356249999999999</v>
      </c>
      <c r="F106" s="1139">
        <f>0.7371/F101</f>
        <v>0.15356249999999999</v>
      </c>
      <c r="G106" s="1139">
        <f>0.7371/G101</f>
        <v>0.15356249999999999</v>
      </c>
      <c r="H106" s="1139">
        <f>0.7371/H101</f>
        <v>0.15356249999999999</v>
      </c>
      <c r="I106" s="1139">
        <f>0.7371/I101</f>
        <v>0.15356249999999999</v>
      </c>
      <c r="J106" s="1139">
        <f>0.5659/J101</f>
        <v>0.11789583333333332</v>
      </c>
      <c r="K106" s="1139">
        <f>0.5659/K101</f>
        <v>0.11789583333333332</v>
      </c>
      <c r="L106" s="1139">
        <f>0.5659/L101</f>
        <v>0.11789583333333332</v>
      </c>
      <c r="M106" s="1139">
        <f>0.5659/M101</f>
        <v>0.11789583333333332</v>
      </c>
      <c r="N106" s="1139">
        <f>0.5659/N101</f>
        <v>0.11789583333333332</v>
      </c>
    </row>
    <row r="107" spans="1:14">
      <c r="A107" s="4068"/>
      <c r="B107" s="1138">
        <v>6</v>
      </c>
      <c r="C107" s="1139">
        <f>0.7608/C101</f>
        <v>0.1585</v>
      </c>
      <c r="D107" s="1139">
        <f>0.7608/D101</f>
        <v>0.1585</v>
      </c>
      <c r="E107" s="1139">
        <f>0.6482/E101</f>
        <v>0.13504166666666667</v>
      </c>
      <c r="F107" s="1139">
        <f>0.6482/F101</f>
        <v>0.13504166666666667</v>
      </c>
      <c r="G107" s="1139">
        <f>0.6482/G101</f>
        <v>0.13504166666666667</v>
      </c>
      <c r="H107" s="1139">
        <f>0.6482/H101</f>
        <v>0.13504166666666667</v>
      </c>
      <c r="I107" s="1139">
        <f>0.6482/I101</f>
        <v>0.13504166666666667</v>
      </c>
      <c r="J107" s="1139">
        <f>0.4525/J101</f>
        <v>9.4270833333333345E-2</v>
      </c>
      <c r="K107" s="1139">
        <f>0.4525/K101</f>
        <v>9.4270833333333345E-2</v>
      </c>
      <c r="L107" s="1139">
        <f>0.4525/L101</f>
        <v>9.4270833333333345E-2</v>
      </c>
      <c r="M107" s="1139">
        <f>0.4525/M101</f>
        <v>9.4270833333333345E-2</v>
      </c>
      <c r="N107" s="1139">
        <f>0.4525/N101</f>
        <v>9.4270833333333345E-2</v>
      </c>
    </row>
    <row r="108" spans="1:14">
      <c r="A108" s="4068"/>
      <c r="B108" s="4070"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4069"/>
      <c r="B109" s="4071"/>
      <c r="C109" s="1141">
        <f>(-0.163*(C108^2)-0.59*C108+7617)*(10^(-4))/C101</f>
        <v>0.15837183333333335</v>
      </c>
      <c r="D109" s="1141">
        <f>(-0.163*(D108^2)-0.59*D108+7617)*(10^(-4))/D101</f>
        <v>0.15837183333333335</v>
      </c>
      <c r="E109" s="1141">
        <f>(-0.161*(E108^2)-7.509*E108+6533)*(10^(-4))/E101</f>
        <v>0.13463800000000001</v>
      </c>
      <c r="F109" s="1141">
        <f>(-0.161*(F108^2)-7.509*F108+6533)*(10^(-4))/F101</f>
        <v>0.13463800000000001</v>
      </c>
      <c r="G109" s="1141">
        <f>(-0.161*(G108^2)-7.509*G108+6533)*(10^(-4))/G101</f>
        <v>0.13463800000000001</v>
      </c>
      <c r="H109" s="1141">
        <f>(-0.161*(H108^2)-7.509*H108+6533)*(10^(-4))/H101</f>
        <v>0.13463800000000001</v>
      </c>
      <c r="I109" s="1141">
        <f>(-0.161*(I108^2)-7.509*I108+6533)*(10^(-4))/I101</f>
        <v>0.13463800000000001</v>
      </c>
      <c r="J109" s="1141">
        <f>(-0.214*(J108^2)-21.991*J108+4665)*(10^(-4))/J101</f>
        <v>9.3237000000000014E-2</v>
      </c>
      <c r="K109" s="1141">
        <f>(-0.214*(K108^2)-21.991*K108+4665)*(10^(-4))/K101</f>
        <v>9.3237000000000014E-2</v>
      </c>
      <c r="L109" s="1141">
        <f>(-0.214*(L108^2)-21.991*L108+4665)*(10^(-4))/L101</f>
        <v>9.3237000000000014E-2</v>
      </c>
      <c r="M109" s="1141">
        <f>(-0.214*(M108^2)-21.991*M108+4665)*(10^(-4))/M101</f>
        <v>9.3237000000000014E-2</v>
      </c>
      <c r="N109" s="1141">
        <f>(-0.214*(N108^2)-21.991*N108+4665)*(10^(-4))/N101</f>
        <v>9.3237000000000014E-2</v>
      </c>
    </row>
    <row r="110" spans="1:14">
      <c r="A110" s="4053" t="s">
        <v>1639</v>
      </c>
      <c r="B110" s="4053"/>
      <c r="C110" s="4053"/>
      <c r="D110" s="4053"/>
      <c r="E110" s="4053"/>
      <c r="F110" s="4053"/>
      <c r="G110" s="4053"/>
      <c r="H110" s="4053"/>
      <c r="I110" s="4053"/>
      <c r="J110" s="4053"/>
      <c r="K110" s="2411"/>
      <c r="L110" s="2411"/>
      <c r="M110" s="2411"/>
      <c r="N110" s="2411"/>
    </row>
    <row r="112" spans="1:14" ht="12.75" thickBot="1"/>
    <row r="113" spans="1:13" ht="25.5" thickBot="1">
      <c r="A113" s="1015" t="s">
        <v>896</v>
      </c>
      <c r="B113" s="2414">
        <f>G3</f>
        <v>4.8</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0.88839999999999997</v>
      </c>
      <c r="C115" s="1029">
        <f>B115</f>
        <v>0.88839999999999997</v>
      </c>
      <c r="D115" s="1029">
        <f>ROUND(0.8331-0.0109*B113,4)</f>
        <v>0.78080000000000005</v>
      </c>
      <c r="E115" s="1029">
        <f>D115</f>
        <v>0.78080000000000005</v>
      </c>
      <c r="F115" s="1029">
        <f>E115</f>
        <v>0.78080000000000005</v>
      </c>
      <c r="G115" s="1029">
        <f>F115</f>
        <v>0.78080000000000005</v>
      </c>
      <c r="H115" s="1029">
        <f>G115</f>
        <v>0.78080000000000005</v>
      </c>
      <c r="I115" s="1029">
        <f>ROUND(0.689-0.0155*B113,4)</f>
        <v>0.61460000000000004</v>
      </c>
      <c r="J115" s="1029">
        <f t="shared" ref="J115:M118" si="33">I115</f>
        <v>0.61460000000000004</v>
      </c>
      <c r="K115" s="1029">
        <f t="shared" si="33"/>
        <v>0.61460000000000004</v>
      </c>
      <c r="L115" s="1029">
        <f t="shared" si="33"/>
        <v>0.61460000000000004</v>
      </c>
      <c r="M115" s="1030">
        <f t="shared" si="33"/>
        <v>0.61460000000000004</v>
      </c>
    </row>
    <row r="116" spans="1:13" ht="12.75">
      <c r="A116" s="1028" t="s">
        <v>901</v>
      </c>
      <c r="B116" s="1029">
        <f>ROUND(0.949-0.012*B113,4)</f>
        <v>0.89139999999999997</v>
      </c>
      <c r="C116" s="1029">
        <f>B116</f>
        <v>0.89139999999999997</v>
      </c>
      <c r="D116" s="1029">
        <f>ROUND(0.8567-0.013*B113,4)</f>
        <v>0.79430000000000001</v>
      </c>
      <c r="E116" s="1029">
        <f t="shared" ref="E116:H117" si="34">D116</f>
        <v>0.79430000000000001</v>
      </c>
      <c r="F116" s="1029">
        <f t="shared" si="34"/>
        <v>0.79430000000000001</v>
      </c>
      <c r="G116" s="1029">
        <f t="shared" si="34"/>
        <v>0.79430000000000001</v>
      </c>
      <c r="H116" s="1029">
        <f t="shared" si="34"/>
        <v>0.79430000000000001</v>
      </c>
      <c r="I116" s="1029">
        <f>ROUND(0.7694-0.014*B113,4)</f>
        <v>0.70220000000000005</v>
      </c>
      <c r="J116" s="1029">
        <f t="shared" si="33"/>
        <v>0.70220000000000005</v>
      </c>
      <c r="K116" s="1029">
        <f t="shared" si="33"/>
        <v>0.70220000000000005</v>
      </c>
      <c r="L116" s="1029">
        <f t="shared" si="33"/>
        <v>0.70220000000000005</v>
      </c>
      <c r="M116" s="1030">
        <f t="shared" si="33"/>
        <v>0.70220000000000005</v>
      </c>
    </row>
    <row r="117" spans="1:13" ht="12.75">
      <c r="A117" s="1031" t="s">
        <v>902</v>
      </c>
      <c r="B117" s="1029">
        <f>ROUND(0.8808-0.006*B113,4)</f>
        <v>0.85199999999999998</v>
      </c>
      <c r="C117" s="1029">
        <f>B117</f>
        <v>0.85199999999999998</v>
      </c>
      <c r="D117" s="1029">
        <f>ROUND(0.8748-0.008*B113,4)</f>
        <v>0.83640000000000003</v>
      </c>
      <c r="E117" s="1029">
        <f t="shared" si="34"/>
        <v>0.83640000000000003</v>
      </c>
      <c r="F117" s="1029">
        <f t="shared" si="34"/>
        <v>0.83640000000000003</v>
      </c>
      <c r="G117" s="1029">
        <f t="shared" si="34"/>
        <v>0.83640000000000003</v>
      </c>
      <c r="H117" s="1029">
        <f t="shared" si="34"/>
        <v>0.83640000000000003</v>
      </c>
      <c r="I117" s="1029">
        <f>ROUND(0.7412-0.0095*B113,4)</f>
        <v>0.6956</v>
      </c>
      <c r="J117" s="1029">
        <f t="shared" si="33"/>
        <v>0.6956</v>
      </c>
      <c r="K117" s="1029">
        <f t="shared" si="33"/>
        <v>0.6956</v>
      </c>
      <c r="L117" s="1029">
        <f t="shared" si="33"/>
        <v>0.6956</v>
      </c>
      <c r="M117" s="1030">
        <f t="shared" si="33"/>
        <v>0.6956</v>
      </c>
    </row>
    <row r="118" spans="1:13" ht="13.5" thickBot="1">
      <c r="A118" s="1032" t="s">
        <v>903</v>
      </c>
      <c r="B118" s="1033">
        <f>ROUND(0.7275-0.01*B113,4)</f>
        <v>0.67949999999999999</v>
      </c>
      <c r="C118" s="1033">
        <f>B118</f>
        <v>0.67949999999999999</v>
      </c>
      <c r="D118" s="1033">
        <f>ROUND(0.7043-0.012*B113,4)</f>
        <v>0.64670000000000005</v>
      </c>
      <c r="E118" s="1033">
        <f>D118</f>
        <v>0.64670000000000005</v>
      </c>
      <c r="F118" s="1033">
        <f>E118</f>
        <v>0.64670000000000005</v>
      </c>
      <c r="G118" s="1033">
        <f>ROUND(0.6299-0.0122*B113,4)</f>
        <v>0.57130000000000003</v>
      </c>
      <c r="H118" s="1033">
        <f>G118</f>
        <v>0.57130000000000003</v>
      </c>
      <c r="I118" s="1033">
        <f>ROUND(0.5667-0.0136*B113,4)</f>
        <v>0.50139999999999996</v>
      </c>
      <c r="J118" s="1033">
        <f t="shared" si="33"/>
        <v>0.50139999999999996</v>
      </c>
      <c r="K118" s="1033">
        <f t="shared" si="33"/>
        <v>0.50139999999999996</v>
      </c>
      <c r="L118" s="1033">
        <f t="shared" si="33"/>
        <v>0.50139999999999996</v>
      </c>
      <c r="M118" s="1034">
        <f t="shared" si="33"/>
        <v>0.50139999999999996</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3" t="s">
        <v>2987</v>
      </c>
      <c r="B15" s="3059">
        <f>SUM(B6:B13)</f>
        <v>375</v>
      </c>
      <c r="C15" s="3059">
        <f t="shared" ref="C15:H15" si="0">SUM(C6:C13)</f>
        <v>375</v>
      </c>
      <c r="D15" s="3059">
        <f t="shared" si="0"/>
        <v>300</v>
      </c>
      <c r="E15" s="3059">
        <f t="shared" si="0"/>
        <v>300</v>
      </c>
      <c r="F15" s="3059">
        <f t="shared" si="0"/>
        <v>300</v>
      </c>
      <c r="G15" s="3059">
        <f t="shared" si="0"/>
        <v>300</v>
      </c>
      <c r="H15" s="3059">
        <f t="shared" si="0"/>
        <v>300</v>
      </c>
      <c r="I15" s="3059">
        <f>SUM(I6:I10,I13)</f>
        <v>155</v>
      </c>
      <c r="J15" s="3059">
        <f t="shared" ref="J15:M15" si="1">SUM(J6:J10,J13)</f>
        <v>155</v>
      </c>
      <c r="K15" s="3059">
        <f t="shared" si="1"/>
        <v>155</v>
      </c>
      <c r="L15" s="3059">
        <f t="shared" si="1"/>
        <v>155</v>
      </c>
      <c r="M15" s="3059">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3" customFormat="1" ht="19.5" customHeight="1">
      <c r="A18" s="4060" t="s">
        <v>1007</v>
      </c>
      <c r="B18" s="1149" t="s">
        <v>1446</v>
      </c>
      <c r="C18" s="1126" t="s">
        <v>1447</v>
      </c>
      <c r="D18" s="1127"/>
      <c r="E18" s="1149">
        <v>1</v>
      </c>
      <c r="F18" s="1128" t="s">
        <v>1448</v>
      </c>
      <c r="G18" s="1129"/>
      <c r="H18" s="1100"/>
      <c r="I18" s="1100"/>
    </row>
    <row r="19" spans="1:9" s="1583" customFormat="1" ht="19.5" customHeight="1">
      <c r="A19" s="4060"/>
      <c r="B19" s="4060" t="s">
        <v>1449</v>
      </c>
      <c r="C19" s="1126" t="s">
        <v>1450</v>
      </c>
      <c r="D19" s="1127"/>
      <c r="E19" s="1149">
        <v>0.9</v>
      </c>
      <c r="F19" s="1128" t="s">
        <v>1451</v>
      </c>
      <c r="G19" s="1129"/>
      <c r="H19" s="1100"/>
      <c r="I19" s="1100"/>
    </row>
    <row r="20" spans="1:9" s="1583" customFormat="1" ht="19.5" customHeight="1">
      <c r="A20" s="4060"/>
      <c r="B20" s="4060"/>
      <c r="C20" s="1126" t="s">
        <v>1452</v>
      </c>
      <c r="D20" s="1127"/>
      <c r="E20" s="1149">
        <v>1.1000000000000001</v>
      </c>
      <c r="F20" s="1128" t="s">
        <v>1453</v>
      </c>
      <c r="G20" s="1129"/>
      <c r="H20" s="1100"/>
      <c r="I20" s="1100"/>
    </row>
    <row r="21" spans="1:9" s="1583" customFormat="1" ht="19.5" customHeight="1">
      <c r="A21" s="4060"/>
      <c r="B21" s="4060"/>
      <c r="C21" s="1126" t="s">
        <v>1454</v>
      </c>
      <c r="D21" s="1127"/>
      <c r="E21" s="1149">
        <v>0.8</v>
      </c>
      <c r="F21" s="1128" t="s">
        <v>1455</v>
      </c>
      <c r="G21" s="1129"/>
      <c r="H21" s="1100"/>
      <c r="I21" s="1100"/>
    </row>
    <row r="22" spans="1:9" s="1583" customFormat="1" ht="19.5" customHeight="1">
      <c r="A22" s="4060"/>
      <c r="B22" s="4060"/>
      <c r="C22" s="1126" t="s">
        <v>1456</v>
      </c>
      <c r="D22" s="1127"/>
      <c r="E22" s="1149">
        <v>0.5</v>
      </c>
      <c r="F22" s="1128"/>
      <c r="G22" s="1129"/>
      <c r="H22" s="1100"/>
      <c r="I22" s="1100"/>
    </row>
    <row r="23" spans="1:9" s="1583" customFormat="1" ht="19.5" customHeight="1">
      <c r="A23" s="4060" t="s">
        <v>1029</v>
      </c>
      <c r="B23" s="1149" t="s">
        <v>1446</v>
      </c>
      <c r="C23" s="1126" t="s">
        <v>1457</v>
      </c>
      <c r="D23" s="1127"/>
      <c r="E23" s="1149">
        <v>1</v>
      </c>
      <c r="F23" s="1128" t="s">
        <v>1458</v>
      </c>
      <c r="G23" s="1129"/>
      <c r="H23" s="1100"/>
      <c r="I23" s="1100"/>
    </row>
    <row r="24" spans="1:9" s="1583" customFormat="1" ht="19.5" customHeight="1">
      <c r="A24" s="4060"/>
      <c r="B24" s="4060" t="s">
        <v>1449</v>
      </c>
      <c r="C24" s="1126" t="s">
        <v>1459</v>
      </c>
      <c r="D24" s="1127"/>
      <c r="E24" s="1149">
        <v>0.5</v>
      </c>
      <c r="F24" s="1128"/>
      <c r="G24" s="1129"/>
      <c r="H24" s="1100"/>
      <c r="I24" s="1100"/>
    </row>
    <row r="25" spans="1:9" s="1583" customFormat="1" ht="19.5" customHeight="1">
      <c r="A25" s="4060"/>
      <c r="B25" s="4060"/>
      <c r="C25" s="1126" t="s">
        <v>1460</v>
      </c>
      <c r="D25" s="1127"/>
      <c r="E25" s="1149">
        <v>1.1000000000000001</v>
      </c>
      <c r="F25" s="1128"/>
      <c r="G25" s="1129"/>
      <c r="H25" s="1100"/>
      <c r="I25" s="1100"/>
    </row>
    <row r="26" spans="1:9" s="1583" customFormat="1" ht="19.5" customHeight="1">
      <c r="A26" s="4060"/>
      <c r="B26" s="4060"/>
      <c r="C26" s="1126" t="s">
        <v>1461</v>
      </c>
      <c r="D26" s="1127"/>
      <c r="E26" s="1149">
        <v>1.1000000000000001</v>
      </c>
      <c r="F26" s="1128"/>
      <c r="G26" s="1129"/>
      <c r="H26" s="1100"/>
      <c r="I26" s="1100"/>
    </row>
    <row r="27" spans="1:9" s="1583" customFormat="1" ht="19.5" customHeight="1">
      <c r="A27" s="4060"/>
      <c r="B27" s="4060"/>
      <c r="C27" s="1126" t="s">
        <v>1462</v>
      </c>
      <c r="D27" s="1127"/>
      <c r="E27" s="1149">
        <v>0.9</v>
      </c>
      <c r="F27" s="1128" t="s">
        <v>1463</v>
      </c>
      <c r="G27" s="1129"/>
      <c r="H27" s="1100"/>
      <c r="I27" s="1100"/>
    </row>
    <row r="28" spans="1:9" s="1583" customFormat="1" ht="19.5" customHeight="1">
      <c r="A28" s="4060"/>
      <c r="B28" s="4060"/>
      <c r="C28" s="1126" t="s">
        <v>1464</v>
      </c>
      <c r="D28" s="1127"/>
      <c r="E28" s="1149">
        <v>0.9</v>
      </c>
      <c r="F28" s="1128" t="s">
        <v>1465</v>
      </c>
      <c r="G28" s="1129"/>
      <c r="H28" s="1100"/>
      <c r="I28" s="1100"/>
    </row>
    <row r="29" spans="1:9" s="1583" customFormat="1" ht="19.5" customHeight="1">
      <c r="A29" s="4060"/>
      <c r="B29" s="4060"/>
      <c r="C29" s="1126" t="s">
        <v>1466</v>
      </c>
      <c r="D29" s="1127"/>
      <c r="E29" s="1149">
        <v>0.9</v>
      </c>
      <c r="F29" s="1128" t="s">
        <v>1467</v>
      </c>
      <c r="G29" s="1129"/>
      <c r="H29" s="1100"/>
      <c r="I29" s="1100"/>
    </row>
    <row r="30" spans="1:9" s="1583" customFormat="1" ht="19.5" customHeight="1">
      <c r="A30" s="4060"/>
      <c r="B30" s="4060"/>
      <c r="C30" s="1126" t="s">
        <v>1468</v>
      </c>
      <c r="D30" s="1127"/>
      <c r="E30" s="1149">
        <v>0.9</v>
      </c>
      <c r="F30" s="1128" t="s">
        <v>1469</v>
      </c>
      <c r="G30" s="1129"/>
      <c r="H30" s="1100"/>
      <c r="I30" s="1100"/>
    </row>
    <row r="31" spans="1:9" s="1583" customFormat="1" ht="19.5" customHeight="1">
      <c r="A31" s="4060"/>
      <c r="B31" s="4060"/>
      <c r="C31" s="1126" t="s">
        <v>1470</v>
      </c>
      <c r="D31" s="1127"/>
      <c r="E31" s="1149">
        <v>0.8</v>
      </c>
      <c r="F31" s="1128" t="s">
        <v>1471</v>
      </c>
      <c r="G31" s="1129"/>
      <c r="H31" s="1100"/>
      <c r="I31" s="1100"/>
    </row>
    <row r="32" spans="1:9" s="1583" customFormat="1" ht="19.5" customHeight="1">
      <c r="A32" s="4060"/>
      <c r="B32" s="4060"/>
      <c r="C32" s="1126" t="s">
        <v>1472</v>
      </c>
      <c r="D32" s="1127"/>
      <c r="E32" s="1149">
        <v>0.8</v>
      </c>
      <c r="F32" s="1128" t="s">
        <v>1473</v>
      </c>
      <c r="G32" s="1129"/>
      <c r="H32" s="1100"/>
      <c r="I32" s="1100"/>
    </row>
    <row r="33" spans="1:9" s="1583" customFormat="1" ht="19.5" customHeight="1">
      <c r="A33" s="4060" t="s">
        <v>1474</v>
      </c>
      <c r="B33" s="1149" t="s">
        <v>1446</v>
      </c>
      <c r="C33" s="1126" t="s">
        <v>1475</v>
      </c>
      <c r="D33" s="1127"/>
      <c r="E33" s="1149">
        <v>1</v>
      </c>
      <c r="F33" s="1128" t="s">
        <v>1476</v>
      </c>
      <c r="G33" s="1129"/>
      <c r="H33" s="1100"/>
      <c r="I33" s="1100"/>
    </row>
    <row r="34" spans="1:9" s="1583" customFormat="1" ht="19.5" customHeight="1">
      <c r="A34" s="4060"/>
      <c r="B34" s="1149" t="s">
        <v>1449</v>
      </c>
      <c r="C34" s="1126" t="s">
        <v>1477</v>
      </c>
      <c r="D34" s="1127"/>
      <c r="E34" s="1149">
        <v>1.5</v>
      </c>
      <c r="F34" s="1128" t="s">
        <v>1478</v>
      </c>
      <c r="G34" s="1129"/>
      <c r="H34" s="1100"/>
      <c r="I34" s="1100"/>
    </row>
    <row r="35" spans="1:9" s="1583" customFormat="1" ht="19.5" customHeight="1">
      <c r="A35" s="4060" t="s">
        <v>1432</v>
      </c>
      <c r="B35" s="1149" t="s">
        <v>1446</v>
      </c>
      <c r="C35" s="1126" t="s">
        <v>1479</v>
      </c>
      <c r="D35" s="1127"/>
      <c r="E35" s="1149">
        <v>1</v>
      </c>
      <c r="F35" s="1128" t="s">
        <v>1480</v>
      </c>
      <c r="G35" s="1129"/>
      <c r="H35" s="1100"/>
      <c r="I35" s="1100"/>
    </row>
    <row r="36" spans="1:9" s="1583" customFormat="1" ht="19.5" customHeight="1">
      <c r="A36" s="4060"/>
      <c r="B36" s="4060" t="s">
        <v>1449</v>
      </c>
      <c r="C36" s="1126" t="s">
        <v>1481</v>
      </c>
      <c r="D36" s="1127"/>
      <c r="E36" s="1149">
        <v>1</v>
      </c>
      <c r="F36" s="1128" t="s">
        <v>1482</v>
      </c>
      <c r="G36" s="1129"/>
      <c r="H36" s="1100"/>
      <c r="I36" s="1100"/>
    </row>
    <row r="37" spans="1:9" s="1583" customFormat="1" ht="19.5" customHeight="1">
      <c r="A37" s="4060"/>
      <c r="B37" s="4060"/>
      <c r="C37" s="1126" t="s">
        <v>1483</v>
      </c>
      <c r="D37" s="1127"/>
      <c r="E37" s="1149">
        <v>1.5</v>
      </c>
      <c r="F37" s="1128" t="s">
        <v>1484</v>
      </c>
      <c r="G37" s="1129"/>
      <c r="H37" s="1100"/>
      <c r="I37" s="1100"/>
    </row>
    <row r="38" spans="1:9" s="1583" customFormat="1" ht="19.5" customHeight="1">
      <c r="A38" s="4060"/>
      <c r="B38" s="4060"/>
      <c r="C38" s="1126" t="s">
        <v>1485</v>
      </c>
      <c r="D38" s="1127"/>
      <c r="E38" s="1149">
        <v>1</v>
      </c>
      <c r="F38" s="1128" t="s">
        <v>1486</v>
      </c>
      <c r="G38" s="1129"/>
      <c r="H38" s="1100"/>
      <c r="I38" s="1100"/>
    </row>
    <row r="39" spans="1:9" s="1583" customFormat="1" ht="19.5" customHeight="1">
      <c r="A39" s="4060"/>
      <c r="B39" s="4060"/>
      <c r="C39" s="1126" t="s">
        <v>1487</v>
      </c>
      <c r="D39" s="1127"/>
      <c r="E39" s="1149">
        <v>1</v>
      </c>
      <c r="F39" s="1128" t="s">
        <v>1488</v>
      </c>
      <c r="G39" s="1129"/>
      <c r="H39" s="1100"/>
      <c r="I39" s="1100"/>
    </row>
    <row r="40" spans="1:9" s="1583" customFormat="1" ht="19.5" customHeight="1">
      <c r="A40" s="1584" t="s">
        <v>1489</v>
      </c>
      <c r="B40" s="1584"/>
      <c r="C40" s="1584"/>
      <c r="D40" s="1584"/>
      <c r="E40" s="158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4060" t="s">
        <v>1501</v>
      </c>
      <c r="C61" s="1063" t="s">
        <v>1502</v>
      </c>
      <c r="D61" s="1063" t="s">
        <v>1503</v>
      </c>
      <c r="E61" s="1134">
        <v>0.5</v>
      </c>
      <c r="F61" s="1149">
        <v>80</v>
      </c>
      <c r="H61" s="1100">
        <f>SUMIF(C59:C119,基准地价!C8,E59:E119)</f>
        <v>0</v>
      </c>
    </row>
    <row r="62" spans="1:8" s="1100" customFormat="1" ht="24">
      <c r="A62" s="1149">
        <v>2</v>
      </c>
      <c r="B62" s="4060"/>
      <c r="C62" s="1063" t="s">
        <v>1504</v>
      </c>
      <c r="D62" s="1063" t="s">
        <v>1505</v>
      </c>
      <c r="E62" s="1134">
        <v>0.5</v>
      </c>
      <c r="F62" s="1149">
        <v>80</v>
      </c>
    </row>
    <row r="63" spans="1:8" s="1100" customFormat="1" ht="36">
      <c r="A63" s="1149">
        <v>3</v>
      </c>
      <c r="B63" s="4060"/>
      <c r="C63" s="1063" t="s">
        <v>1506</v>
      </c>
      <c r="D63" s="1063" t="s">
        <v>1507</v>
      </c>
      <c r="E63" s="1134">
        <v>0.5</v>
      </c>
      <c r="F63" s="1149">
        <v>80</v>
      </c>
    </row>
    <row r="64" spans="1:8" s="1100" customFormat="1" ht="36">
      <c r="A64" s="1149">
        <v>4</v>
      </c>
      <c r="B64" s="4060"/>
      <c r="C64" s="1063" t="s">
        <v>1508</v>
      </c>
      <c r="D64" s="1063" t="s">
        <v>1509</v>
      </c>
      <c r="E64" s="1134">
        <v>0.4</v>
      </c>
      <c r="F64" s="1149">
        <v>60</v>
      </c>
    </row>
    <row r="65" spans="1:6" s="1100" customFormat="1" ht="36">
      <c r="A65" s="1149">
        <v>5</v>
      </c>
      <c r="B65" s="4060"/>
      <c r="C65" s="1063" t="s">
        <v>1510</v>
      </c>
      <c r="D65" s="1063" t="s">
        <v>1511</v>
      </c>
      <c r="E65" s="1134">
        <v>0.2</v>
      </c>
      <c r="F65" s="1149">
        <v>30</v>
      </c>
    </row>
    <row r="66" spans="1:6" s="1100" customFormat="1" ht="36">
      <c r="A66" s="1149">
        <v>6</v>
      </c>
      <c r="B66" s="4060"/>
      <c r="C66" s="1063" t="s">
        <v>1512</v>
      </c>
      <c r="D66" s="1063" t="s">
        <v>1513</v>
      </c>
      <c r="E66" s="1134">
        <v>0.3</v>
      </c>
      <c r="F66" s="1149">
        <v>50</v>
      </c>
    </row>
    <row r="67" spans="1:6" s="1100" customFormat="1" ht="36">
      <c r="A67" s="1149">
        <v>7</v>
      </c>
      <c r="B67" s="4060"/>
      <c r="C67" s="1063" t="s">
        <v>1514</v>
      </c>
      <c r="D67" s="1063" t="s">
        <v>1515</v>
      </c>
      <c r="E67" s="1134">
        <v>0.2</v>
      </c>
      <c r="F67" s="1149">
        <v>30</v>
      </c>
    </row>
    <row r="68" spans="1:6" s="1100" customFormat="1" ht="36">
      <c r="A68" s="1149">
        <v>8</v>
      </c>
      <c r="B68" s="4060"/>
      <c r="C68" s="1063" t="s">
        <v>1516</v>
      </c>
      <c r="D68" s="1063" t="s">
        <v>1517</v>
      </c>
      <c r="E68" s="1134">
        <v>0.2</v>
      </c>
      <c r="F68" s="1149">
        <v>30</v>
      </c>
    </row>
    <row r="69" spans="1:6" s="1100" customFormat="1" ht="36">
      <c r="A69" s="1149">
        <v>9</v>
      </c>
      <c r="B69" s="4060"/>
      <c r="C69" s="1063" t="s">
        <v>1518</v>
      </c>
      <c r="D69" s="1063" t="s">
        <v>1519</v>
      </c>
      <c r="E69" s="1134">
        <v>0.2</v>
      </c>
      <c r="F69" s="1149">
        <v>30</v>
      </c>
    </row>
    <row r="70" spans="1:6" s="1100" customFormat="1" ht="48">
      <c r="A70" s="1149">
        <v>10</v>
      </c>
      <c r="B70" s="4060"/>
      <c r="C70" s="1063" t="s">
        <v>1520</v>
      </c>
      <c r="D70" s="1063" t="s">
        <v>1521</v>
      </c>
      <c r="E70" s="1134">
        <v>0.2</v>
      </c>
      <c r="F70" s="1149">
        <v>30</v>
      </c>
    </row>
    <row r="71" spans="1:6" s="1100" customFormat="1" ht="48">
      <c r="A71" s="1149">
        <v>11</v>
      </c>
      <c r="B71" s="4060"/>
      <c r="C71" s="1063" t="s">
        <v>1522</v>
      </c>
      <c r="D71" s="1063" t="s">
        <v>1523</v>
      </c>
      <c r="E71" s="1134">
        <v>0.2</v>
      </c>
      <c r="F71" s="1149">
        <v>30</v>
      </c>
    </row>
    <row r="72" spans="1:6" s="1100" customFormat="1" ht="36">
      <c r="A72" s="1149">
        <v>12</v>
      </c>
      <c r="B72" s="4060"/>
      <c r="C72" s="1063" t="s">
        <v>1524</v>
      </c>
      <c r="D72" s="1063" t="s">
        <v>1525</v>
      </c>
      <c r="E72" s="1134">
        <v>0.5</v>
      </c>
      <c r="F72" s="1149">
        <v>80</v>
      </c>
    </row>
    <row r="73" spans="1:6" s="1100" customFormat="1" ht="24">
      <c r="A73" s="1149">
        <v>13</v>
      </c>
      <c r="B73" s="4060"/>
      <c r="C73" s="1063" t="s">
        <v>1526</v>
      </c>
      <c r="D73" s="1063" t="s">
        <v>1527</v>
      </c>
      <c r="E73" s="1134">
        <v>0.4</v>
      </c>
      <c r="F73" s="1149">
        <v>60</v>
      </c>
    </row>
    <row r="74" spans="1:6" s="1100" customFormat="1" ht="24">
      <c r="A74" s="1149">
        <v>14</v>
      </c>
      <c r="B74" s="4060"/>
      <c r="C74" s="1063" t="s">
        <v>1528</v>
      </c>
      <c r="D74" s="1063" t="s">
        <v>1529</v>
      </c>
      <c r="E74" s="1134">
        <v>0.2</v>
      </c>
      <c r="F74" s="1149">
        <v>30</v>
      </c>
    </row>
    <row r="75" spans="1:6" s="1100" customFormat="1" ht="24">
      <c r="A75" s="1149">
        <v>15</v>
      </c>
      <c r="B75" s="4060"/>
      <c r="C75" s="1063" t="s">
        <v>1530</v>
      </c>
      <c r="D75" s="1063" t="s">
        <v>1531</v>
      </c>
      <c r="E75" s="1134">
        <v>0.2</v>
      </c>
      <c r="F75" s="1149">
        <v>30</v>
      </c>
    </row>
    <row r="76" spans="1:6" s="1100" customFormat="1" ht="24">
      <c r="A76" s="1149">
        <v>16</v>
      </c>
      <c r="B76" s="4060" t="s">
        <v>1532</v>
      </c>
      <c r="C76" s="1063" t="s">
        <v>1533</v>
      </c>
      <c r="D76" s="1063" t="s">
        <v>1534</v>
      </c>
      <c r="E76" s="1134">
        <v>0.5</v>
      </c>
      <c r="F76" s="1149">
        <v>80</v>
      </c>
    </row>
    <row r="77" spans="1:6" s="1100" customFormat="1" ht="24">
      <c r="A77" s="1149">
        <v>17</v>
      </c>
      <c r="B77" s="4060"/>
      <c r="C77" s="1063" t="s">
        <v>1535</v>
      </c>
      <c r="D77" s="1063" t="s">
        <v>1536</v>
      </c>
      <c r="E77" s="1134">
        <v>0.5</v>
      </c>
      <c r="F77" s="1149">
        <v>80</v>
      </c>
    </row>
    <row r="78" spans="1:6" s="1100" customFormat="1" ht="24">
      <c r="A78" s="1149">
        <v>18</v>
      </c>
      <c r="B78" s="4060"/>
      <c r="C78" s="1063" t="s">
        <v>1537</v>
      </c>
      <c r="D78" s="1063" t="s">
        <v>1538</v>
      </c>
      <c r="E78" s="1134">
        <v>0.2</v>
      </c>
      <c r="F78" s="1149">
        <v>30</v>
      </c>
    </row>
    <row r="79" spans="1:6" s="1100" customFormat="1" ht="24">
      <c r="A79" s="1149">
        <v>19</v>
      </c>
      <c r="B79" s="4060"/>
      <c r="C79" s="1063" t="s">
        <v>1539</v>
      </c>
      <c r="D79" s="1063" t="s">
        <v>1540</v>
      </c>
      <c r="E79" s="1134">
        <v>0.5</v>
      </c>
      <c r="F79" s="1149">
        <v>80</v>
      </c>
    </row>
    <row r="80" spans="1:6" s="1100" customFormat="1" ht="36">
      <c r="A80" s="1149">
        <v>20</v>
      </c>
      <c r="B80" s="4060"/>
      <c r="C80" s="1063" t="s">
        <v>1541</v>
      </c>
      <c r="D80" s="1063" t="s">
        <v>1542</v>
      </c>
      <c r="E80" s="1134">
        <v>0.2</v>
      </c>
      <c r="F80" s="1149">
        <v>30</v>
      </c>
    </row>
    <row r="81" spans="1:6" s="1100" customFormat="1" ht="36">
      <c r="A81" s="1149">
        <v>21</v>
      </c>
      <c r="B81" s="4060"/>
      <c r="C81" s="1063" t="s">
        <v>1543</v>
      </c>
      <c r="D81" s="1063" t="s">
        <v>1544</v>
      </c>
      <c r="E81" s="1134">
        <v>0.2</v>
      </c>
      <c r="F81" s="1149">
        <v>30</v>
      </c>
    </row>
    <row r="82" spans="1:6" s="1100" customFormat="1" ht="48">
      <c r="A82" s="1149">
        <v>22</v>
      </c>
      <c r="B82" s="4060"/>
      <c r="C82" s="1063" t="s">
        <v>1545</v>
      </c>
      <c r="D82" s="1063" t="s">
        <v>1546</v>
      </c>
      <c r="E82" s="1134">
        <v>0.2</v>
      </c>
      <c r="F82" s="1149">
        <v>30</v>
      </c>
    </row>
    <row r="83" spans="1:6" s="1100" customFormat="1" ht="48">
      <c r="A83" s="1149">
        <v>23</v>
      </c>
      <c r="B83" s="4060"/>
      <c r="C83" s="1063" t="s">
        <v>1547</v>
      </c>
      <c r="D83" s="1063" t="s">
        <v>1548</v>
      </c>
      <c r="E83" s="1134">
        <v>0.2</v>
      </c>
      <c r="F83" s="1149">
        <v>30</v>
      </c>
    </row>
    <row r="84" spans="1:6" s="1100" customFormat="1" ht="36">
      <c r="A84" s="1149">
        <v>24</v>
      </c>
      <c r="B84" s="4060"/>
      <c r="C84" s="1063" t="s">
        <v>1549</v>
      </c>
      <c r="D84" s="1063" t="s">
        <v>1550</v>
      </c>
      <c r="E84" s="1134">
        <v>0.2</v>
      </c>
      <c r="F84" s="1149">
        <v>30</v>
      </c>
    </row>
    <row r="85" spans="1:6" s="1100" customFormat="1" ht="36">
      <c r="A85" s="1149">
        <v>25</v>
      </c>
      <c r="B85" s="4060"/>
      <c r="C85" s="1063" t="s">
        <v>1551</v>
      </c>
      <c r="D85" s="1063" t="s">
        <v>1552</v>
      </c>
      <c r="E85" s="1134">
        <v>0.5</v>
      </c>
      <c r="F85" s="1149">
        <v>80</v>
      </c>
    </row>
    <row r="86" spans="1:6" s="1100" customFormat="1" ht="36">
      <c r="A86" s="1149">
        <v>26</v>
      </c>
      <c r="B86" s="4060"/>
      <c r="C86" s="1063" t="s">
        <v>1553</v>
      </c>
      <c r="D86" s="1063" t="s">
        <v>1554</v>
      </c>
      <c r="E86" s="1134">
        <v>0.2</v>
      </c>
      <c r="F86" s="1149">
        <v>30</v>
      </c>
    </row>
    <row r="87" spans="1:6" s="1100" customFormat="1" ht="36">
      <c r="A87" s="1149">
        <v>27</v>
      </c>
      <c r="B87" s="4060"/>
      <c r="C87" s="1063" t="s">
        <v>1555</v>
      </c>
      <c r="D87" s="1063" t="s">
        <v>1556</v>
      </c>
      <c r="E87" s="1134">
        <v>0.2</v>
      </c>
      <c r="F87" s="1149">
        <v>30</v>
      </c>
    </row>
    <row r="88" spans="1:6" s="1100" customFormat="1" ht="36">
      <c r="A88" s="1149">
        <v>28</v>
      </c>
      <c r="B88" s="4060"/>
      <c r="C88" s="1063" t="s">
        <v>1557</v>
      </c>
      <c r="D88" s="1063" t="s">
        <v>1558</v>
      </c>
      <c r="E88" s="1134">
        <v>0.2</v>
      </c>
      <c r="F88" s="1149">
        <v>30</v>
      </c>
    </row>
    <row r="89" spans="1:6" s="1100" customFormat="1" ht="24">
      <c r="A89" s="1149">
        <v>29</v>
      </c>
      <c r="B89" s="4060"/>
      <c r="C89" s="1063" t="s">
        <v>1559</v>
      </c>
      <c r="D89" s="1063" t="s">
        <v>1560</v>
      </c>
      <c r="E89" s="1134">
        <v>0.2</v>
      </c>
      <c r="F89" s="1149">
        <v>30</v>
      </c>
    </row>
    <row r="90" spans="1:6" s="1100" customFormat="1" ht="24">
      <c r="A90" s="1149">
        <v>30</v>
      </c>
      <c r="B90" s="4060"/>
      <c r="C90" s="1063" t="s">
        <v>1561</v>
      </c>
      <c r="D90" s="1063" t="s">
        <v>1562</v>
      </c>
      <c r="E90" s="1134">
        <v>0.2</v>
      </c>
      <c r="F90" s="1149">
        <v>30</v>
      </c>
    </row>
    <row r="91" spans="1:6" s="1100" customFormat="1" ht="36">
      <c r="A91" s="1149">
        <v>31</v>
      </c>
      <c r="B91" s="4060"/>
      <c r="C91" s="1063" t="s">
        <v>1563</v>
      </c>
      <c r="D91" s="1063" t="s">
        <v>1564</v>
      </c>
      <c r="E91" s="1134">
        <v>0.2</v>
      </c>
      <c r="F91" s="1149">
        <v>30</v>
      </c>
    </row>
    <row r="92" spans="1:6" s="1100" customFormat="1" ht="24">
      <c r="A92" s="1149">
        <v>32</v>
      </c>
      <c r="B92" s="4060" t="s">
        <v>1565</v>
      </c>
      <c r="C92" s="1149" t="s">
        <v>1566</v>
      </c>
      <c r="D92" s="1063" t="s">
        <v>1567</v>
      </c>
      <c r="E92" s="1134">
        <v>0.2</v>
      </c>
      <c r="F92" s="1149">
        <v>30</v>
      </c>
    </row>
    <row r="93" spans="1:6" s="1100" customFormat="1" ht="36">
      <c r="A93" s="1149">
        <v>33</v>
      </c>
      <c r="B93" s="4060"/>
      <c r="C93" s="1149" t="s">
        <v>1568</v>
      </c>
      <c r="D93" s="1063" t="s">
        <v>1569</v>
      </c>
      <c r="E93" s="1134">
        <v>0.2</v>
      </c>
      <c r="F93" s="1149">
        <v>30</v>
      </c>
    </row>
    <row r="94" spans="1:6" s="1100" customFormat="1" ht="48">
      <c r="A94" s="1149">
        <v>34</v>
      </c>
      <c r="B94" s="4060"/>
      <c r="C94" s="1149" t="s">
        <v>1570</v>
      </c>
      <c r="D94" s="1063" t="s">
        <v>1571</v>
      </c>
      <c r="E94" s="1134">
        <v>0.2</v>
      </c>
      <c r="F94" s="1149">
        <v>30</v>
      </c>
    </row>
    <row r="95" spans="1:6" s="1100" customFormat="1" ht="36">
      <c r="A95" s="1149">
        <v>35</v>
      </c>
      <c r="B95" s="4060"/>
      <c r="C95" s="1149" t="s">
        <v>1572</v>
      </c>
      <c r="D95" s="1063" t="s">
        <v>1573</v>
      </c>
      <c r="E95" s="1134">
        <v>0.2</v>
      </c>
      <c r="F95" s="1149">
        <v>30</v>
      </c>
    </row>
    <row r="96" spans="1:6" s="1100" customFormat="1" ht="48">
      <c r="A96" s="1149">
        <v>36</v>
      </c>
      <c r="B96" s="4060"/>
      <c r="C96" s="1063" t="s">
        <v>1574</v>
      </c>
      <c r="D96" s="1063" t="s">
        <v>1575</v>
      </c>
      <c r="E96" s="1134">
        <v>0.2</v>
      </c>
      <c r="F96" s="1149">
        <v>30</v>
      </c>
    </row>
    <row r="97" spans="1:6" s="1100" customFormat="1" ht="36">
      <c r="A97" s="1149">
        <v>37</v>
      </c>
      <c r="B97" s="4060"/>
      <c r="C97" s="1149" t="s">
        <v>1576</v>
      </c>
      <c r="D97" s="1063" t="s">
        <v>1577</v>
      </c>
      <c r="E97" s="1134">
        <v>0.2</v>
      </c>
      <c r="F97" s="1149">
        <v>30</v>
      </c>
    </row>
    <row r="98" spans="1:6" s="1100" customFormat="1" ht="36">
      <c r="A98" s="1149">
        <v>38</v>
      </c>
      <c r="B98" s="4060"/>
      <c r="C98" s="1149" t="s">
        <v>1578</v>
      </c>
      <c r="D98" s="1063" t="s">
        <v>1579</v>
      </c>
      <c r="E98" s="1134">
        <v>0.2</v>
      </c>
      <c r="F98" s="1149">
        <v>30</v>
      </c>
    </row>
    <row r="99" spans="1:6" s="1100" customFormat="1" ht="36">
      <c r="A99" s="1149">
        <v>39</v>
      </c>
      <c r="B99" s="4060" t="s">
        <v>1580</v>
      </c>
      <c r="C99" s="1149" t="s">
        <v>1581</v>
      </c>
      <c r="D99" s="1063" t="s">
        <v>1582</v>
      </c>
      <c r="E99" s="1134">
        <v>0.3</v>
      </c>
      <c r="F99" s="1149">
        <v>50</v>
      </c>
    </row>
    <row r="100" spans="1:6" s="1100" customFormat="1" ht="24">
      <c r="A100" s="1149">
        <v>40</v>
      </c>
      <c r="B100" s="4060"/>
      <c r="C100" s="1149" t="s">
        <v>1583</v>
      </c>
      <c r="D100" s="1063" t="s">
        <v>1584</v>
      </c>
      <c r="E100" s="1134">
        <v>0.2</v>
      </c>
      <c r="F100" s="1149">
        <v>30</v>
      </c>
    </row>
    <row r="101" spans="1:6" s="1100" customFormat="1" ht="36">
      <c r="A101" s="1149">
        <v>41</v>
      </c>
      <c r="B101" s="4060"/>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4060" t="s">
        <v>1595</v>
      </c>
      <c r="C105" s="1149" t="s">
        <v>1596</v>
      </c>
      <c r="D105" s="1063" t="s">
        <v>1597</v>
      </c>
      <c r="E105" s="1134">
        <v>0.2</v>
      </c>
      <c r="F105" s="1149">
        <v>30</v>
      </c>
    </row>
    <row r="106" spans="1:6" s="1100" customFormat="1" ht="36">
      <c r="A106" s="1149">
        <v>46</v>
      </c>
      <c r="B106" s="4060"/>
      <c r="C106" s="1149" t="s">
        <v>1598</v>
      </c>
      <c r="D106" s="1063" t="s">
        <v>1599</v>
      </c>
      <c r="E106" s="1134">
        <v>0.2</v>
      </c>
      <c r="F106" s="1149">
        <v>30</v>
      </c>
    </row>
    <row r="107" spans="1:6" s="1100" customFormat="1" ht="36">
      <c r="A107" s="1149">
        <v>47</v>
      </c>
      <c r="B107" s="4060" t="s">
        <v>1600</v>
      </c>
      <c r="C107" s="1149" t="s">
        <v>1601</v>
      </c>
      <c r="D107" s="1063" t="s">
        <v>1602</v>
      </c>
      <c r="E107" s="1134">
        <v>0.3</v>
      </c>
      <c r="F107" s="1149">
        <v>50</v>
      </c>
    </row>
    <row r="108" spans="1:6" s="1100" customFormat="1" ht="36">
      <c r="A108" s="1149">
        <v>48</v>
      </c>
      <c r="B108" s="4060"/>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4060" t="s">
        <v>1611</v>
      </c>
      <c r="C111" s="1149" t="s">
        <v>1612</v>
      </c>
      <c r="D111" s="1063" t="s">
        <v>1613</v>
      </c>
      <c r="E111" s="1134">
        <v>0.2</v>
      </c>
      <c r="F111" s="1149">
        <v>30</v>
      </c>
    </row>
    <row r="112" spans="1:6" s="1100" customFormat="1" ht="24">
      <c r="A112" s="1149">
        <v>52</v>
      </c>
      <c r="B112" s="4060"/>
      <c r="C112" s="1149" t="s">
        <v>1614</v>
      </c>
      <c r="D112" s="1063" t="s">
        <v>1615</v>
      </c>
      <c r="E112" s="1134">
        <v>0.2</v>
      </c>
      <c r="F112" s="1149">
        <v>30</v>
      </c>
    </row>
    <row r="113" spans="1:14" s="1100" customFormat="1" ht="24">
      <c r="A113" s="1149">
        <v>53</v>
      </c>
      <c r="B113" s="4060"/>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4060" t="s">
        <v>1624</v>
      </c>
      <c r="C116" s="1149" t="s">
        <v>1625</v>
      </c>
      <c r="D116" s="1063" t="s">
        <v>1626</v>
      </c>
      <c r="E116" s="1134">
        <v>0.2</v>
      </c>
      <c r="F116" s="1149">
        <v>30</v>
      </c>
    </row>
    <row r="117" spans="1:14" ht="36">
      <c r="A117" s="1149">
        <v>57</v>
      </c>
      <c r="B117" s="4060"/>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4059" t="s">
        <v>1633</v>
      </c>
      <c r="B121" s="4059"/>
      <c r="C121" s="4059"/>
      <c r="D121" s="4059"/>
      <c r="E121" s="4059"/>
      <c r="F121" s="4059"/>
      <c r="G121" s="4059"/>
      <c r="H121" s="4059"/>
      <c r="I121" s="4059"/>
      <c r="J121" s="4059"/>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4074" t="s">
        <v>1039</v>
      </c>
      <c r="B1" s="4074"/>
      <c r="C1" s="4074"/>
      <c r="D1" s="4074"/>
      <c r="E1" s="4074"/>
      <c r="F1" s="4074"/>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4075" t="s">
        <v>1052</v>
      </c>
      <c r="B2" s="4075"/>
      <c r="C2" s="4075"/>
      <c r="D2" s="4075"/>
      <c r="E2" s="4075"/>
      <c r="F2" s="4075"/>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4076"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4077"/>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2422</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2423</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4078" t="s">
        <v>2079</v>
      </c>
      <c r="B1" s="4078"/>
    </row>
    <row r="2" spans="1:6" ht="14.25" thickBot="1">
      <c r="A2" s="1835"/>
      <c r="B2" s="1835"/>
    </row>
    <row r="3" spans="1:6" ht="14.25" thickBot="1">
      <c r="A3" s="1835"/>
      <c r="B3" s="1835"/>
      <c r="C3" s="1836" t="s">
        <v>2080</v>
      </c>
      <c r="D3" s="1836" t="s">
        <v>2081</v>
      </c>
      <c r="E3" s="1836" t="s">
        <v>2082</v>
      </c>
      <c r="F3" s="1836" t="s">
        <v>2083</v>
      </c>
    </row>
    <row r="4" spans="1:6" ht="14.25" thickBot="1">
      <c r="A4" s="1837" t="s">
        <v>2084</v>
      </c>
      <c r="B4" s="1838" t="s">
        <v>2085</v>
      </c>
      <c r="C4" s="1836"/>
      <c r="D4" s="1836"/>
      <c r="E4" s="1836"/>
      <c r="F4" s="1836"/>
    </row>
    <row r="5" spans="1:6" ht="14.25" thickBot="1">
      <c r="A5" s="1839" t="s">
        <v>2086</v>
      </c>
      <c r="B5" s="1840" t="s">
        <v>2087</v>
      </c>
      <c r="C5" s="1841">
        <v>8.8999999999999996E-2</v>
      </c>
      <c r="D5" s="1841">
        <v>7.3999999999999996E-2</v>
      </c>
      <c r="E5" s="1841">
        <v>7.4999999999999997E-2</v>
      </c>
      <c r="F5" s="1842">
        <v>0.1</v>
      </c>
    </row>
    <row r="6" spans="1:6" ht="14.25" thickBot="1">
      <c r="A6" s="1839" t="s">
        <v>1096</v>
      </c>
      <c r="B6" s="1843" t="s">
        <v>2088</v>
      </c>
      <c r="C6" s="1844">
        <v>0.1</v>
      </c>
      <c r="D6" s="1844">
        <v>9.0999999999999998E-2</v>
      </c>
      <c r="E6" s="1844">
        <v>9.0999999999999998E-2</v>
      </c>
      <c r="F6" s="1845">
        <v>0.1</v>
      </c>
    </row>
    <row r="7" spans="1:6" ht="14.25" thickBot="1">
      <c r="A7" s="1839" t="s">
        <v>1096</v>
      </c>
      <c r="B7" s="1846" t="s">
        <v>1084</v>
      </c>
      <c r="C7" s="1844">
        <v>8.5999999999999993E-2</v>
      </c>
      <c r="D7" s="1844">
        <v>9.6000000000000002E-2</v>
      </c>
      <c r="E7" s="1844">
        <v>7.5999999999999998E-2</v>
      </c>
      <c r="F7" s="1845">
        <v>0.1</v>
      </c>
    </row>
    <row r="8" spans="1:6" ht="14.25" thickBot="1">
      <c r="A8" s="1839" t="s">
        <v>1096</v>
      </c>
      <c r="B8" s="1843" t="s">
        <v>1097</v>
      </c>
      <c r="C8" s="1844">
        <v>9.9000000000000005E-2</v>
      </c>
      <c r="D8" s="1844">
        <v>9.8000000000000004E-2</v>
      </c>
      <c r="E8" s="1844">
        <v>9.8000000000000004E-2</v>
      </c>
      <c r="F8" s="1845">
        <v>0.1</v>
      </c>
    </row>
    <row r="9" spans="1:6" ht="14.25" thickBot="1">
      <c r="A9" s="1847" t="s">
        <v>1096</v>
      </c>
      <c r="B9" s="1848" t="s">
        <v>1111</v>
      </c>
      <c r="C9" s="1849">
        <v>0.05</v>
      </c>
      <c r="D9" s="1850"/>
      <c r="E9" s="1850"/>
      <c r="F9" s="1851"/>
    </row>
    <row r="10" spans="1:6" ht="14.25" thickBot="1">
      <c r="A10" s="1839" t="s">
        <v>1155</v>
      </c>
      <c r="B10" s="1840" t="s">
        <v>2089</v>
      </c>
      <c r="C10" s="1841">
        <v>8.8999999999999996E-2</v>
      </c>
      <c r="D10" s="1841">
        <v>7.2999999999999995E-2</v>
      </c>
      <c r="E10" s="1841">
        <v>8.2000000000000003E-2</v>
      </c>
      <c r="F10" s="1842">
        <v>0.1</v>
      </c>
    </row>
    <row r="11" spans="1:6" ht="14.25" thickBot="1">
      <c r="A11" s="1839" t="s">
        <v>1155</v>
      </c>
      <c r="B11" s="1846" t="s">
        <v>1071</v>
      </c>
      <c r="C11" s="1844">
        <v>8.8999999999999996E-2</v>
      </c>
      <c r="D11" s="1844">
        <v>7.2999999999999995E-2</v>
      </c>
      <c r="E11" s="1844">
        <v>8.2000000000000003E-2</v>
      </c>
      <c r="F11" s="1845">
        <v>0.1</v>
      </c>
    </row>
    <row r="12" spans="1:6" ht="14.25" thickBot="1">
      <c r="A12" s="1839" t="s">
        <v>1155</v>
      </c>
      <c r="B12" s="1846" t="s">
        <v>1085</v>
      </c>
      <c r="C12" s="1844">
        <v>6.0999999999999999E-2</v>
      </c>
      <c r="D12" s="1844">
        <v>7.0999999999999994E-2</v>
      </c>
      <c r="E12" s="1844">
        <v>9.6000000000000002E-2</v>
      </c>
      <c r="F12" s="1845">
        <v>0.1</v>
      </c>
    </row>
    <row r="13" spans="1:6" ht="14.25" thickBot="1">
      <c r="A13" s="1839" t="s">
        <v>1155</v>
      </c>
      <c r="B13" s="1846" t="s">
        <v>1098</v>
      </c>
      <c r="C13" s="1844">
        <v>6.9000000000000006E-2</v>
      </c>
      <c r="D13" s="1844">
        <v>6.5000000000000002E-2</v>
      </c>
      <c r="E13" s="1844">
        <v>6.6000000000000003E-2</v>
      </c>
      <c r="F13" s="1845">
        <v>0.1</v>
      </c>
    </row>
    <row r="14" spans="1:6" ht="14.25" thickBot="1">
      <c r="A14" s="1839" t="s">
        <v>1155</v>
      </c>
      <c r="B14" s="1846" t="s">
        <v>1112</v>
      </c>
      <c r="C14" s="1844">
        <v>0.1</v>
      </c>
      <c r="D14" s="1844">
        <v>6.5000000000000002E-2</v>
      </c>
      <c r="E14" s="1844">
        <v>7.0000000000000007E-2</v>
      </c>
      <c r="F14" s="1845">
        <v>0.1</v>
      </c>
    </row>
    <row r="15" spans="1:6" ht="14.25" thickBot="1">
      <c r="A15" s="1839" t="s">
        <v>1155</v>
      </c>
      <c r="B15" s="1846" t="s">
        <v>1123</v>
      </c>
      <c r="C15" s="1844">
        <v>9.8000000000000004E-2</v>
      </c>
      <c r="D15" s="1844">
        <v>8.8999999999999996E-2</v>
      </c>
      <c r="E15" s="1844">
        <v>8.8999999999999996E-2</v>
      </c>
      <c r="F15" s="1845">
        <v>0.1</v>
      </c>
    </row>
    <row r="16" spans="1:6" ht="14.25" thickBot="1">
      <c r="A16" s="1839" t="s">
        <v>1155</v>
      </c>
      <c r="B16" s="1846" t="s">
        <v>1134</v>
      </c>
      <c r="C16" s="1844">
        <v>7.0000000000000007E-2</v>
      </c>
      <c r="D16" s="1844">
        <v>9.2999999999999999E-2</v>
      </c>
      <c r="E16" s="1844">
        <v>9.6000000000000002E-2</v>
      </c>
      <c r="F16" s="1845">
        <v>0.1</v>
      </c>
    </row>
    <row r="17" spans="1:6" ht="14.25" thickBot="1">
      <c r="A17" s="1839" t="s">
        <v>1155</v>
      </c>
      <c r="B17" s="1846" t="s">
        <v>1145</v>
      </c>
      <c r="C17" s="1844">
        <v>9.5000000000000001E-2</v>
      </c>
      <c r="D17" s="1844">
        <v>0.1</v>
      </c>
      <c r="E17" s="1844">
        <v>0.1</v>
      </c>
      <c r="F17" s="1852"/>
    </row>
    <row r="18" spans="1:6" ht="14.25" thickBot="1">
      <c r="A18" s="1839" t="s">
        <v>1155</v>
      </c>
      <c r="B18" s="1846" t="s">
        <v>1157</v>
      </c>
      <c r="C18" s="1844">
        <v>7.3999999999999996E-2</v>
      </c>
      <c r="D18" s="1844">
        <v>9.9000000000000005E-2</v>
      </c>
      <c r="E18" s="1844">
        <v>0.1</v>
      </c>
      <c r="F18" s="1852"/>
    </row>
    <row r="19" spans="1:6" ht="14.25" thickBot="1">
      <c r="A19" s="1839" t="s">
        <v>1155</v>
      </c>
      <c r="B19" s="1846" t="s">
        <v>1167</v>
      </c>
      <c r="C19" s="1844">
        <v>9.9000000000000005E-2</v>
      </c>
      <c r="D19" s="1844">
        <v>7.5999999999999998E-2</v>
      </c>
      <c r="E19" s="1844">
        <v>8.6999999999999994E-2</v>
      </c>
      <c r="F19" s="1852"/>
    </row>
    <row r="20" spans="1:6" ht="14.25" thickBot="1">
      <c r="A20" s="1839" t="s">
        <v>1155</v>
      </c>
      <c r="B20" s="1846" t="s">
        <v>1177</v>
      </c>
      <c r="C20" s="1844">
        <v>9.8000000000000004E-2</v>
      </c>
      <c r="D20" s="1844">
        <v>8.5000000000000006E-2</v>
      </c>
      <c r="E20" s="1844">
        <v>8.2000000000000003E-2</v>
      </c>
      <c r="F20" s="1852"/>
    </row>
    <row r="21" spans="1:6" ht="14.25" thickBot="1">
      <c r="A21" s="1839" t="s">
        <v>1155</v>
      </c>
      <c r="B21" s="1846" t="s">
        <v>1187</v>
      </c>
      <c r="C21" s="1844">
        <v>6.6000000000000003E-2</v>
      </c>
      <c r="D21" s="1844">
        <v>6.4000000000000001E-2</v>
      </c>
      <c r="E21" s="1844">
        <v>6.5000000000000002E-2</v>
      </c>
      <c r="F21" s="1852"/>
    </row>
    <row r="22" spans="1:6" ht="14.25" thickBot="1">
      <c r="A22" s="1839" t="s">
        <v>1155</v>
      </c>
      <c r="B22" s="1846" t="s">
        <v>2090</v>
      </c>
      <c r="C22" s="1844">
        <v>0.08</v>
      </c>
      <c r="D22" s="1844">
        <v>9.8000000000000004E-2</v>
      </c>
      <c r="E22" s="1844">
        <v>9.8000000000000004E-2</v>
      </c>
      <c r="F22" s="1852"/>
    </row>
    <row r="23" spans="1:6" ht="14.25" thickBot="1">
      <c r="A23" s="1839" t="s">
        <v>1155</v>
      </c>
      <c r="B23" s="1846" t="s">
        <v>1207</v>
      </c>
      <c r="C23" s="1844">
        <v>9.9000000000000005E-2</v>
      </c>
      <c r="D23" s="1844">
        <v>9.8000000000000004E-2</v>
      </c>
      <c r="E23" s="1844">
        <v>9.0999999999999998E-2</v>
      </c>
      <c r="F23" s="1852"/>
    </row>
    <row r="24" spans="1:6" ht="14.25" thickBot="1">
      <c r="A24" s="1839" t="s">
        <v>1155</v>
      </c>
      <c r="B24" s="1846" t="s">
        <v>1217</v>
      </c>
      <c r="C24" s="1844">
        <v>8.8999999999999996E-2</v>
      </c>
      <c r="D24" s="1844">
        <v>9.7000000000000003E-2</v>
      </c>
      <c r="E24" s="1844">
        <v>7.0000000000000007E-2</v>
      </c>
      <c r="F24" s="1852"/>
    </row>
    <row r="25" spans="1:6" ht="14.25" thickBot="1">
      <c r="A25" s="1839" t="s">
        <v>1155</v>
      </c>
      <c r="B25" s="1846" t="s">
        <v>1227</v>
      </c>
      <c r="C25" s="1844">
        <v>8.8999999999999996E-2</v>
      </c>
      <c r="D25" s="1844">
        <v>0.1</v>
      </c>
      <c r="E25" s="1844">
        <v>8.1000000000000003E-2</v>
      </c>
      <c r="F25" s="1852"/>
    </row>
    <row r="26" spans="1:6" ht="14.25" thickBot="1">
      <c r="A26" s="1839" t="s">
        <v>1155</v>
      </c>
      <c r="B26" s="1846" t="s">
        <v>1237</v>
      </c>
      <c r="C26" s="1853"/>
      <c r="D26" s="1844">
        <v>9.6000000000000002E-2</v>
      </c>
      <c r="E26" s="1844">
        <v>9.2999999999999999E-2</v>
      </c>
      <c r="F26" s="1852"/>
    </row>
    <row r="27" spans="1:6" ht="14.25" thickBot="1">
      <c r="A27" s="1839" t="s">
        <v>1155</v>
      </c>
      <c r="B27" s="1846" t="s">
        <v>1247</v>
      </c>
      <c r="C27" s="1853"/>
      <c r="D27" s="1844">
        <v>7.5999999999999998E-2</v>
      </c>
      <c r="E27" s="1844">
        <v>9.1999999999999998E-2</v>
      </c>
      <c r="F27" s="1852"/>
    </row>
    <row r="28" spans="1:6" ht="14.25" thickBot="1">
      <c r="A28" s="1847" t="s">
        <v>1155</v>
      </c>
      <c r="B28" s="1848" t="s">
        <v>1257</v>
      </c>
      <c r="C28" s="1850"/>
      <c r="D28" s="1849">
        <v>7.5999999999999998E-2</v>
      </c>
      <c r="E28" s="1849">
        <v>9.1999999999999998E-2</v>
      </c>
      <c r="F28" s="1851"/>
    </row>
    <row r="29" spans="1:6" ht="14.25" thickBot="1">
      <c r="A29" s="1839" t="s">
        <v>1326</v>
      </c>
      <c r="B29" s="1840" t="s">
        <v>2091</v>
      </c>
      <c r="C29" s="1841">
        <v>6.4000000000000001E-2</v>
      </c>
      <c r="D29" s="1841">
        <v>6.5000000000000002E-2</v>
      </c>
      <c r="E29" s="1841">
        <v>6.9000000000000006E-2</v>
      </c>
      <c r="F29" s="1842">
        <v>0.1</v>
      </c>
    </row>
    <row r="30" spans="1:6" ht="14.25" thickBot="1">
      <c r="A30" s="1839" t="s">
        <v>1326</v>
      </c>
      <c r="B30" s="1846" t="s">
        <v>1072</v>
      </c>
      <c r="C30" s="1844">
        <v>6.4000000000000001E-2</v>
      </c>
      <c r="D30" s="1844">
        <v>9.9000000000000005E-2</v>
      </c>
      <c r="E30" s="1844">
        <v>0.1</v>
      </c>
      <c r="F30" s="1845">
        <v>0.1</v>
      </c>
    </row>
    <row r="31" spans="1:6" ht="14.25" thickBot="1">
      <c r="A31" s="1839" t="s">
        <v>1326</v>
      </c>
      <c r="B31" s="1846" t="s">
        <v>1086</v>
      </c>
      <c r="C31" s="1844">
        <v>0.1</v>
      </c>
      <c r="D31" s="1844">
        <v>9.5000000000000001E-2</v>
      </c>
      <c r="E31" s="1844">
        <v>8.8999999999999996E-2</v>
      </c>
      <c r="F31" s="1845">
        <v>0.1</v>
      </c>
    </row>
    <row r="32" spans="1:6" ht="14.25" thickBot="1">
      <c r="A32" s="1839" t="s">
        <v>1326</v>
      </c>
      <c r="B32" s="1846" t="s">
        <v>1099</v>
      </c>
      <c r="C32" s="1844">
        <v>0.05</v>
      </c>
      <c r="D32" s="1844">
        <v>0.05</v>
      </c>
      <c r="E32" s="1844">
        <v>8.7999999999999995E-2</v>
      </c>
      <c r="F32" s="1845">
        <v>0.1</v>
      </c>
    </row>
    <row r="33" spans="1:6" ht="14.25" thickBot="1">
      <c r="A33" s="1839" t="s">
        <v>1326</v>
      </c>
      <c r="B33" s="1846" t="s">
        <v>1113</v>
      </c>
      <c r="C33" s="1844">
        <v>7.4999999999999997E-2</v>
      </c>
      <c r="D33" s="1844">
        <v>9.4E-2</v>
      </c>
      <c r="E33" s="1844">
        <v>9.7000000000000003E-2</v>
      </c>
      <c r="F33" s="1845">
        <v>0.1</v>
      </c>
    </row>
    <row r="34" spans="1:6" ht="14.25" thickBot="1">
      <c r="A34" s="1839" t="s">
        <v>1326</v>
      </c>
      <c r="B34" s="1846" t="s">
        <v>1124</v>
      </c>
      <c r="C34" s="1844">
        <v>9.8000000000000004E-2</v>
      </c>
      <c r="D34" s="1844">
        <v>8.5999999999999993E-2</v>
      </c>
      <c r="E34" s="1844">
        <v>9.7000000000000003E-2</v>
      </c>
      <c r="F34" s="1845">
        <v>0.1</v>
      </c>
    </row>
    <row r="35" spans="1:6" ht="14.25" thickBot="1">
      <c r="A35" s="1839" t="s">
        <v>1326</v>
      </c>
      <c r="B35" s="1846" t="s">
        <v>1135</v>
      </c>
      <c r="C35" s="1844">
        <v>5.8999999999999997E-2</v>
      </c>
      <c r="D35" s="1844">
        <v>6.5000000000000002E-2</v>
      </c>
      <c r="E35" s="1844">
        <v>7.0000000000000007E-2</v>
      </c>
      <c r="F35" s="1845">
        <v>0.1</v>
      </c>
    </row>
    <row r="36" spans="1:6" ht="14.25" thickBot="1">
      <c r="A36" s="1839" t="s">
        <v>1326</v>
      </c>
      <c r="B36" s="1846" t="s">
        <v>1146</v>
      </c>
      <c r="C36" s="1844">
        <v>6.3E-2</v>
      </c>
      <c r="D36" s="1844">
        <v>0.1</v>
      </c>
      <c r="E36" s="1844">
        <v>0.1</v>
      </c>
      <c r="F36" s="1845">
        <v>0.1</v>
      </c>
    </row>
    <row r="37" spans="1:6" ht="14.25" thickBot="1">
      <c r="A37" s="1839" t="s">
        <v>1326</v>
      </c>
      <c r="B37" s="1846" t="s">
        <v>1158</v>
      </c>
      <c r="C37" s="1844">
        <v>7.3999999999999996E-2</v>
      </c>
      <c r="D37" s="1844">
        <v>0.1</v>
      </c>
      <c r="E37" s="1844">
        <v>0.1</v>
      </c>
      <c r="F37" s="1845">
        <v>0.1</v>
      </c>
    </row>
    <row r="38" spans="1:6" ht="14.25" thickBot="1">
      <c r="A38" s="1839" t="s">
        <v>1326</v>
      </c>
      <c r="B38" s="1846" t="s">
        <v>1168</v>
      </c>
      <c r="C38" s="1844">
        <v>0.1</v>
      </c>
      <c r="D38" s="1844">
        <v>9.6000000000000002E-2</v>
      </c>
      <c r="E38" s="1844">
        <v>9.6000000000000002E-2</v>
      </c>
      <c r="F38" s="1852"/>
    </row>
    <row r="39" spans="1:6" ht="14.25" thickBot="1">
      <c r="A39" s="1839" t="s">
        <v>1326</v>
      </c>
      <c r="B39" s="1846" t="s">
        <v>1178</v>
      </c>
      <c r="C39" s="1844">
        <v>0.1</v>
      </c>
      <c r="D39" s="1844">
        <v>9.6000000000000002E-2</v>
      </c>
      <c r="E39" s="1844">
        <v>9.6000000000000002E-2</v>
      </c>
      <c r="F39" s="1852"/>
    </row>
    <row r="40" spans="1:6" ht="14.25" thickBot="1">
      <c r="A40" s="1839" t="s">
        <v>1326</v>
      </c>
      <c r="B40" s="1846" t="s">
        <v>1188</v>
      </c>
      <c r="C40" s="1844">
        <v>9.6000000000000002E-2</v>
      </c>
      <c r="D40" s="1844">
        <v>0.1</v>
      </c>
      <c r="E40" s="1844">
        <v>9.9000000000000005E-2</v>
      </c>
      <c r="F40" s="1852"/>
    </row>
    <row r="41" spans="1:6" ht="14.25" thickBot="1">
      <c r="A41" s="1839" t="s">
        <v>1326</v>
      </c>
      <c r="B41" s="1846" t="s">
        <v>1198</v>
      </c>
      <c r="C41" s="1844">
        <v>9.6000000000000002E-2</v>
      </c>
      <c r="D41" s="1844">
        <v>9.8000000000000004E-2</v>
      </c>
      <c r="E41" s="1844">
        <v>9.8000000000000004E-2</v>
      </c>
      <c r="F41" s="1852"/>
    </row>
    <row r="42" spans="1:6" ht="14.25" thickBot="1">
      <c r="A42" s="1839" t="s">
        <v>1326</v>
      </c>
      <c r="B42" s="1846" t="s">
        <v>1208</v>
      </c>
      <c r="C42" s="1844">
        <v>0.1</v>
      </c>
      <c r="D42" s="1844">
        <v>8.7999999999999995E-2</v>
      </c>
      <c r="E42" s="1844">
        <v>0.1</v>
      </c>
      <c r="F42" s="1852"/>
    </row>
    <row r="43" spans="1:6" ht="14.25" thickBot="1">
      <c r="A43" s="1839" t="s">
        <v>1326</v>
      </c>
      <c r="B43" s="1846" t="s">
        <v>1218</v>
      </c>
      <c r="C43" s="1844">
        <v>9.8000000000000004E-2</v>
      </c>
      <c r="D43" s="1844">
        <v>9.7000000000000003E-2</v>
      </c>
      <c r="E43" s="1844">
        <v>9.6000000000000002E-2</v>
      </c>
      <c r="F43" s="1852"/>
    </row>
    <row r="44" spans="1:6" ht="14.25" thickBot="1">
      <c r="A44" s="1839" t="s">
        <v>1326</v>
      </c>
      <c r="B44" s="1846" t="s">
        <v>1228</v>
      </c>
      <c r="C44" s="1844">
        <v>8.5999999999999993E-2</v>
      </c>
      <c r="D44" s="1844">
        <v>7.9000000000000001E-2</v>
      </c>
      <c r="E44" s="1844">
        <v>7.0999999999999994E-2</v>
      </c>
      <c r="F44" s="1852"/>
    </row>
    <row r="45" spans="1:6" ht="14.25" thickBot="1">
      <c r="A45" s="1839" t="s">
        <v>1326</v>
      </c>
      <c r="B45" s="1846" t="s">
        <v>1238</v>
      </c>
      <c r="C45" s="1844">
        <v>9.8000000000000004E-2</v>
      </c>
      <c r="D45" s="1844">
        <v>9.6000000000000002E-2</v>
      </c>
      <c r="E45" s="1844">
        <v>9.6000000000000002E-2</v>
      </c>
      <c r="F45" s="1852"/>
    </row>
    <row r="46" spans="1:6" ht="14.25" thickBot="1">
      <c r="A46" s="1839" t="s">
        <v>1326</v>
      </c>
      <c r="B46" s="1846" t="s">
        <v>1248</v>
      </c>
      <c r="C46" s="1844">
        <v>8.5999999999999993E-2</v>
      </c>
      <c r="D46" s="1844">
        <v>9.8000000000000004E-2</v>
      </c>
      <c r="E46" s="1844">
        <v>8.7999999999999995E-2</v>
      </c>
      <c r="F46" s="1852"/>
    </row>
    <row r="47" spans="1:6" ht="14.25" thickBot="1">
      <c r="A47" s="1839" t="s">
        <v>1326</v>
      </c>
      <c r="B47" s="1846" t="s">
        <v>1258</v>
      </c>
      <c r="C47" s="1844">
        <v>9.6000000000000002E-2</v>
      </c>
      <c r="D47" s="1853"/>
      <c r="E47" s="1844">
        <v>6.9000000000000006E-2</v>
      </c>
      <c r="F47" s="1852"/>
    </row>
    <row r="48" spans="1:6" ht="14.25" thickBot="1">
      <c r="A48" s="1847" t="s">
        <v>1326</v>
      </c>
      <c r="B48" s="1848" t="s">
        <v>1267</v>
      </c>
      <c r="C48" s="1849">
        <v>9.8000000000000004E-2</v>
      </c>
      <c r="D48" s="1850"/>
      <c r="E48" s="1849">
        <v>9.5000000000000001E-2</v>
      </c>
      <c r="F48" s="1851"/>
    </row>
    <row r="49" spans="1:6" ht="14.25" thickBot="1">
      <c r="A49" s="1839" t="s">
        <v>925</v>
      </c>
      <c r="B49" s="1840" t="s">
        <v>2092</v>
      </c>
      <c r="C49" s="1841">
        <v>9.7000000000000003E-2</v>
      </c>
      <c r="D49" s="1841">
        <v>9.5000000000000001E-2</v>
      </c>
      <c r="E49" s="1841">
        <v>9.7000000000000003E-2</v>
      </c>
      <c r="F49" s="1842">
        <v>0.1</v>
      </c>
    </row>
    <row r="50" spans="1:6" ht="14.25" thickBot="1">
      <c r="A50" s="1839" t="s">
        <v>925</v>
      </c>
      <c r="B50" s="1843" t="s">
        <v>1073</v>
      </c>
      <c r="C50" s="1844">
        <v>7.4999999999999997E-2</v>
      </c>
      <c r="D50" s="1844">
        <v>9.5000000000000001E-2</v>
      </c>
      <c r="E50" s="1844">
        <v>0.1</v>
      </c>
      <c r="F50" s="1845">
        <v>0.1</v>
      </c>
    </row>
    <row r="51" spans="1:6" ht="14.25" thickBot="1">
      <c r="A51" s="1839" t="s">
        <v>925</v>
      </c>
      <c r="B51" s="1843" t="s">
        <v>1087</v>
      </c>
      <c r="C51" s="1844">
        <v>9.8000000000000004E-2</v>
      </c>
      <c r="D51" s="1844">
        <v>8.8999999999999996E-2</v>
      </c>
      <c r="E51" s="1844">
        <v>0.1</v>
      </c>
      <c r="F51" s="1845">
        <v>0.1</v>
      </c>
    </row>
    <row r="52" spans="1:6" ht="14.25" thickBot="1">
      <c r="A52" s="1839" t="s">
        <v>925</v>
      </c>
      <c r="B52" s="1843" t="s">
        <v>1100</v>
      </c>
      <c r="C52" s="1844">
        <v>9.8000000000000004E-2</v>
      </c>
      <c r="D52" s="1844">
        <v>9.7000000000000003E-2</v>
      </c>
      <c r="E52" s="1844">
        <v>8.1000000000000003E-2</v>
      </c>
      <c r="F52" s="1845">
        <v>0.1</v>
      </c>
    </row>
    <row r="53" spans="1:6" ht="14.25" thickBot="1">
      <c r="A53" s="1839" t="s">
        <v>925</v>
      </c>
      <c r="B53" s="1843" t="s">
        <v>1114</v>
      </c>
      <c r="C53" s="1844">
        <v>9.7000000000000003E-2</v>
      </c>
      <c r="D53" s="1844">
        <v>7.5999999999999998E-2</v>
      </c>
      <c r="E53" s="1844">
        <v>7.0999999999999994E-2</v>
      </c>
      <c r="F53" s="1845">
        <v>0.1</v>
      </c>
    </row>
    <row r="54" spans="1:6" ht="14.25" thickBot="1">
      <c r="A54" s="1839" t="s">
        <v>925</v>
      </c>
      <c r="B54" s="1843" t="s">
        <v>1125</v>
      </c>
      <c r="C54" s="1844">
        <v>7.5999999999999998E-2</v>
      </c>
      <c r="D54" s="1844">
        <v>0.1</v>
      </c>
      <c r="E54" s="1844">
        <v>9.9000000000000005E-2</v>
      </c>
      <c r="F54" s="1845">
        <v>0.1</v>
      </c>
    </row>
    <row r="55" spans="1:6" ht="14.25" thickBot="1">
      <c r="A55" s="1839" t="s">
        <v>925</v>
      </c>
      <c r="B55" s="1843" t="s">
        <v>1136</v>
      </c>
      <c r="C55" s="1844">
        <v>0.1</v>
      </c>
      <c r="D55" s="1844">
        <v>0.1</v>
      </c>
      <c r="E55" s="1844">
        <v>9.6000000000000002E-2</v>
      </c>
      <c r="F55" s="1845">
        <v>0.1</v>
      </c>
    </row>
    <row r="56" spans="1:6" ht="14.25" thickBot="1">
      <c r="A56" s="1839" t="s">
        <v>925</v>
      </c>
      <c r="B56" s="1843" t="s">
        <v>1147</v>
      </c>
      <c r="C56" s="1844">
        <v>0.1</v>
      </c>
      <c r="D56" s="1844">
        <v>9.6000000000000002E-2</v>
      </c>
      <c r="E56" s="1844">
        <v>5.1999999999999998E-2</v>
      </c>
      <c r="F56" s="1845">
        <v>0.1</v>
      </c>
    </row>
    <row r="57" spans="1:6" ht="14.25" thickBot="1">
      <c r="A57" s="1839" t="s">
        <v>925</v>
      </c>
      <c r="B57" s="1843" t="s">
        <v>1159</v>
      </c>
      <c r="C57" s="1844">
        <v>9.7000000000000003E-2</v>
      </c>
      <c r="D57" s="1844">
        <v>9.6000000000000002E-2</v>
      </c>
      <c r="E57" s="1844">
        <v>9.6000000000000002E-2</v>
      </c>
      <c r="F57" s="1845">
        <v>0.1</v>
      </c>
    </row>
    <row r="58" spans="1:6" ht="14.25" thickBot="1">
      <c r="A58" s="1839" t="s">
        <v>925</v>
      </c>
      <c r="B58" s="1843" t="s">
        <v>1169</v>
      </c>
      <c r="C58" s="1844">
        <v>9.6000000000000002E-2</v>
      </c>
      <c r="D58" s="1844">
        <v>9.9000000000000005E-2</v>
      </c>
      <c r="E58" s="1844">
        <v>9.6000000000000002E-2</v>
      </c>
      <c r="F58" s="1845">
        <v>0.1</v>
      </c>
    </row>
    <row r="59" spans="1:6" ht="14.25" thickBot="1">
      <c r="A59" s="1839" t="s">
        <v>925</v>
      </c>
      <c r="B59" s="1843" t="s">
        <v>1179</v>
      </c>
      <c r="C59" s="1844">
        <v>7.1999999999999995E-2</v>
      </c>
      <c r="D59" s="1844">
        <v>9.6000000000000002E-2</v>
      </c>
      <c r="E59" s="1844">
        <v>7.0999999999999994E-2</v>
      </c>
      <c r="F59" s="1845">
        <v>0.1</v>
      </c>
    </row>
    <row r="60" spans="1:6" ht="14.25" thickBot="1">
      <c r="A60" s="1839" t="s">
        <v>925</v>
      </c>
      <c r="B60" s="1843" t="s">
        <v>1189</v>
      </c>
      <c r="C60" s="1844">
        <v>9.6000000000000002E-2</v>
      </c>
      <c r="D60" s="1844">
        <v>8.8999999999999996E-2</v>
      </c>
      <c r="E60" s="1844">
        <v>9.6000000000000002E-2</v>
      </c>
      <c r="F60" s="1845">
        <v>0.1</v>
      </c>
    </row>
    <row r="61" spans="1:6" ht="14.25" thickBot="1">
      <c r="A61" s="1839" t="s">
        <v>925</v>
      </c>
      <c r="B61" s="1843" t="s">
        <v>1199</v>
      </c>
      <c r="C61" s="1844">
        <v>8.8999999999999996E-2</v>
      </c>
      <c r="D61" s="1844">
        <v>9.8000000000000004E-2</v>
      </c>
      <c r="E61" s="1844">
        <v>8.7999999999999995E-2</v>
      </c>
      <c r="F61" s="1852"/>
    </row>
    <row r="62" spans="1:6" ht="14.25" thickBot="1">
      <c r="A62" s="1839" t="s">
        <v>925</v>
      </c>
      <c r="B62" s="1843" t="s">
        <v>1209</v>
      </c>
      <c r="C62" s="1844">
        <v>9.8000000000000004E-2</v>
      </c>
      <c r="D62" s="1844">
        <v>9.2999999999999999E-2</v>
      </c>
      <c r="E62" s="1844">
        <v>9.7000000000000003E-2</v>
      </c>
      <c r="F62" s="1852"/>
    </row>
    <row r="63" spans="1:6" ht="14.25" thickBot="1">
      <c r="A63" s="1839" t="s">
        <v>925</v>
      </c>
      <c r="B63" s="1843" t="s">
        <v>1219</v>
      </c>
      <c r="C63" s="1844">
        <v>9.6000000000000002E-2</v>
      </c>
      <c r="D63" s="1844">
        <v>9.8000000000000004E-2</v>
      </c>
      <c r="E63" s="1844">
        <v>0.09</v>
      </c>
      <c r="F63" s="1852"/>
    </row>
    <row r="64" spans="1:6" ht="14.25" thickBot="1">
      <c r="A64" s="1839" t="s">
        <v>925</v>
      </c>
      <c r="B64" s="1843" t="s">
        <v>1229</v>
      </c>
      <c r="C64" s="1844">
        <v>9.9000000000000005E-2</v>
      </c>
      <c r="D64" s="1844">
        <v>9.7000000000000003E-2</v>
      </c>
      <c r="E64" s="1844">
        <v>9.9000000000000005E-2</v>
      </c>
      <c r="F64" s="1852"/>
    </row>
    <row r="65" spans="1:6" ht="14.25" thickBot="1">
      <c r="A65" s="1839" t="s">
        <v>925</v>
      </c>
      <c r="B65" s="1843" t="s">
        <v>1239</v>
      </c>
      <c r="C65" s="1844">
        <v>9.8000000000000004E-2</v>
      </c>
      <c r="D65" s="1844">
        <v>9.6000000000000002E-2</v>
      </c>
      <c r="E65" s="1844">
        <v>9.6000000000000002E-2</v>
      </c>
      <c r="F65" s="1852"/>
    </row>
    <row r="66" spans="1:6" ht="14.25" thickBot="1">
      <c r="A66" s="1839" t="s">
        <v>925</v>
      </c>
      <c r="B66" s="1843" t="s">
        <v>1249</v>
      </c>
      <c r="C66" s="1844">
        <v>9.6000000000000002E-2</v>
      </c>
      <c r="D66" s="1844">
        <v>9.1999999999999998E-2</v>
      </c>
      <c r="E66" s="1844">
        <v>9.6000000000000002E-2</v>
      </c>
      <c r="F66" s="1852"/>
    </row>
    <row r="67" spans="1:6" ht="14.25" thickBot="1">
      <c r="A67" s="1839" t="s">
        <v>925</v>
      </c>
      <c r="B67" s="1843" t="s">
        <v>1259</v>
      </c>
      <c r="C67" s="1844">
        <v>9.4E-2</v>
      </c>
      <c r="D67" s="1844">
        <v>0.1</v>
      </c>
      <c r="E67" s="1844">
        <v>8.7999999999999995E-2</v>
      </c>
      <c r="F67" s="1852"/>
    </row>
    <row r="68" spans="1:6" ht="14.25" thickBot="1">
      <c r="A68" s="1839" t="s">
        <v>925</v>
      </c>
      <c r="B68" s="1843" t="s">
        <v>1268</v>
      </c>
      <c r="C68" s="1844">
        <v>0.1</v>
      </c>
      <c r="D68" s="1844">
        <v>8.7999999999999995E-2</v>
      </c>
      <c r="E68" s="1844">
        <v>9.7000000000000003E-2</v>
      </c>
      <c r="F68" s="1852"/>
    </row>
    <row r="69" spans="1:6" ht="14.25" thickBot="1">
      <c r="A69" s="1839" t="s">
        <v>925</v>
      </c>
      <c r="B69" s="1843" t="s">
        <v>1277</v>
      </c>
      <c r="C69" s="1844">
        <v>6.4000000000000001E-2</v>
      </c>
      <c r="D69" s="1844">
        <v>0.1</v>
      </c>
      <c r="E69" s="1844">
        <v>0.1</v>
      </c>
      <c r="F69" s="1852"/>
    </row>
    <row r="70" spans="1:6" ht="14.25" thickBot="1">
      <c r="A70" s="1839" t="s">
        <v>925</v>
      </c>
      <c r="B70" s="1843" t="s">
        <v>1285</v>
      </c>
      <c r="C70" s="1844">
        <v>9.0999999999999998E-2</v>
      </c>
      <c r="D70" s="1853"/>
      <c r="E70" s="1853"/>
      <c r="F70" s="1852"/>
    </row>
    <row r="71" spans="1:6" ht="14.25" thickBot="1">
      <c r="A71" s="1839" t="s">
        <v>925</v>
      </c>
      <c r="B71" s="1843" t="s">
        <v>1292</v>
      </c>
      <c r="C71" s="1844">
        <v>0.1</v>
      </c>
      <c r="D71" s="1853"/>
      <c r="E71" s="1853"/>
      <c r="F71" s="1852"/>
    </row>
    <row r="72" spans="1:6" ht="14.25" thickBot="1">
      <c r="A72" s="1839" t="s">
        <v>925</v>
      </c>
      <c r="B72" s="1843" t="s">
        <v>2093</v>
      </c>
      <c r="C72" s="1853"/>
      <c r="D72" s="1853"/>
      <c r="E72" s="1853"/>
      <c r="F72" s="1845">
        <v>0.05</v>
      </c>
    </row>
    <row r="73" spans="1:6" ht="14.25" thickBot="1">
      <c r="A73" s="1839" t="s">
        <v>925</v>
      </c>
      <c r="B73" s="1843" t="s">
        <v>2094</v>
      </c>
      <c r="C73" s="1853"/>
      <c r="D73" s="1853"/>
      <c r="E73" s="1853"/>
      <c r="F73" s="1845">
        <v>0.05</v>
      </c>
    </row>
    <row r="74" spans="1:6" ht="14.25" thickBot="1">
      <c r="A74" s="1839" t="s">
        <v>925</v>
      </c>
      <c r="B74" s="1843" t="s">
        <v>2095</v>
      </c>
      <c r="C74" s="1853"/>
      <c r="D74" s="1853"/>
      <c r="E74" s="1853"/>
      <c r="F74" s="1845">
        <v>0.05</v>
      </c>
    </row>
    <row r="75" spans="1:6" ht="14.25" thickBot="1">
      <c r="A75" s="1847" t="s">
        <v>925</v>
      </c>
      <c r="B75" s="1854" t="s">
        <v>2096</v>
      </c>
      <c r="C75" s="1850"/>
      <c r="D75" s="1850"/>
      <c r="E75" s="1850"/>
      <c r="F75" s="1855">
        <v>0.05</v>
      </c>
    </row>
    <row r="76" spans="1:6" ht="14.25" thickBot="1">
      <c r="A76" s="1839" t="s">
        <v>1407</v>
      </c>
      <c r="B76" s="1840" t="s">
        <v>2097</v>
      </c>
      <c r="C76" s="1841">
        <v>0.1</v>
      </c>
      <c r="D76" s="1841">
        <v>0.1</v>
      </c>
      <c r="E76" s="1841">
        <v>0.1</v>
      </c>
      <c r="F76" s="1842">
        <v>0.1</v>
      </c>
    </row>
    <row r="77" spans="1:6" ht="14.25" thickBot="1">
      <c r="A77" s="1839" t="s">
        <v>1407</v>
      </c>
      <c r="B77" s="1843" t="s">
        <v>1074</v>
      </c>
      <c r="C77" s="1844">
        <v>8.7999999999999995E-2</v>
      </c>
      <c r="D77" s="1844">
        <v>8.6999999999999994E-2</v>
      </c>
      <c r="E77" s="1844">
        <v>7.9000000000000001E-2</v>
      </c>
      <c r="F77" s="1845">
        <v>0.1</v>
      </c>
    </row>
    <row r="78" spans="1:6" ht="14.25" thickBot="1">
      <c r="A78" s="1839" t="s">
        <v>1407</v>
      </c>
      <c r="B78" s="1843" t="s">
        <v>1088</v>
      </c>
      <c r="C78" s="1844">
        <v>8.6999999999999994E-2</v>
      </c>
      <c r="D78" s="1844">
        <v>8.4000000000000005E-2</v>
      </c>
      <c r="E78" s="1844">
        <v>9.6000000000000002E-2</v>
      </c>
      <c r="F78" s="1845">
        <v>0.1</v>
      </c>
    </row>
    <row r="79" spans="1:6" ht="14.25" thickBot="1">
      <c r="A79" s="1839" t="s">
        <v>1407</v>
      </c>
      <c r="B79" s="1843" t="s">
        <v>1101</v>
      </c>
      <c r="C79" s="1844">
        <v>9.8000000000000004E-2</v>
      </c>
      <c r="D79" s="1844">
        <v>9.8000000000000004E-2</v>
      </c>
      <c r="E79" s="1844">
        <v>9.0999999999999998E-2</v>
      </c>
      <c r="F79" s="1845">
        <v>0.1</v>
      </c>
    </row>
    <row r="80" spans="1:6" ht="14.25" thickBot="1">
      <c r="A80" s="1839" t="s">
        <v>1407</v>
      </c>
      <c r="B80" s="1843" t="s">
        <v>1115</v>
      </c>
      <c r="C80" s="1844">
        <v>9.6000000000000002E-2</v>
      </c>
      <c r="D80" s="1844">
        <v>9.6000000000000002E-2</v>
      </c>
      <c r="E80" s="1844">
        <v>0.1</v>
      </c>
      <c r="F80" s="1845">
        <v>0.1</v>
      </c>
    </row>
    <row r="81" spans="1:6" ht="14.25" thickBot="1">
      <c r="A81" s="1839" t="s">
        <v>1407</v>
      </c>
      <c r="B81" s="1843" t="s">
        <v>1126</v>
      </c>
      <c r="C81" s="1844">
        <v>9.9000000000000005E-2</v>
      </c>
      <c r="D81" s="1844">
        <v>9.9000000000000005E-2</v>
      </c>
      <c r="E81" s="1844">
        <v>9.8000000000000004E-2</v>
      </c>
      <c r="F81" s="1845">
        <v>0.1</v>
      </c>
    </row>
    <row r="82" spans="1:6" ht="14.25" thickBot="1">
      <c r="A82" s="1839" t="s">
        <v>1407</v>
      </c>
      <c r="B82" s="1843" t="s">
        <v>1137</v>
      </c>
      <c r="C82" s="1844">
        <v>9.9000000000000005E-2</v>
      </c>
      <c r="D82" s="1844">
        <v>9.9000000000000005E-2</v>
      </c>
      <c r="E82" s="1844">
        <v>9.7000000000000003E-2</v>
      </c>
      <c r="F82" s="1845">
        <v>0.1</v>
      </c>
    </row>
    <row r="83" spans="1:6" ht="14.25" thickBot="1">
      <c r="A83" s="1839" t="s">
        <v>1407</v>
      </c>
      <c r="B83" s="1843" t="s">
        <v>1148</v>
      </c>
      <c r="C83" s="1844">
        <v>9.8000000000000004E-2</v>
      </c>
      <c r="D83" s="1844">
        <v>9.8000000000000004E-2</v>
      </c>
      <c r="E83" s="1844">
        <v>9.8000000000000004E-2</v>
      </c>
      <c r="F83" s="1845">
        <v>0.1</v>
      </c>
    </row>
    <row r="84" spans="1:6" ht="14.25" thickBot="1">
      <c r="A84" s="1839" t="s">
        <v>1407</v>
      </c>
      <c r="B84" s="1843" t="s">
        <v>1160</v>
      </c>
      <c r="C84" s="1844">
        <v>9.9000000000000005E-2</v>
      </c>
      <c r="D84" s="1844">
        <v>9.9000000000000005E-2</v>
      </c>
      <c r="E84" s="1844">
        <v>9.9000000000000005E-2</v>
      </c>
      <c r="F84" s="1845">
        <v>0.1</v>
      </c>
    </row>
    <row r="85" spans="1:6" ht="14.25" thickBot="1">
      <c r="A85" s="1839" t="s">
        <v>1407</v>
      </c>
      <c r="B85" s="1843" t="s">
        <v>1170</v>
      </c>
      <c r="C85" s="1844">
        <v>9.9000000000000005E-2</v>
      </c>
      <c r="D85" s="1844">
        <v>9.9000000000000005E-2</v>
      </c>
      <c r="E85" s="1844">
        <v>9.9000000000000005E-2</v>
      </c>
      <c r="F85" s="1845">
        <v>0.1</v>
      </c>
    </row>
    <row r="86" spans="1:6" ht="14.25" thickBot="1">
      <c r="A86" s="1839" t="s">
        <v>1407</v>
      </c>
      <c r="B86" s="1843" t="s">
        <v>1180</v>
      </c>
      <c r="C86" s="1844">
        <v>0.1</v>
      </c>
      <c r="D86" s="1844">
        <v>0.1</v>
      </c>
      <c r="E86" s="1844">
        <v>7.6999999999999999E-2</v>
      </c>
      <c r="F86" s="1845">
        <v>0.1</v>
      </c>
    </row>
    <row r="87" spans="1:6" ht="14.25" thickBot="1">
      <c r="A87" s="1839" t="s">
        <v>1407</v>
      </c>
      <c r="B87" s="1843" t="s">
        <v>1190</v>
      </c>
      <c r="C87" s="1844">
        <v>0.1</v>
      </c>
      <c r="D87" s="1844">
        <v>0.1</v>
      </c>
      <c r="E87" s="1844">
        <v>9.8000000000000004E-2</v>
      </c>
      <c r="F87" s="1852"/>
    </row>
    <row r="88" spans="1:6" ht="14.25" thickBot="1">
      <c r="A88" s="1839" t="s">
        <v>1407</v>
      </c>
      <c r="B88" s="1843" t="s">
        <v>1200</v>
      </c>
      <c r="C88" s="1844">
        <v>9.1999999999999998E-2</v>
      </c>
      <c r="D88" s="1844">
        <v>8.5000000000000006E-2</v>
      </c>
      <c r="E88" s="1844">
        <v>9.6000000000000002E-2</v>
      </c>
      <c r="F88" s="1852"/>
    </row>
    <row r="89" spans="1:6" ht="14.25" thickBot="1">
      <c r="A89" s="1839" t="s">
        <v>1407</v>
      </c>
      <c r="B89" s="1843" t="s">
        <v>1210</v>
      </c>
      <c r="C89" s="1844">
        <v>0.1</v>
      </c>
      <c r="D89" s="1844">
        <v>0.1</v>
      </c>
      <c r="E89" s="1844">
        <v>9.7000000000000003E-2</v>
      </c>
      <c r="F89" s="1852"/>
    </row>
    <row r="90" spans="1:6" ht="14.25" thickBot="1">
      <c r="A90" s="1839" t="s">
        <v>1407</v>
      </c>
      <c r="B90" s="1843" t="s">
        <v>1220</v>
      </c>
      <c r="C90" s="1844">
        <v>9.8000000000000004E-2</v>
      </c>
      <c r="D90" s="1844">
        <v>9.8000000000000004E-2</v>
      </c>
      <c r="E90" s="1844">
        <v>8.7999999999999995E-2</v>
      </c>
      <c r="F90" s="1852"/>
    </row>
    <row r="91" spans="1:6" ht="14.25" thickBot="1">
      <c r="A91" s="1839" t="s">
        <v>1407</v>
      </c>
      <c r="B91" s="1843" t="s">
        <v>1230</v>
      </c>
      <c r="C91" s="1844">
        <v>9.9000000000000005E-2</v>
      </c>
      <c r="D91" s="1844">
        <v>9.9000000000000005E-2</v>
      </c>
      <c r="E91" s="1844">
        <v>9.0999999999999998E-2</v>
      </c>
      <c r="F91" s="1852"/>
    </row>
    <row r="92" spans="1:6" ht="14.25" thickBot="1">
      <c r="A92" s="1839" t="s">
        <v>1407</v>
      </c>
      <c r="B92" s="1843" t="s">
        <v>1240</v>
      </c>
      <c r="C92" s="1844">
        <v>9.6000000000000002E-2</v>
      </c>
      <c r="D92" s="1844">
        <v>9.6000000000000002E-2</v>
      </c>
      <c r="E92" s="1844">
        <v>7.2999999999999995E-2</v>
      </c>
      <c r="F92" s="1852"/>
    </row>
    <row r="93" spans="1:6" ht="14.25" thickBot="1">
      <c r="A93" s="1839" t="s">
        <v>1407</v>
      </c>
      <c r="B93" s="1843" t="s">
        <v>1250</v>
      </c>
      <c r="C93" s="1844">
        <v>9.6000000000000002E-2</v>
      </c>
      <c r="D93" s="1844">
        <v>9.6000000000000002E-2</v>
      </c>
      <c r="E93" s="1844">
        <v>9.9000000000000005E-2</v>
      </c>
      <c r="F93" s="1852"/>
    </row>
    <row r="94" spans="1:6" ht="14.25" thickBot="1">
      <c r="A94" s="1839" t="s">
        <v>1407</v>
      </c>
      <c r="B94" s="1843" t="s">
        <v>1260</v>
      </c>
      <c r="C94" s="1844">
        <v>7.5999999999999998E-2</v>
      </c>
      <c r="D94" s="1844">
        <v>7.3999999999999996E-2</v>
      </c>
      <c r="E94" s="1844">
        <v>9.7000000000000003E-2</v>
      </c>
      <c r="F94" s="1852"/>
    </row>
    <row r="95" spans="1:6" ht="14.25" thickBot="1">
      <c r="A95" s="1839" t="s">
        <v>1407</v>
      </c>
      <c r="B95" s="1843" t="s">
        <v>1269</v>
      </c>
      <c r="C95" s="1844">
        <v>9.9000000000000005E-2</v>
      </c>
      <c r="D95" s="1844">
        <v>9.4E-2</v>
      </c>
      <c r="E95" s="1844">
        <v>9.6000000000000002E-2</v>
      </c>
      <c r="F95" s="1852"/>
    </row>
    <row r="96" spans="1:6" ht="14.25" thickBot="1">
      <c r="A96" s="1839" t="s">
        <v>1407</v>
      </c>
      <c r="B96" s="1843" t="s">
        <v>1278</v>
      </c>
      <c r="C96" s="1844">
        <v>9.9000000000000005E-2</v>
      </c>
      <c r="D96" s="1844">
        <v>9.9000000000000005E-2</v>
      </c>
      <c r="E96" s="1844">
        <v>9.9000000000000005E-2</v>
      </c>
      <c r="F96" s="1852"/>
    </row>
    <row r="97" spans="1:6" ht="14.25" thickBot="1">
      <c r="A97" s="1839" t="s">
        <v>1407</v>
      </c>
      <c r="B97" s="1843" t="s">
        <v>1286</v>
      </c>
      <c r="C97" s="1844">
        <v>9.8000000000000004E-2</v>
      </c>
      <c r="D97" s="1844">
        <v>9.8000000000000004E-2</v>
      </c>
      <c r="E97" s="1844">
        <v>9.7000000000000003E-2</v>
      </c>
      <c r="F97" s="1852"/>
    </row>
    <row r="98" spans="1:6" ht="14.25" thickBot="1">
      <c r="A98" s="1839" t="s">
        <v>1407</v>
      </c>
      <c r="B98" s="1843" t="s">
        <v>1293</v>
      </c>
      <c r="C98" s="1844">
        <v>0.1</v>
      </c>
      <c r="D98" s="1844">
        <v>0.1</v>
      </c>
      <c r="E98" s="1844">
        <v>9.7000000000000003E-2</v>
      </c>
      <c r="F98" s="1852"/>
    </row>
    <row r="99" spans="1:6" ht="14.25" thickBot="1">
      <c r="A99" s="1839" t="s">
        <v>1407</v>
      </c>
      <c r="B99" s="1843" t="s">
        <v>1300</v>
      </c>
      <c r="C99" s="1844">
        <v>0.1</v>
      </c>
      <c r="D99" s="1844">
        <v>0.1</v>
      </c>
      <c r="E99" s="1853"/>
      <c r="F99" s="1852"/>
    </row>
    <row r="100" spans="1:6" ht="14.25" thickBot="1">
      <c r="A100" s="1839" t="s">
        <v>1407</v>
      </c>
      <c r="B100" s="1843" t="s">
        <v>1307</v>
      </c>
      <c r="C100" s="1844">
        <v>0.09</v>
      </c>
      <c r="D100" s="1844">
        <v>8.8999999999999996E-2</v>
      </c>
      <c r="E100" s="1853"/>
      <c r="F100" s="1852"/>
    </row>
    <row r="101" spans="1:6" ht="14.25" thickBot="1">
      <c r="A101" s="1839" t="s">
        <v>1407</v>
      </c>
      <c r="B101" s="1843" t="s">
        <v>1314</v>
      </c>
      <c r="C101" s="1844">
        <v>9.8000000000000004E-2</v>
      </c>
      <c r="D101" s="1844">
        <v>9.7000000000000003E-2</v>
      </c>
      <c r="E101" s="1853"/>
      <c r="F101" s="1852"/>
    </row>
    <row r="102" spans="1:6" ht="14.25" thickBot="1">
      <c r="A102" s="1839" t="s">
        <v>1407</v>
      </c>
      <c r="B102" s="1843" t="s">
        <v>2098</v>
      </c>
      <c r="C102" s="1853"/>
      <c r="D102" s="1853"/>
      <c r="E102" s="1853"/>
      <c r="F102" s="1845">
        <v>0.05</v>
      </c>
    </row>
    <row r="103" spans="1:6" ht="24.75" thickBot="1">
      <c r="A103" s="1839" t="s">
        <v>1407</v>
      </c>
      <c r="B103" s="1843" t="s">
        <v>2099</v>
      </c>
      <c r="C103" s="1853"/>
      <c r="D103" s="1853"/>
      <c r="E103" s="1853"/>
      <c r="F103" s="1845">
        <v>0.05</v>
      </c>
    </row>
    <row r="104" spans="1:6" ht="14.25" thickBot="1">
      <c r="A104" s="1839" t="s">
        <v>1407</v>
      </c>
      <c r="B104" s="1843" t="s">
        <v>2100</v>
      </c>
      <c r="C104" s="1853"/>
      <c r="D104" s="1853"/>
      <c r="E104" s="1853"/>
      <c r="F104" s="1845">
        <v>0.05</v>
      </c>
    </row>
    <row r="105" spans="1:6" ht="14.25" thickBot="1">
      <c r="A105" s="1839" t="s">
        <v>1407</v>
      </c>
      <c r="B105" s="1843" t="s">
        <v>2101</v>
      </c>
      <c r="C105" s="1853"/>
      <c r="D105" s="1853"/>
      <c r="E105" s="1853"/>
      <c r="F105" s="1845">
        <v>0.05</v>
      </c>
    </row>
    <row r="106" spans="1:6" ht="14.25" thickBot="1">
      <c r="A106" s="1839" t="s">
        <v>1407</v>
      </c>
      <c r="B106" s="1843" t="s">
        <v>2102</v>
      </c>
      <c r="C106" s="1853"/>
      <c r="D106" s="1853"/>
      <c r="E106" s="1853"/>
      <c r="F106" s="1845">
        <v>0.05</v>
      </c>
    </row>
    <row r="107" spans="1:6" ht="24.75" thickBot="1">
      <c r="A107" s="1839" t="s">
        <v>1407</v>
      </c>
      <c r="B107" s="1843" t="s">
        <v>2103</v>
      </c>
      <c r="C107" s="1853"/>
      <c r="D107" s="1853"/>
      <c r="E107" s="1853"/>
      <c r="F107" s="1845">
        <v>0.05</v>
      </c>
    </row>
    <row r="108" spans="1:6" ht="24.75" thickBot="1">
      <c r="A108" s="1839" t="s">
        <v>1407</v>
      </c>
      <c r="B108" s="1843" t="s">
        <v>2104</v>
      </c>
      <c r="C108" s="1853"/>
      <c r="D108" s="1853"/>
      <c r="E108" s="1853"/>
      <c r="F108" s="1845">
        <v>0.05</v>
      </c>
    </row>
    <row r="109" spans="1:6" ht="24.75" thickBot="1">
      <c r="A109" s="1847" t="s">
        <v>1407</v>
      </c>
      <c r="B109" s="1854" t="s">
        <v>2105</v>
      </c>
      <c r="C109" s="1850"/>
      <c r="D109" s="1850"/>
      <c r="E109" s="1850"/>
      <c r="F109" s="1855">
        <v>0.05</v>
      </c>
    </row>
    <row r="110" spans="1:6" ht="14.25" thickBot="1">
      <c r="A110" s="1839" t="s">
        <v>1409</v>
      </c>
      <c r="B110" s="1840" t="s">
        <v>2106</v>
      </c>
      <c r="C110" s="1841">
        <v>0.129</v>
      </c>
      <c r="D110" s="1841">
        <v>0.129</v>
      </c>
      <c r="E110" s="1841">
        <v>0.126</v>
      </c>
      <c r="F110" s="1842">
        <v>0.13</v>
      </c>
    </row>
    <row r="111" spans="1:6" ht="14.25" thickBot="1">
      <c r="A111" s="1839" t="s">
        <v>1409</v>
      </c>
      <c r="B111" s="1843" t="s">
        <v>1075</v>
      </c>
      <c r="C111" s="1844">
        <v>0.11</v>
      </c>
      <c r="D111" s="1844">
        <v>0.11</v>
      </c>
      <c r="E111" s="1844">
        <v>9.9000000000000005E-2</v>
      </c>
      <c r="F111" s="1845">
        <v>0.128</v>
      </c>
    </row>
    <row r="112" spans="1:6" ht="14.25" thickBot="1">
      <c r="A112" s="1839" t="s">
        <v>1409</v>
      </c>
      <c r="B112" s="1843" t="s">
        <v>1089</v>
      </c>
      <c r="C112" s="1844">
        <v>0.125</v>
      </c>
      <c r="D112" s="1844">
        <v>0.125</v>
      </c>
      <c r="E112" s="1844">
        <v>0.12</v>
      </c>
      <c r="F112" s="1845">
        <v>0.125</v>
      </c>
    </row>
    <row r="113" spans="1:6" ht="14.25" thickBot="1">
      <c r="A113" s="1839" t="s">
        <v>1409</v>
      </c>
      <c r="B113" s="1843" t="s">
        <v>1102</v>
      </c>
      <c r="C113" s="1844">
        <v>0.13</v>
      </c>
      <c r="D113" s="1844">
        <v>0.13</v>
      </c>
      <c r="E113" s="1844">
        <v>0.13</v>
      </c>
      <c r="F113" s="1845">
        <v>0.13</v>
      </c>
    </row>
    <row r="114" spans="1:6" ht="14.25" thickBot="1">
      <c r="A114" s="1839" t="s">
        <v>1409</v>
      </c>
      <c r="B114" s="1843" t="s">
        <v>1116</v>
      </c>
      <c r="C114" s="1844">
        <v>0.123</v>
      </c>
      <c r="D114" s="1844">
        <v>0.123</v>
      </c>
      <c r="E114" s="1844">
        <v>0.12</v>
      </c>
      <c r="F114" s="1845">
        <v>0.13</v>
      </c>
    </row>
    <row r="115" spans="1:6" ht="14.25" thickBot="1">
      <c r="A115" s="1839" t="s">
        <v>1409</v>
      </c>
      <c r="B115" s="1843" t="s">
        <v>1127</v>
      </c>
      <c r="C115" s="1844">
        <v>0.125</v>
      </c>
      <c r="D115" s="1844">
        <v>0.125</v>
      </c>
      <c r="E115" s="1844">
        <v>0.11700000000000001</v>
      </c>
      <c r="F115" s="1845">
        <v>0.13</v>
      </c>
    </row>
    <row r="116" spans="1:6" ht="14.25" thickBot="1">
      <c r="A116" s="1839" t="s">
        <v>1409</v>
      </c>
      <c r="B116" s="1843" t="s">
        <v>1138</v>
      </c>
      <c r="C116" s="1844">
        <v>0.11700000000000001</v>
      </c>
      <c r="D116" s="1844">
        <v>0.11700000000000001</v>
      </c>
      <c r="E116" s="1844">
        <v>8.7999999999999995E-2</v>
      </c>
      <c r="F116" s="1845">
        <v>0.13</v>
      </c>
    </row>
    <row r="117" spans="1:6" ht="14.25" thickBot="1">
      <c r="A117" s="1839" t="s">
        <v>1409</v>
      </c>
      <c r="B117" s="1843" t="s">
        <v>1149</v>
      </c>
      <c r="C117" s="1844">
        <v>0.13</v>
      </c>
      <c r="D117" s="1844">
        <v>0.13</v>
      </c>
      <c r="E117" s="1844">
        <v>0.129</v>
      </c>
      <c r="F117" s="1845">
        <v>0.13</v>
      </c>
    </row>
    <row r="118" spans="1:6" ht="14.25" thickBot="1">
      <c r="A118" s="1839" t="s">
        <v>1409</v>
      </c>
      <c r="B118" s="1843" t="s">
        <v>1161</v>
      </c>
      <c r="C118" s="1844">
        <v>0.123</v>
      </c>
      <c r="D118" s="1844">
        <v>0.123</v>
      </c>
      <c r="E118" s="1844">
        <v>0.11600000000000001</v>
      </c>
      <c r="F118" s="1845">
        <v>0.13</v>
      </c>
    </row>
    <row r="119" spans="1:6" ht="14.25" thickBot="1">
      <c r="A119" s="1839" t="s">
        <v>1409</v>
      </c>
      <c r="B119" s="1843" t="s">
        <v>1171</v>
      </c>
      <c r="C119" s="1844">
        <v>0.127</v>
      </c>
      <c r="D119" s="1844">
        <v>0.127</v>
      </c>
      <c r="E119" s="1844">
        <v>0.124</v>
      </c>
      <c r="F119" s="1845">
        <v>0.13</v>
      </c>
    </row>
    <row r="120" spans="1:6" ht="14.25" thickBot="1">
      <c r="A120" s="1839" t="s">
        <v>1409</v>
      </c>
      <c r="B120" s="1843" t="s">
        <v>1181</v>
      </c>
      <c r="C120" s="1844">
        <v>0.125</v>
      </c>
      <c r="D120" s="1844">
        <v>0.125</v>
      </c>
      <c r="E120" s="1844">
        <v>0.122</v>
      </c>
      <c r="F120" s="1845">
        <v>0.13</v>
      </c>
    </row>
    <row r="121" spans="1:6" ht="14.25" thickBot="1">
      <c r="A121" s="1839" t="s">
        <v>1409</v>
      </c>
      <c r="B121" s="1843" t="s">
        <v>1191</v>
      </c>
      <c r="C121" s="1844">
        <v>0.13</v>
      </c>
      <c r="D121" s="1844">
        <v>0.13</v>
      </c>
      <c r="E121" s="1844">
        <v>0.13</v>
      </c>
      <c r="F121" s="1845">
        <v>0.13</v>
      </c>
    </row>
    <row r="122" spans="1:6" ht="14.25" thickBot="1">
      <c r="A122" s="1839" t="s">
        <v>1409</v>
      </c>
      <c r="B122" s="1843" t="s">
        <v>1201</v>
      </c>
      <c r="C122" s="1844">
        <v>0.13</v>
      </c>
      <c r="D122" s="1844">
        <v>0.13</v>
      </c>
      <c r="E122" s="1844">
        <v>0.125</v>
      </c>
      <c r="F122" s="1845">
        <v>0.13</v>
      </c>
    </row>
    <row r="123" spans="1:6" ht="14.25" thickBot="1">
      <c r="A123" s="1839" t="s">
        <v>1409</v>
      </c>
      <c r="B123" s="1843" t="s">
        <v>1211</v>
      </c>
      <c r="C123" s="1844">
        <v>0.129</v>
      </c>
      <c r="D123" s="1844">
        <v>0.129</v>
      </c>
      <c r="E123" s="1844">
        <v>0.123</v>
      </c>
      <c r="F123" s="1845">
        <v>0.13</v>
      </c>
    </row>
    <row r="124" spans="1:6" ht="14.25" thickBot="1">
      <c r="A124" s="1839" t="s">
        <v>1409</v>
      </c>
      <c r="B124" s="1843" t="s">
        <v>1221</v>
      </c>
      <c r="C124" s="1844">
        <v>0.10199999999999999</v>
      </c>
      <c r="D124" s="1844">
        <v>0.10100000000000001</v>
      </c>
      <c r="E124" s="1844">
        <v>0.08</v>
      </c>
      <c r="F124" s="1852"/>
    </row>
    <row r="125" spans="1:6" ht="14.25" thickBot="1">
      <c r="A125" s="1839" t="s">
        <v>1409</v>
      </c>
      <c r="B125" s="1843" t="s">
        <v>1231</v>
      </c>
      <c r="C125" s="1844">
        <v>0.13</v>
      </c>
      <c r="D125" s="1844">
        <v>0.13</v>
      </c>
      <c r="E125" s="1844">
        <v>0.129</v>
      </c>
      <c r="F125" s="1852"/>
    </row>
    <row r="126" spans="1:6" ht="14.25" thickBot="1">
      <c r="A126" s="1839" t="s">
        <v>1409</v>
      </c>
      <c r="B126" s="1843" t="s">
        <v>1241</v>
      </c>
      <c r="C126" s="1844">
        <v>0.13</v>
      </c>
      <c r="D126" s="1844">
        <v>0.13</v>
      </c>
      <c r="E126" s="1844">
        <v>0.126</v>
      </c>
      <c r="F126" s="1852"/>
    </row>
    <row r="127" spans="1:6" ht="14.25" thickBot="1">
      <c r="A127" s="1839" t="s">
        <v>1409</v>
      </c>
      <c r="B127" s="1843" t="s">
        <v>1251</v>
      </c>
      <c r="C127" s="1844">
        <v>0.125</v>
      </c>
      <c r="D127" s="1844">
        <v>0.125</v>
      </c>
      <c r="E127" s="1844">
        <v>0.121</v>
      </c>
      <c r="F127" s="1852"/>
    </row>
    <row r="128" spans="1:6" ht="14.25" thickBot="1">
      <c r="A128" s="1839" t="s">
        <v>1409</v>
      </c>
      <c r="B128" s="1843" t="s">
        <v>1261</v>
      </c>
      <c r="C128" s="1844">
        <v>0.12</v>
      </c>
      <c r="D128" s="1844">
        <v>0.12</v>
      </c>
      <c r="E128" s="1844">
        <v>0.105</v>
      </c>
      <c r="F128" s="1852"/>
    </row>
    <row r="129" spans="1:6" ht="14.25" thickBot="1">
      <c r="A129" s="1839" t="s">
        <v>1409</v>
      </c>
      <c r="B129" s="1843" t="s">
        <v>1270</v>
      </c>
      <c r="C129" s="1844">
        <v>0.13</v>
      </c>
      <c r="D129" s="1844">
        <v>0.13</v>
      </c>
      <c r="E129" s="1844">
        <v>0.126</v>
      </c>
      <c r="F129" s="1852"/>
    </row>
    <row r="130" spans="1:6" ht="14.25" thickBot="1">
      <c r="A130" s="1839" t="s">
        <v>1409</v>
      </c>
      <c r="B130" s="1843" t="s">
        <v>1279</v>
      </c>
      <c r="C130" s="1844">
        <v>0.125</v>
      </c>
      <c r="D130" s="1844">
        <v>0.125</v>
      </c>
      <c r="E130" s="1844">
        <v>0.122</v>
      </c>
      <c r="F130" s="1852"/>
    </row>
    <row r="131" spans="1:6" ht="14.25" thickBot="1">
      <c r="A131" s="1839" t="s">
        <v>1409</v>
      </c>
      <c r="B131" s="1843" t="s">
        <v>1287</v>
      </c>
      <c r="C131" s="1844">
        <v>0.127</v>
      </c>
      <c r="D131" s="1844">
        <v>0.126</v>
      </c>
      <c r="E131" s="1844">
        <v>0.123</v>
      </c>
      <c r="F131" s="1852"/>
    </row>
    <row r="132" spans="1:6" ht="14.25" thickBot="1">
      <c r="A132" s="1839" t="s">
        <v>1409</v>
      </c>
      <c r="B132" s="1843" t="s">
        <v>1294</v>
      </c>
      <c r="C132" s="1844">
        <v>9.0999999999999998E-2</v>
      </c>
      <c r="D132" s="1844">
        <v>0.121</v>
      </c>
      <c r="E132" s="1844">
        <v>9.9000000000000005E-2</v>
      </c>
      <c r="F132" s="1852"/>
    </row>
    <row r="133" spans="1:6" ht="14.25" thickBot="1">
      <c r="A133" s="1839" t="s">
        <v>1409</v>
      </c>
      <c r="B133" s="1843" t="s">
        <v>1301</v>
      </c>
      <c r="C133" s="1844">
        <v>0.13</v>
      </c>
      <c r="D133" s="1844">
        <v>0.13</v>
      </c>
      <c r="E133" s="1844">
        <v>0.129</v>
      </c>
      <c r="F133" s="1852"/>
    </row>
    <row r="134" spans="1:6" ht="14.25" thickBot="1">
      <c r="A134" s="1839" t="s">
        <v>1409</v>
      </c>
      <c r="B134" s="1843" t="s">
        <v>2107</v>
      </c>
      <c r="C134" s="1844">
        <v>6.8000000000000005E-2</v>
      </c>
      <c r="D134" s="1844">
        <v>6.5000000000000002E-2</v>
      </c>
      <c r="E134" s="1844">
        <v>6.5000000000000002E-2</v>
      </c>
      <c r="F134" s="1845">
        <v>0.13</v>
      </c>
    </row>
    <row r="135" spans="1:6" ht="14.25" thickBot="1">
      <c r="A135" s="1839" t="s">
        <v>1409</v>
      </c>
      <c r="B135" s="1843" t="s">
        <v>1315</v>
      </c>
      <c r="C135" s="1844">
        <v>0.123</v>
      </c>
      <c r="D135" s="1844">
        <v>0.123</v>
      </c>
      <c r="E135" s="1844">
        <v>0.11</v>
      </c>
      <c r="F135" s="1852"/>
    </row>
    <row r="136" spans="1:6" ht="14.25" thickBot="1">
      <c r="A136" s="1839" t="s">
        <v>1409</v>
      </c>
      <c r="B136" s="1843" t="s">
        <v>1322</v>
      </c>
      <c r="C136" s="1844">
        <v>0.13</v>
      </c>
      <c r="D136" s="1844">
        <v>0.13</v>
      </c>
      <c r="E136" s="1844">
        <v>0.125</v>
      </c>
      <c r="F136" s="1852"/>
    </row>
    <row r="137" spans="1:6" ht="14.25" thickBot="1">
      <c r="A137" s="1839" t="s">
        <v>1409</v>
      </c>
      <c r="B137" s="1843" t="s">
        <v>1329</v>
      </c>
      <c r="C137" s="1844">
        <v>0.121</v>
      </c>
      <c r="D137" s="1844">
        <v>0.122</v>
      </c>
      <c r="E137" s="1844">
        <v>0.115</v>
      </c>
      <c r="F137" s="1852"/>
    </row>
    <row r="138" spans="1:6" ht="14.25" thickBot="1">
      <c r="A138" s="1839" t="s">
        <v>1409</v>
      </c>
      <c r="B138" s="1843" t="s">
        <v>2108</v>
      </c>
      <c r="C138" s="1844">
        <v>0.105</v>
      </c>
      <c r="D138" s="1844">
        <v>0.125</v>
      </c>
      <c r="E138" s="1844">
        <v>0.112</v>
      </c>
      <c r="F138" s="1852"/>
    </row>
    <row r="139" spans="1:6" ht="14.25" thickBot="1">
      <c r="A139" s="1839" t="s">
        <v>1409</v>
      </c>
      <c r="B139" s="1843" t="s">
        <v>2109</v>
      </c>
      <c r="C139" s="1844">
        <v>0.127</v>
      </c>
      <c r="D139" s="1844">
        <v>0.127</v>
      </c>
      <c r="E139" s="1844">
        <v>0.122</v>
      </c>
      <c r="F139" s="1845">
        <v>0.13</v>
      </c>
    </row>
    <row r="140" spans="1:6" ht="14.25" thickBot="1">
      <c r="A140" s="1839" t="s">
        <v>1409</v>
      </c>
      <c r="B140" s="1843" t="s">
        <v>2110</v>
      </c>
      <c r="C140" s="1844">
        <v>0.125</v>
      </c>
      <c r="D140" s="1844">
        <v>0.125</v>
      </c>
      <c r="E140" s="1844">
        <v>0.11899999999999999</v>
      </c>
      <c r="F140" s="1845">
        <v>0.13</v>
      </c>
    </row>
    <row r="141" spans="1:6" ht="14.25" thickBot="1">
      <c r="A141" s="1839" t="s">
        <v>1409</v>
      </c>
      <c r="B141" s="1843" t="s">
        <v>1348</v>
      </c>
      <c r="C141" s="1844">
        <v>0.125</v>
      </c>
      <c r="D141" s="1844">
        <v>0.125</v>
      </c>
      <c r="E141" s="1844">
        <v>0.11700000000000001</v>
      </c>
      <c r="F141" s="1852"/>
    </row>
    <row r="142" spans="1:6" ht="14.25" thickBot="1">
      <c r="A142" s="1839" t="s">
        <v>1409</v>
      </c>
      <c r="B142" s="1843" t="s">
        <v>1353</v>
      </c>
      <c r="C142" s="1844">
        <v>0.125</v>
      </c>
      <c r="D142" s="1844">
        <v>0.125</v>
      </c>
      <c r="E142" s="1844">
        <v>0.115</v>
      </c>
      <c r="F142" s="1852"/>
    </row>
    <row r="143" spans="1:6" ht="14.25" thickBot="1">
      <c r="A143" s="1839" t="s">
        <v>1409</v>
      </c>
      <c r="B143" s="1843" t="s">
        <v>1358</v>
      </c>
      <c r="C143" s="1844">
        <v>0.121</v>
      </c>
      <c r="D143" s="1844">
        <v>0.121</v>
      </c>
      <c r="E143" s="1844">
        <v>0.108</v>
      </c>
      <c r="F143" s="1852"/>
    </row>
    <row r="144" spans="1:6" ht="14.25" thickBot="1">
      <c r="A144" s="1839" t="s">
        <v>1409</v>
      </c>
      <c r="B144" s="1856" t="s">
        <v>2111</v>
      </c>
      <c r="C144" s="1857">
        <v>0.126</v>
      </c>
      <c r="D144" s="1857">
        <v>0.126</v>
      </c>
      <c r="E144" s="1857">
        <v>0.121</v>
      </c>
      <c r="F144" s="1852"/>
    </row>
    <row r="145" spans="1:6" ht="14.25" thickBot="1">
      <c r="A145" s="1847" t="s">
        <v>1409</v>
      </c>
      <c r="B145" s="1858" t="s">
        <v>2112</v>
      </c>
      <c r="C145" s="1859"/>
      <c r="D145" s="1859"/>
      <c r="E145" s="1859"/>
      <c r="F145" s="1860">
        <v>0.05</v>
      </c>
    </row>
    <row r="146" spans="1:6" ht="24.75" thickBot="1">
      <c r="A146" s="1861" t="s">
        <v>1409</v>
      </c>
      <c r="B146" s="1846" t="s">
        <v>2113</v>
      </c>
      <c r="C146" s="1853"/>
      <c r="D146" s="1853"/>
      <c r="E146" s="1853"/>
      <c r="F146" s="1862">
        <v>0.05</v>
      </c>
    </row>
    <row r="147" spans="1:6" ht="24.75" thickBot="1">
      <c r="A147" s="1839" t="s">
        <v>1409</v>
      </c>
      <c r="B147" s="1843" t="s">
        <v>2114</v>
      </c>
      <c r="C147" s="1853"/>
      <c r="D147" s="1853"/>
      <c r="E147" s="1853"/>
      <c r="F147" s="1845">
        <v>0.05</v>
      </c>
    </row>
    <row r="148" spans="1:6" ht="24.75" thickBot="1">
      <c r="A148" s="1839" t="s">
        <v>1409</v>
      </c>
      <c r="B148" s="1843" t="s">
        <v>2115</v>
      </c>
      <c r="C148" s="1853"/>
      <c r="D148" s="1853"/>
      <c r="E148" s="1853"/>
      <c r="F148" s="1845">
        <v>0.05</v>
      </c>
    </row>
    <row r="149" spans="1:6" ht="24.75" thickBot="1">
      <c r="A149" s="1839" t="s">
        <v>1409</v>
      </c>
      <c r="B149" s="1843" t="s">
        <v>2116</v>
      </c>
      <c r="C149" s="1853"/>
      <c r="D149" s="1853"/>
      <c r="E149" s="1853"/>
      <c r="F149" s="1845">
        <v>0.05</v>
      </c>
    </row>
    <row r="150" spans="1:6" ht="24.75" thickBot="1">
      <c r="A150" s="1839" t="s">
        <v>1409</v>
      </c>
      <c r="B150" s="1843" t="s">
        <v>2117</v>
      </c>
      <c r="C150" s="1853"/>
      <c r="D150" s="1853"/>
      <c r="E150" s="1853"/>
      <c r="F150" s="1845">
        <v>0.05</v>
      </c>
    </row>
    <row r="151" spans="1:6" ht="24.75" thickBot="1">
      <c r="A151" s="1839" t="s">
        <v>1409</v>
      </c>
      <c r="B151" s="1843" t="s">
        <v>2118</v>
      </c>
      <c r="C151" s="1853"/>
      <c r="D151" s="1853"/>
      <c r="E151" s="1853"/>
      <c r="F151" s="1845">
        <v>0.05</v>
      </c>
    </row>
    <row r="152" spans="1:6" ht="24.75" thickBot="1">
      <c r="A152" s="1839" t="s">
        <v>1409</v>
      </c>
      <c r="B152" s="1843" t="s">
        <v>1391</v>
      </c>
      <c r="C152" s="1853"/>
      <c r="D152" s="1853"/>
      <c r="E152" s="1853"/>
      <c r="F152" s="1845">
        <v>0.05</v>
      </c>
    </row>
    <row r="153" spans="1:6" ht="14.25" thickBot="1">
      <c r="A153" s="1839" t="s">
        <v>1409</v>
      </c>
      <c r="B153" s="1843" t="s">
        <v>2119</v>
      </c>
      <c r="C153" s="1853"/>
      <c r="D153" s="1853"/>
      <c r="E153" s="1853"/>
      <c r="F153" s="1845">
        <v>0.05</v>
      </c>
    </row>
    <row r="154" spans="1:6" ht="14.25" thickBot="1">
      <c r="A154" s="1839" t="s">
        <v>1409</v>
      </c>
      <c r="B154" s="1843" t="s">
        <v>2120</v>
      </c>
      <c r="C154" s="1853"/>
      <c r="D154" s="1853"/>
      <c r="E154" s="1853"/>
      <c r="F154" s="1845">
        <v>0.05</v>
      </c>
    </row>
    <row r="155" spans="1:6" ht="24.75" thickBot="1">
      <c r="A155" s="1839" t="s">
        <v>1409</v>
      </c>
      <c r="B155" s="1843" t="s">
        <v>2121</v>
      </c>
      <c r="C155" s="1853"/>
      <c r="D155" s="1853"/>
      <c r="E155" s="1853"/>
      <c r="F155" s="1845">
        <v>0.05</v>
      </c>
    </row>
    <row r="156" spans="1:6" ht="24.75" thickBot="1">
      <c r="A156" s="1839" t="s">
        <v>1409</v>
      </c>
      <c r="B156" s="1843" t="s">
        <v>2122</v>
      </c>
      <c r="C156" s="1853"/>
      <c r="D156" s="1853"/>
      <c r="E156" s="1853"/>
      <c r="F156" s="1845">
        <v>0.05</v>
      </c>
    </row>
    <row r="157" spans="1:6" ht="14.25" thickBot="1">
      <c r="A157" s="1847" t="s">
        <v>1409</v>
      </c>
      <c r="B157" s="1854" t="s">
        <v>2123</v>
      </c>
      <c r="C157" s="1850"/>
      <c r="D157" s="1850"/>
      <c r="E157" s="1850"/>
      <c r="F157" s="1855">
        <v>0.05</v>
      </c>
    </row>
    <row r="158" spans="1:6" ht="14.25" thickBot="1">
      <c r="A158" s="1839" t="s">
        <v>1411</v>
      </c>
      <c r="B158" s="1840" t="s">
        <v>2124</v>
      </c>
      <c r="C158" s="1841">
        <v>0.13</v>
      </c>
      <c r="D158" s="1841">
        <v>0.13</v>
      </c>
      <c r="E158" s="1841">
        <v>0.13</v>
      </c>
      <c r="F158" s="1842">
        <v>0.13</v>
      </c>
    </row>
    <row r="159" spans="1:6" ht="14.25" thickBot="1">
      <c r="A159" s="1839" t="s">
        <v>1411</v>
      </c>
      <c r="B159" s="1843" t="s">
        <v>1076</v>
      </c>
      <c r="C159" s="1844">
        <v>0.13</v>
      </c>
      <c r="D159" s="1844">
        <v>0.13</v>
      </c>
      <c r="E159" s="1844">
        <v>0.13</v>
      </c>
      <c r="F159" s="1845">
        <v>0.13</v>
      </c>
    </row>
    <row r="160" spans="1:6" ht="14.25" thickBot="1">
      <c r="A160" s="1839" t="s">
        <v>1411</v>
      </c>
      <c r="B160" s="1843" t="s">
        <v>1090</v>
      </c>
      <c r="C160" s="1844">
        <v>0.13</v>
      </c>
      <c r="D160" s="1844">
        <v>0.13</v>
      </c>
      <c r="E160" s="1844">
        <v>0.129</v>
      </c>
      <c r="F160" s="1845">
        <v>0.13</v>
      </c>
    </row>
    <row r="161" spans="1:6" ht="14.25" thickBot="1">
      <c r="A161" s="1839" t="s">
        <v>1411</v>
      </c>
      <c r="B161" s="1843" t="s">
        <v>1103</v>
      </c>
      <c r="C161" s="1844">
        <v>0.128</v>
      </c>
      <c r="D161" s="1844">
        <v>0.128</v>
      </c>
      <c r="E161" s="1844">
        <v>0.125</v>
      </c>
      <c r="F161" s="1845">
        <v>0.13</v>
      </c>
    </row>
    <row r="162" spans="1:6" ht="14.25" thickBot="1">
      <c r="A162" s="1839" t="s">
        <v>1411</v>
      </c>
      <c r="B162" s="1843" t="s">
        <v>1117</v>
      </c>
      <c r="C162" s="1844">
        <v>0.122</v>
      </c>
      <c r="D162" s="1844">
        <v>0.122</v>
      </c>
      <c r="E162" s="1844">
        <v>0.126</v>
      </c>
      <c r="F162" s="1845">
        <v>0.122</v>
      </c>
    </row>
    <row r="163" spans="1:6" ht="14.25" thickBot="1">
      <c r="A163" s="1839" t="s">
        <v>1411</v>
      </c>
      <c r="B163" s="1843" t="s">
        <v>1128</v>
      </c>
      <c r="C163" s="1844">
        <v>0.13</v>
      </c>
      <c r="D163" s="1844">
        <v>0.13</v>
      </c>
      <c r="E163" s="1844">
        <v>0.125</v>
      </c>
      <c r="F163" s="1845">
        <v>0.13</v>
      </c>
    </row>
    <row r="164" spans="1:6" ht="14.25" thickBot="1">
      <c r="A164" s="1839" t="s">
        <v>1411</v>
      </c>
      <c r="B164" s="1843" t="s">
        <v>1139</v>
      </c>
      <c r="C164" s="1844">
        <v>0.13</v>
      </c>
      <c r="D164" s="1844">
        <v>0.13</v>
      </c>
      <c r="E164" s="1844">
        <v>0.13</v>
      </c>
      <c r="F164" s="1845">
        <v>0.13</v>
      </c>
    </row>
    <row r="165" spans="1:6" ht="14.25" thickBot="1">
      <c r="A165" s="1839" t="s">
        <v>1411</v>
      </c>
      <c r="B165" s="1843" t="s">
        <v>1150</v>
      </c>
      <c r="C165" s="1844">
        <v>0.13</v>
      </c>
      <c r="D165" s="1844">
        <v>0.13</v>
      </c>
      <c r="E165" s="1844">
        <v>0.124</v>
      </c>
      <c r="F165" s="1845">
        <v>0.13</v>
      </c>
    </row>
    <row r="166" spans="1:6" ht="14.25" thickBot="1">
      <c r="A166" s="1839" t="s">
        <v>1411</v>
      </c>
      <c r="B166" s="1843" t="s">
        <v>1162</v>
      </c>
      <c r="C166" s="1844">
        <v>0.13</v>
      </c>
      <c r="D166" s="1844">
        <v>0.13</v>
      </c>
      <c r="E166" s="1844">
        <v>0.13</v>
      </c>
      <c r="F166" s="1845">
        <v>0.13</v>
      </c>
    </row>
    <row r="167" spans="1:6" ht="14.25" thickBot="1">
      <c r="A167" s="1839" t="s">
        <v>1411</v>
      </c>
      <c r="B167" s="1843" t="s">
        <v>1172</v>
      </c>
      <c r="C167" s="1844">
        <v>0.125</v>
      </c>
      <c r="D167" s="1844">
        <v>0.125</v>
      </c>
      <c r="E167" s="1844">
        <v>0.121</v>
      </c>
      <c r="F167" s="1852"/>
    </row>
    <row r="168" spans="1:6" ht="14.25" thickBot="1">
      <c r="A168" s="1839" t="s">
        <v>1411</v>
      </c>
      <c r="B168" s="1843" t="s">
        <v>1182</v>
      </c>
      <c r="C168" s="1844">
        <v>0.13</v>
      </c>
      <c r="D168" s="1844">
        <v>0.13</v>
      </c>
      <c r="E168" s="1844">
        <v>0.126</v>
      </c>
      <c r="F168" s="1852"/>
    </row>
    <row r="169" spans="1:6" ht="14.25" thickBot="1">
      <c r="A169" s="1839" t="s">
        <v>1411</v>
      </c>
      <c r="B169" s="1843" t="s">
        <v>1192</v>
      </c>
      <c r="C169" s="1844">
        <v>0.128</v>
      </c>
      <c r="D169" s="1844">
        <v>0.129</v>
      </c>
      <c r="E169" s="1844">
        <v>0.13</v>
      </c>
      <c r="F169" s="1852"/>
    </row>
    <row r="170" spans="1:6" ht="14.25" thickBot="1">
      <c r="A170" s="1839" t="s">
        <v>1411</v>
      </c>
      <c r="B170" s="1843" t="s">
        <v>1202</v>
      </c>
      <c r="C170" s="1844">
        <v>0.14099999999999999</v>
      </c>
      <c r="D170" s="1844">
        <v>0.13</v>
      </c>
      <c r="E170" s="1844">
        <v>0.125</v>
      </c>
      <c r="F170" s="1852"/>
    </row>
    <row r="171" spans="1:6" ht="14.25" thickBot="1">
      <c r="A171" s="1839" t="s">
        <v>1411</v>
      </c>
      <c r="B171" s="1843" t="s">
        <v>2125</v>
      </c>
      <c r="C171" s="1844">
        <v>0.127</v>
      </c>
      <c r="D171" s="1844">
        <v>0.126</v>
      </c>
      <c r="E171" s="1844">
        <v>0.126</v>
      </c>
      <c r="F171" s="1845">
        <v>0.11799999999999999</v>
      </c>
    </row>
    <row r="172" spans="1:6" ht="14.25" thickBot="1">
      <c r="A172" s="1839" t="s">
        <v>1411</v>
      </c>
      <c r="B172" s="1843" t="s">
        <v>2126</v>
      </c>
      <c r="C172" s="1844">
        <v>0.13</v>
      </c>
      <c r="D172" s="1844">
        <v>0.13</v>
      </c>
      <c r="E172" s="1844">
        <v>0.13</v>
      </c>
      <c r="F172" s="1852"/>
    </row>
    <row r="173" spans="1:6" ht="14.25" thickBot="1">
      <c r="A173" s="1839" t="s">
        <v>1411</v>
      </c>
      <c r="B173" s="1843" t="s">
        <v>1232</v>
      </c>
      <c r="C173" s="1844">
        <v>0.13</v>
      </c>
      <c r="D173" s="1844">
        <v>0.13</v>
      </c>
      <c r="E173" s="1844">
        <v>0.13</v>
      </c>
      <c r="F173" s="1852"/>
    </row>
    <row r="174" spans="1:6" ht="14.25" thickBot="1">
      <c r="A174" s="1839" t="s">
        <v>1411</v>
      </c>
      <c r="B174" s="1843" t="s">
        <v>2127</v>
      </c>
      <c r="C174" s="1844">
        <v>0.13</v>
      </c>
      <c r="D174" s="1844">
        <v>0.13</v>
      </c>
      <c r="E174" s="1844">
        <v>0.13</v>
      </c>
      <c r="F174" s="1845">
        <v>0.13</v>
      </c>
    </row>
    <row r="175" spans="1:6" ht="14.25" thickBot="1">
      <c r="A175" s="1839" t="s">
        <v>1411</v>
      </c>
      <c r="B175" s="1843" t="s">
        <v>2128</v>
      </c>
      <c r="C175" s="1844">
        <v>0.13</v>
      </c>
      <c r="D175" s="1844">
        <v>0.13</v>
      </c>
      <c r="E175" s="1844">
        <v>0.13</v>
      </c>
      <c r="F175" s="1845">
        <v>0.13</v>
      </c>
    </row>
    <row r="176" spans="1:6" ht="14.25" thickBot="1">
      <c r="A176" s="1839" t="s">
        <v>1411</v>
      </c>
      <c r="B176" s="1843" t="s">
        <v>1262</v>
      </c>
      <c r="C176" s="1844">
        <v>0.13</v>
      </c>
      <c r="D176" s="1844">
        <v>0.13</v>
      </c>
      <c r="E176" s="1844">
        <v>0.13</v>
      </c>
      <c r="F176" s="1845">
        <v>0.13</v>
      </c>
    </row>
    <row r="177" spans="1:6" ht="14.25" thickBot="1">
      <c r="A177" s="1839" t="s">
        <v>1411</v>
      </c>
      <c r="B177" s="1843" t="s">
        <v>2129</v>
      </c>
      <c r="C177" s="1844">
        <v>0.13</v>
      </c>
      <c r="D177" s="1844">
        <v>0.13</v>
      </c>
      <c r="E177" s="1844">
        <v>0.13</v>
      </c>
      <c r="F177" s="1845">
        <v>0.13</v>
      </c>
    </row>
    <row r="178" spans="1:6" ht="14.25" thickBot="1">
      <c r="A178" s="1839" t="s">
        <v>1411</v>
      </c>
      <c r="B178" s="1843" t="s">
        <v>1280</v>
      </c>
      <c r="C178" s="1844">
        <v>0.13</v>
      </c>
      <c r="D178" s="1844">
        <v>0.13</v>
      </c>
      <c r="E178" s="1844">
        <v>0.13</v>
      </c>
      <c r="F178" s="1845">
        <v>0.127</v>
      </c>
    </row>
    <row r="179" spans="1:6" ht="14.25" thickBot="1">
      <c r="A179" s="1839" t="s">
        <v>1411</v>
      </c>
      <c r="B179" s="1843" t="s">
        <v>1288</v>
      </c>
      <c r="C179" s="1844">
        <v>0.13</v>
      </c>
      <c r="D179" s="1844">
        <v>0.13</v>
      </c>
      <c r="E179" s="1844">
        <v>0.13</v>
      </c>
      <c r="F179" s="1852"/>
    </row>
    <row r="180" spans="1:6" ht="14.25" thickBot="1">
      <c r="A180" s="1839" t="s">
        <v>1411</v>
      </c>
      <c r="B180" s="1843" t="s">
        <v>2130</v>
      </c>
      <c r="C180" s="1844">
        <v>0.13</v>
      </c>
      <c r="D180" s="1844">
        <v>0.13</v>
      </c>
      <c r="E180" s="1844">
        <v>0.125</v>
      </c>
      <c r="F180" s="1845">
        <v>0.13</v>
      </c>
    </row>
    <row r="181" spans="1:6" ht="14.25" thickBot="1">
      <c r="A181" s="1839" t="s">
        <v>1411</v>
      </c>
      <c r="B181" s="1843" t="s">
        <v>1302</v>
      </c>
      <c r="C181" s="1844">
        <v>0.122</v>
      </c>
      <c r="D181" s="1844">
        <v>0.123</v>
      </c>
      <c r="E181" s="1844">
        <v>0.126</v>
      </c>
      <c r="F181" s="1845">
        <v>0.121</v>
      </c>
    </row>
    <row r="182" spans="1:6" ht="14.25" thickBot="1">
      <c r="A182" s="1839" t="s">
        <v>1411</v>
      </c>
      <c r="B182" s="1843" t="s">
        <v>1309</v>
      </c>
      <c r="C182" s="1844">
        <v>0.125</v>
      </c>
      <c r="D182" s="1844">
        <v>0.125</v>
      </c>
      <c r="E182" s="1844">
        <v>0.11700000000000001</v>
      </c>
      <c r="F182" s="1845">
        <v>0.13</v>
      </c>
    </row>
    <row r="183" spans="1:6" ht="14.25" thickBot="1">
      <c r="A183" s="1839" t="s">
        <v>1411</v>
      </c>
      <c r="B183" s="1843" t="s">
        <v>1316</v>
      </c>
      <c r="C183" s="1844">
        <v>0.127</v>
      </c>
      <c r="D183" s="1844">
        <v>0.127</v>
      </c>
      <c r="E183" s="1844">
        <v>0.128</v>
      </c>
      <c r="F183" s="1852"/>
    </row>
    <row r="184" spans="1:6" ht="14.25" thickBot="1">
      <c r="A184" s="1839" t="s">
        <v>1411</v>
      </c>
      <c r="B184" s="1843" t="s">
        <v>1323</v>
      </c>
      <c r="C184" s="1844">
        <v>0.125</v>
      </c>
      <c r="D184" s="1844">
        <v>0.125</v>
      </c>
      <c r="E184" s="1844">
        <v>0.127</v>
      </c>
      <c r="F184" s="1852"/>
    </row>
    <row r="185" spans="1:6" ht="14.25" thickBot="1">
      <c r="A185" s="1839" t="s">
        <v>1411</v>
      </c>
      <c r="B185" s="1843" t="s">
        <v>2131</v>
      </c>
      <c r="C185" s="1844">
        <v>0.127</v>
      </c>
      <c r="D185" s="1844">
        <v>0.127</v>
      </c>
      <c r="E185" s="1844">
        <v>0.128</v>
      </c>
      <c r="F185" s="1845">
        <v>0.13</v>
      </c>
    </row>
    <row r="186" spans="1:6" ht="24.75" thickBot="1">
      <c r="A186" s="1839" t="s">
        <v>1411</v>
      </c>
      <c r="B186" s="1843" t="s">
        <v>2132</v>
      </c>
      <c r="C186" s="1853"/>
      <c r="D186" s="1853"/>
      <c r="E186" s="1853"/>
      <c r="F186" s="1845">
        <v>0.05</v>
      </c>
    </row>
    <row r="187" spans="1:6" ht="14.25" thickBot="1">
      <c r="A187" s="1839" t="s">
        <v>1411</v>
      </c>
      <c r="B187" s="1843" t="s">
        <v>2133</v>
      </c>
      <c r="C187" s="1853"/>
      <c r="D187" s="1853"/>
      <c r="E187" s="1853"/>
      <c r="F187" s="1845">
        <v>0.05</v>
      </c>
    </row>
    <row r="188" spans="1:6" ht="14.25" thickBot="1">
      <c r="A188" s="1839" t="s">
        <v>1411</v>
      </c>
      <c r="B188" s="1843" t="s">
        <v>2134</v>
      </c>
      <c r="C188" s="1853"/>
      <c r="D188" s="1853"/>
      <c r="E188" s="1853"/>
      <c r="F188" s="1845">
        <v>0.05</v>
      </c>
    </row>
    <row r="189" spans="1:6" ht="24.75" thickBot="1">
      <c r="A189" s="1839" t="s">
        <v>1411</v>
      </c>
      <c r="B189" s="1843" t="s">
        <v>2135</v>
      </c>
      <c r="C189" s="1853"/>
      <c r="D189" s="1853"/>
      <c r="E189" s="1853"/>
      <c r="F189" s="1845">
        <v>0.05</v>
      </c>
    </row>
    <row r="190" spans="1:6" ht="24.75" thickBot="1">
      <c r="A190" s="1839" t="s">
        <v>1411</v>
      </c>
      <c r="B190" s="1843" t="s">
        <v>2136</v>
      </c>
      <c r="C190" s="1853"/>
      <c r="D190" s="1853"/>
      <c r="E190" s="1853"/>
      <c r="F190" s="1845">
        <v>0.05</v>
      </c>
    </row>
    <row r="191" spans="1:6" ht="24.75" thickBot="1">
      <c r="A191" s="1839" t="s">
        <v>1411</v>
      </c>
      <c r="B191" s="1843" t="s">
        <v>2137</v>
      </c>
      <c r="C191" s="1853"/>
      <c r="D191" s="1853"/>
      <c r="E191" s="1853"/>
      <c r="F191" s="1845">
        <v>0.05</v>
      </c>
    </row>
    <row r="192" spans="1:6" ht="24.75" thickBot="1">
      <c r="A192" s="1839" t="s">
        <v>1411</v>
      </c>
      <c r="B192" s="1843" t="s">
        <v>2138</v>
      </c>
      <c r="C192" s="1853"/>
      <c r="D192" s="1853"/>
      <c r="E192" s="1853"/>
      <c r="F192" s="1845">
        <v>0.05</v>
      </c>
    </row>
    <row r="193" spans="1:6" ht="24.75" thickBot="1">
      <c r="A193" s="1839" t="s">
        <v>1411</v>
      </c>
      <c r="B193" s="1843" t="s">
        <v>2139</v>
      </c>
      <c r="C193" s="1853"/>
      <c r="D193" s="1853"/>
      <c r="E193" s="1853"/>
      <c r="F193" s="1845">
        <v>0.05</v>
      </c>
    </row>
    <row r="194" spans="1:6" ht="24.75" thickBot="1">
      <c r="A194" s="1839" t="s">
        <v>1411</v>
      </c>
      <c r="B194" s="1843" t="s">
        <v>2140</v>
      </c>
      <c r="C194" s="1853"/>
      <c r="D194" s="1853"/>
      <c r="E194" s="1853"/>
      <c r="F194" s="1845">
        <v>0.05</v>
      </c>
    </row>
    <row r="195" spans="1:6" ht="14.25" thickBot="1">
      <c r="A195" s="1839" t="s">
        <v>1411</v>
      </c>
      <c r="B195" s="1843" t="s">
        <v>2141</v>
      </c>
      <c r="C195" s="1853"/>
      <c r="D195" s="1853"/>
      <c r="E195" s="1853"/>
      <c r="F195" s="1845">
        <v>0.05</v>
      </c>
    </row>
    <row r="196" spans="1:6" ht="24.75" thickBot="1">
      <c r="A196" s="1839" t="s">
        <v>1411</v>
      </c>
      <c r="B196" s="1843" t="s">
        <v>2142</v>
      </c>
      <c r="C196" s="1853"/>
      <c r="D196" s="1853"/>
      <c r="E196" s="1853"/>
      <c r="F196" s="1845">
        <v>0.05</v>
      </c>
    </row>
    <row r="197" spans="1:6" ht="24.75" thickBot="1">
      <c r="A197" s="1839" t="s">
        <v>1411</v>
      </c>
      <c r="B197" s="1843" t="s">
        <v>2143</v>
      </c>
      <c r="C197" s="1853"/>
      <c r="D197" s="1853"/>
      <c r="E197" s="1853"/>
      <c r="F197" s="1845">
        <v>0.05</v>
      </c>
    </row>
    <row r="198" spans="1:6" ht="24.75" thickBot="1">
      <c r="A198" s="1839" t="s">
        <v>1411</v>
      </c>
      <c r="B198" s="1843" t="s">
        <v>2144</v>
      </c>
      <c r="C198" s="1853"/>
      <c r="D198" s="1853"/>
      <c r="E198" s="1853"/>
      <c r="F198" s="1845">
        <v>0.05</v>
      </c>
    </row>
    <row r="199" spans="1:6" ht="24.75" thickBot="1">
      <c r="A199" s="1839" t="s">
        <v>1411</v>
      </c>
      <c r="B199" s="1843" t="s">
        <v>2145</v>
      </c>
      <c r="C199" s="1853"/>
      <c r="D199" s="1853"/>
      <c r="E199" s="1853"/>
      <c r="F199" s="1845">
        <v>0.05</v>
      </c>
    </row>
    <row r="200" spans="1:6" ht="24.75" thickBot="1">
      <c r="A200" s="1839" t="s">
        <v>1411</v>
      </c>
      <c r="B200" s="1843" t="s">
        <v>2146</v>
      </c>
      <c r="C200" s="1853"/>
      <c r="D200" s="1853"/>
      <c r="E200" s="1853"/>
      <c r="F200" s="1845">
        <v>0.05</v>
      </c>
    </row>
    <row r="201" spans="1:6" ht="24.75" thickBot="1">
      <c r="A201" s="1839" t="s">
        <v>1411</v>
      </c>
      <c r="B201" s="1843" t="s">
        <v>2147</v>
      </c>
      <c r="C201" s="1853"/>
      <c r="D201" s="1853"/>
      <c r="E201" s="1853"/>
      <c r="F201" s="1845">
        <v>0.05</v>
      </c>
    </row>
    <row r="202" spans="1:6" ht="24.75" thickBot="1">
      <c r="A202" s="1839" t="s">
        <v>1411</v>
      </c>
      <c r="B202" s="1843" t="s">
        <v>2148</v>
      </c>
      <c r="C202" s="1853"/>
      <c r="D202" s="1853"/>
      <c r="E202" s="1853"/>
      <c r="F202" s="1845">
        <v>0.05</v>
      </c>
    </row>
    <row r="203" spans="1:6" ht="24.75" thickBot="1">
      <c r="A203" s="1839" t="s">
        <v>1411</v>
      </c>
      <c r="B203" s="1843" t="s">
        <v>2149</v>
      </c>
      <c r="C203" s="1853"/>
      <c r="D203" s="1853"/>
      <c r="E203" s="1853"/>
      <c r="F203" s="1845">
        <v>0.05</v>
      </c>
    </row>
    <row r="204" spans="1:6" ht="14.25" thickBot="1">
      <c r="A204" s="1839" t="s">
        <v>1411</v>
      </c>
      <c r="B204" s="1843" t="s">
        <v>2150</v>
      </c>
      <c r="C204" s="1853"/>
      <c r="D204" s="1853"/>
      <c r="E204" s="1853"/>
      <c r="F204" s="1845">
        <v>0.05</v>
      </c>
    </row>
    <row r="205" spans="1:6" ht="14.25" thickBot="1">
      <c r="A205" s="1847" t="s">
        <v>1411</v>
      </c>
      <c r="B205" s="1854" t="s">
        <v>2151</v>
      </c>
      <c r="C205" s="1850"/>
      <c r="D205" s="1850"/>
      <c r="E205" s="1850"/>
      <c r="F205" s="1855">
        <v>0.05</v>
      </c>
    </row>
    <row r="206" spans="1:6" ht="14.25" thickBot="1">
      <c r="A206" s="1839" t="s">
        <v>1413</v>
      </c>
      <c r="B206" s="1840" t="s">
        <v>2152</v>
      </c>
      <c r="C206" s="1841">
        <v>0.15</v>
      </c>
      <c r="D206" s="1841">
        <v>0.15</v>
      </c>
      <c r="E206" s="1841">
        <v>0.15</v>
      </c>
      <c r="F206" s="1842">
        <v>0.15</v>
      </c>
    </row>
    <row r="207" spans="1:6" ht="14.25" thickBot="1">
      <c r="A207" s="1839" t="s">
        <v>1413</v>
      </c>
      <c r="B207" s="1843" t="s">
        <v>1077</v>
      </c>
      <c r="C207" s="1844">
        <v>0.15</v>
      </c>
      <c r="D207" s="1844">
        <v>0.15</v>
      </c>
      <c r="E207" s="1844">
        <v>0.15</v>
      </c>
      <c r="F207" s="1845">
        <v>0.14399999999999999</v>
      </c>
    </row>
    <row r="208" spans="1:6" ht="14.25" thickBot="1">
      <c r="A208" s="1839" t="s">
        <v>1413</v>
      </c>
      <c r="B208" s="1843" t="s">
        <v>1091</v>
      </c>
      <c r="C208" s="1844">
        <v>0.15</v>
      </c>
      <c r="D208" s="1844">
        <v>0.15</v>
      </c>
      <c r="E208" s="1844">
        <v>0.15</v>
      </c>
      <c r="F208" s="1845">
        <v>0.15</v>
      </c>
    </row>
    <row r="209" spans="1:6" ht="14.25" thickBot="1">
      <c r="A209" s="1839" t="s">
        <v>1413</v>
      </c>
      <c r="B209" s="1843" t="s">
        <v>1104</v>
      </c>
      <c r="C209" s="1844">
        <v>0.13700000000000001</v>
      </c>
      <c r="D209" s="1844">
        <v>0.13700000000000001</v>
      </c>
      <c r="E209" s="1844">
        <v>0.14000000000000001</v>
      </c>
      <c r="F209" s="1845">
        <v>0.11700000000000001</v>
      </c>
    </row>
    <row r="210" spans="1:6" ht="14.25" thickBot="1">
      <c r="A210" s="1839" t="s">
        <v>1413</v>
      </c>
      <c r="B210" s="1843" t="s">
        <v>2153</v>
      </c>
      <c r="C210" s="1844">
        <v>0.15</v>
      </c>
      <c r="D210" s="1844">
        <v>0.15</v>
      </c>
      <c r="E210" s="1844">
        <v>0.15</v>
      </c>
      <c r="F210" s="1845">
        <v>0.13800000000000001</v>
      </c>
    </row>
    <row r="211" spans="1:6" ht="14.25" thickBot="1">
      <c r="A211" s="1839" t="s">
        <v>1413</v>
      </c>
      <c r="B211" s="1843" t="s">
        <v>2154</v>
      </c>
      <c r="C211" s="1844">
        <v>0.13700000000000001</v>
      </c>
      <c r="D211" s="1844">
        <v>0.13500000000000001</v>
      </c>
      <c r="E211" s="1844">
        <v>0.13600000000000001</v>
      </c>
      <c r="F211" s="1845">
        <v>0.1</v>
      </c>
    </row>
    <row r="212" spans="1:6" ht="14.25" thickBot="1">
      <c r="A212" s="1839" t="s">
        <v>1413</v>
      </c>
      <c r="B212" s="1843" t="s">
        <v>2155</v>
      </c>
      <c r="C212" s="1844">
        <v>0.15</v>
      </c>
      <c r="D212" s="1844">
        <v>0.15</v>
      </c>
      <c r="E212" s="1844">
        <v>0.14799999999999999</v>
      </c>
      <c r="F212" s="1845">
        <v>0.13600000000000001</v>
      </c>
    </row>
    <row r="213" spans="1:6" ht="14.25" thickBot="1">
      <c r="A213" s="1839" t="s">
        <v>1413</v>
      </c>
      <c r="B213" s="1843" t="s">
        <v>1151</v>
      </c>
      <c r="C213" s="1844">
        <v>0.15</v>
      </c>
      <c r="D213" s="1844">
        <v>0.15</v>
      </c>
      <c r="E213" s="1844">
        <v>0.15</v>
      </c>
      <c r="F213" s="1845">
        <v>0.13800000000000001</v>
      </c>
    </row>
    <row r="214" spans="1:6" ht="14.25" thickBot="1">
      <c r="A214" s="1839" t="s">
        <v>1413</v>
      </c>
      <c r="B214" s="1843" t="s">
        <v>1163</v>
      </c>
      <c r="C214" s="1844">
        <v>9.0999999999999998E-2</v>
      </c>
      <c r="D214" s="1844">
        <v>0.09</v>
      </c>
      <c r="E214" s="1844">
        <v>9.1999999999999998E-2</v>
      </c>
      <c r="F214" s="1852"/>
    </row>
    <row r="215" spans="1:6" ht="14.25" thickBot="1">
      <c r="A215" s="1839" t="s">
        <v>1413</v>
      </c>
      <c r="B215" s="1843" t="s">
        <v>2156</v>
      </c>
      <c r="C215" s="1844">
        <v>0.15</v>
      </c>
      <c r="D215" s="1844">
        <v>0.15</v>
      </c>
      <c r="E215" s="1844">
        <v>0.15</v>
      </c>
      <c r="F215" s="1845">
        <v>0.15</v>
      </c>
    </row>
    <row r="216" spans="1:6" ht="14.25" thickBot="1">
      <c r="A216" s="1839" t="s">
        <v>1413</v>
      </c>
      <c r="B216" s="1843" t="s">
        <v>1183</v>
      </c>
      <c r="C216" s="1844">
        <v>0.14699999999999999</v>
      </c>
      <c r="D216" s="1844">
        <v>0.14699999999999999</v>
      </c>
      <c r="E216" s="1844">
        <v>0.15</v>
      </c>
      <c r="F216" s="1845">
        <v>0.14000000000000001</v>
      </c>
    </row>
    <row r="217" spans="1:6" ht="14.25" thickBot="1">
      <c r="A217" s="1839" t="s">
        <v>1413</v>
      </c>
      <c r="B217" s="1843" t="s">
        <v>1193</v>
      </c>
      <c r="C217" s="1844">
        <v>0.15</v>
      </c>
      <c r="D217" s="1844">
        <v>0.15</v>
      </c>
      <c r="E217" s="1844">
        <v>0.15</v>
      </c>
      <c r="F217" s="1845">
        <v>0.15</v>
      </c>
    </row>
    <row r="218" spans="1:6" ht="14.25" thickBot="1">
      <c r="A218" s="1839" t="s">
        <v>1413</v>
      </c>
      <c r="B218" s="1843" t="s">
        <v>2157</v>
      </c>
      <c r="C218" s="1844">
        <v>0.15</v>
      </c>
      <c r="D218" s="1844">
        <v>0.15</v>
      </c>
      <c r="E218" s="1844">
        <v>0.15</v>
      </c>
      <c r="F218" s="1845">
        <v>0.15</v>
      </c>
    </row>
    <row r="219" spans="1:6" ht="14.25" thickBot="1">
      <c r="A219" s="1839" t="s">
        <v>1413</v>
      </c>
      <c r="B219" s="1843" t="s">
        <v>1213</v>
      </c>
      <c r="C219" s="1844">
        <v>0.15</v>
      </c>
      <c r="D219" s="1844">
        <v>0.15</v>
      </c>
      <c r="E219" s="1844">
        <v>0.15</v>
      </c>
      <c r="F219" s="1845">
        <v>0.14799999999999999</v>
      </c>
    </row>
    <row r="220" spans="1:6" ht="14.25" thickBot="1">
      <c r="A220" s="1839" t="s">
        <v>1413</v>
      </c>
      <c r="B220" s="1843" t="s">
        <v>2158</v>
      </c>
      <c r="C220" s="1844">
        <v>0.15</v>
      </c>
      <c r="D220" s="1844">
        <v>0.15</v>
      </c>
      <c r="E220" s="1844">
        <v>0.15</v>
      </c>
      <c r="F220" s="1845">
        <v>0.15</v>
      </c>
    </row>
    <row r="221" spans="1:6" ht="14.25" thickBot="1">
      <c r="A221" s="1839" t="s">
        <v>1413</v>
      </c>
      <c r="B221" s="1843" t="s">
        <v>1233</v>
      </c>
      <c r="C221" s="1844"/>
      <c r="D221" s="1853"/>
      <c r="E221" s="1853"/>
      <c r="F221" s="1845">
        <v>0.14799999999999999</v>
      </c>
    </row>
    <row r="222" spans="1:6" ht="14.25" thickBot="1">
      <c r="A222" s="1839" t="s">
        <v>1413</v>
      </c>
      <c r="B222" s="1843" t="s">
        <v>1243</v>
      </c>
      <c r="C222" s="1844"/>
      <c r="D222" s="1853"/>
      <c r="E222" s="1853"/>
      <c r="F222" s="1845">
        <v>0.1</v>
      </c>
    </row>
    <row r="223" spans="1:6" ht="14.25" thickBot="1">
      <c r="A223" s="1839" t="s">
        <v>1413</v>
      </c>
      <c r="B223" s="1843" t="s">
        <v>1253</v>
      </c>
      <c r="C223" s="1844"/>
      <c r="D223" s="1853"/>
      <c r="E223" s="1853"/>
      <c r="F223" s="1845">
        <v>0.15</v>
      </c>
    </row>
    <row r="224" spans="1:6" ht="14.25" thickBot="1">
      <c r="A224" s="1839" t="s">
        <v>1413</v>
      </c>
      <c r="B224" s="1843" t="s">
        <v>1263</v>
      </c>
      <c r="C224" s="1844"/>
      <c r="D224" s="1853"/>
      <c r="E224" s="1853"/>
      <c r="F224" s="1845">
        <v>0.15</v>
      </c>
    </row>
    <row r="225" spans="1:6" ht="14.25" thickBot="1">
      <c r="A225" s="1839" t="s">
        <v>1413</v>
      </c>
      <c r="B225" s="1843" t="s">
        <v>2159</v>
      </c>
      <c r="C225" s="1844">
        <v>0.15</v>
      </c>
      <c r="D225" s="1844">
        <v>0.15</v>
      </c>
      <c r="E225" s="1844">
        <v>0.15</v>
      </c>
      <c r="F225" s="1845">
        <v>0.15</v>
      </c>
    </row>
    <row r="226" spans="1:6" ht="14.25" thickBot="1">
      <c r="A226" s="1839" t="s">
        <v>1413</v>
      </c>
      <c r="B226" s="1843" t="s">
        <v>1281</v>
      </c>
      <c r="C226" s="1844">
        <v>0.15</v>
      </c>
      <c r="D226" s="1844">
        <v>0.15</v>
      </c>
      <c r="E226" s="1844">
        <v>0.15</v>
      </c>
      <c r="F226" s="1845">
        <v>0.14799999999999999</v>
      </c>
    </row>
    <row r="227" spans="1:6" ht="14.25" thickBot="1">
      <c r="A227" s="1839" t="s">
        <v>1413</v>
      </c>
      <c r="B227" s="1843" t="s">
        <v>2160</v>
      </c>
      <c r="C227" s="1844">
        <v>0.15</v>
      </c>
      <c r="D227" s="1844">
        <v>0.15</v>
      </c>
      <c r="E227" s="1844">
        <v>0.15</v>
      </c>
      <c r="F227" s="1845">
        <v>0.15</v>
      </c>
    </row>
    <row r="228" spans="1:6" ht="14.25" thickBot="1">
      <c r="A228" s="1839" t="s">
        <v>1413</v>
      </c>
      <c r="B228" s="1843" t="s">
        <v>1296</v>
      </c>
      <c r="C228" s="1844">
        <v>0.15</v>
      </c>
      <c r="D228" s="1844">
        <v>0.15</v>
      </c>
      <c r="E228" s="1844">
        <v>0.15</v>
      </c>
      <c r="F228" s="1845">
        <v>0.15</v>
      </c>
    </row>
    <row r="229" spans="1:6" ht="14.25" thickBot="1">
      <c r="A229" s="1839" t="s">
        <v>1413</v>
      </c>
      <c r="B229" s="1843" t="s">
        <v>1303</v>
      </c>
      <c r="C229" s="1844">
        <v>0.15</v>
      </c>
      <c r="D229" s="1844">
        <v>0.15</v>
      </c>
      <c r="E229" s="1844">
        <v>0.15</v>
      </c>
      <c r="F229" s="1852"/>
    </row>
    <row r="230" spans="1:6" ht="14.25" thickBot="1">
      <c r="A230" s="1839" t="s">
        <v>1413</v>
      </c>
      <c r="B230" s="1843" t="s">
        <v>1310</v>
      </c>
      <c r="C230" s="1844">
        <v>0.14499999999999999</v>
      </c>
      <c r="D230" s="1844">
        <v>0.14499999999999999</v>
      </c>
      <c r="E230" s="1844">
        <v>0.14399999999999999</v>
      </c>
      <c r="F230" s="1852"/>
    </row>
    <row r="231" spans="1:6" ht="14.25" thickBot="1">
      <c r="A231" s="1839" t="s">
        <v>1413</v>
      </c>
      <c r="B231" s="1843" t="s">
        <v>2161</v>
      </c>
      <c r="C231" s="1844">
        <v>0.128</v>
      </c>
      <c r="D231" s="1844">
        <v>0.125</v>
      </c>
      <c r="E231" s="1844">
        <v>0.13200000000000001</v>
      </c>
      <c r="F231" s="1852"/>
    </row>
    <row r="232" spans="1:6" ht="14.25" thickBot="1">
      <c r="A232" s="1839" t="s">
        <v>1413</v>
      </c>
      <c r="B232" s="1843" t="s">
        <v>2162</v>
      </c>
      <c r="C232" s="1844">
        <v>0.14499999999999999</v>
      </c>
      <c r="D232" s="1844">
        <v>0.14399999999999999</v>
      </c>
      <c r="E232" s="1844">
        <v>0.14599999999999999</v>
      </c>
      <c r="F232" s="1845">
        <v>0.13800000000000001</v>
      </c>
    </row>
    <row r="233" spans="1:6" ht="14.25" thickBot="1">
      <c r="A233" s="1839" t="s">
        <v>1413</v>
      </c>
      <c r="B233" s="1843" t="s">
        <v>2163</v>
      </c>
      <c r="C233" s="1844">
        <v>0.14499999999999999</v>
      </c>
      <c r="D233" s="1844">
        <v>0.14299999999999999</v>
      </c>
      <c r="E233" s="1844">
        <v>0.14199999999999999</v>
      </c>
      <c r="F233" s="1852"/>
    </row>
    <row r="234" spans="1:6" ht="14.25" thickBot="1">
      <c r="A234" s="1839" t="s">
        <v>1413</v>
      </c>
      <c r="B234" s="1843" t="s">
        <v>2164</v>
      </c>
      <c r="C234" s="1844">
        <v>0.14000000000000001</v>
      </c>
      <c r="D234" s="1844">
        <v>0.14000000000000001</v>
      </c>
      <c r="E234" s="1844">
        <v>0.14399999999999999</v>
      </c>
      <c r="F234" s="1852"/>
    </row>
    <row r="235" spans="1:6" ht="14.25" thickBot="1">
      <c r="A235" s="1839" t="s">
        <v>1413</v>
      </c>
      <c r="B235" s="1843" t="s">
        <v>2165</v>
      </c>
      <c r="C235" s="1844">
        <v>0.14099999999999999</v>
      </c>
      <c r="D235" s="1844">
        <v>0.14199999999999999</v>
      </c>
      <c r="E235" s="1844">
        <v>0.14499999999999999</v>
      </c>
      <c r="F235" s="1845">
        <v>0.15</v>
      </c>
    </row>
    <row r="236" spans="1:6" ht="14.25" thickBot="1">
      <c r="A236" s="1839" t="s">
        <v>1413</v>
      </c>
      <c r="B236" s="1843" t="s">
        <v>1345</v>
      </c>
      <c r="C236" s="1853"/>
      <c r="D236" s="1853"/>
      <c r="E236" s="1853"/>
      <c r="F236" s="1845">
        <v>0.14299999999999999</v>
      </c>
    </row>
    <row r="237" spans="1:6" ht="24.75" thickBot="1">
      <c r="A237" s="1839" t="s">
        <v>1413</v>
      </c>
      <c r="B237" s="1843" t="s">
        <v>2166</v>
      </c>
      <c r="C237" s="1853"/>
      <c r="D237" s="1853"/>
      <c r="E237" s="1853"/>
      <c r="F237" s="1845">
        <v>0.05</v>
      </c>
    </row>
    <row r="238" spans="1:6" ht="24.75" thickBot="1">
      <c r="A238" s="1839" t="s">
        <v>1413</v>
      </c>
      <c r="B238" s="1843" t="s">
        <v>2167</v>
      </c>
      <c r="C238" s="1853"/>
      <c r="D238" s="1853"/>
      <c r="E238" s="1853"/>
      <c r="F238" s="1845">
        <v>0.05</v>
      </c>
    </row>
    <row r="239" spans="1:6" ht="24.75" thickBot="1">
      <c r="A239" s="1839" t="s">
        <v>1413</v>
      </c>
      <c r="B239" s="1843" t="s">
        <v>2168</v>
      </c>
      <c r="C239" s="1853"/>
      <c r="D239" s="1853"/>
      <c r="E239" s="1853"/>
      <c r="F239" s="1845">
        <v>0.05</v>
      </c>
    </row>
    <row r="240" spans="1:6" ht="24.75" thickBot="1">
      <c r="A240" s="1839" t="s">
        <v>1413</v>
      </c>
      <c r="B240" s="1843" t="s">
        <v>2169</v>
      </c>
      <c r="C240" s="1853"/>
      <c r="D240" s="1853"/>
      <c r="E240" s="1853"/>
      <c r="F240" s="1845">
        <v>0.05</v>
      </c>
    </row>
    <row r="241" spans="1:6" ht="24.75" thickBot="1">
      <c r="A241" s="1839" t="s">
        <v>1413</v>
      </c>
      <c r="B241" s="1843" t="s">
        <v>2170</v>
      </c>
      <c r="C241" s="1853"/>
      <c r="D241" s="1853"/>
      <c r="E241" s="1853"/>
      <c r="F241" s="1845">
        <v>0.05</v>
      </c>
    </row>
    <row r="242" spans="1:6" ht="24.75" thickBot="1">
      <c r="A242" s="1839" t="s">
        <v>1413</v>
      </c>
      <c r="B242" s="1843" t="s">
        <v>2171</v>
      </c>
      <c r="C242" s="1853"/>
      <c r="D242" s="1853"/>
      <c r="E242" s="1853"/>
      <c r="F242" s="1845">
        <v>0.05</v>
      </c>
    </row>
    <row r="243" spans="1:6" ht="24.75" thickBot="1">
      <c r="A243" s="1839" t="s">
        <v>1413</v>
      </c>
      <c r="B243" s="1843" t="s">
        <v>2172</v>
      </c>
      <c r="C243" s="1853"/>
      <c r="D243" s="1853"/>
      <c r="E243" s="1853"/>
      <c r="F243" s="1845">
        <v>0.05</v>
      </c>
    </row>
    <row r="244" spans="1:6" ht="24.75" thickBot="1">
      <c r="A244" s="1847" t="s">
        <v>1413</v>
      </c>
      <c r="B244" s="1854" t="s">
        <v>2173</v>
      </c>
      <c r="C244" s="1850"/>
      <c r="D244" s="1850"/>
      <c r="E244" s="1850"/>
      <c r="F244" s="1855">
        <v>0.05</v>
      </c>
    </row>
    <row r="245" spans="1:6" ht="14.25" thickBot="1">
      <c r="A245" s="1839" t="s">
        <v>1415</v>
      </c>
      <c r="B245" s="1840" t="s">
        <v>2174</v>
      </c>
      <c r="C245" s="1841">
        <v>0.15</v>
      </c>
      <c r="D245" s="1841">
        <v>0.15</v>
      </c>
      <c r="E245" s="1841">
        <v>0.15</v>
      </c>
      <c r="F245" s="1842">
        <v>0.14299999999999999</v>
      </c>
    </row>
    <row r="246" spans="1:6" ht="14.25" thickBot="1">
      <c r="A246" s="1839" t="s">
        <v>1415</v>
      </c>
      <c r="B246" s="1843" t="s">
        <v>1078</v>
      </c>
      <c r="C246" s="1844">
        <v>0.15</v>
      </c>
      <c r="D246" s="1844">
        <v>0.15</v>
      </c>
      <c r="E246" s="1844">
        <v>0.15</v>
      </c>
      <c r="F246" s="1845">
        <v>0.114</v>
      </c>
    </row>
    <row r="247" spans="1:6" ht="14.25" thickBot="1">
      <c r="A247" s="1839" t="s">
        <v>1415</v>
      </c>
      <c r="B247" s="1843" t="s">
        <v>2175</v>
      </c>
      <c r="C247" s="1844">
        <v>0.15</v>
      </c>
      <c r="D247" s="1844">
        <v>0.15</v>
      </c>
      <c r="E247" s="1844">
        <v>0.15</v>
      </c>
      <c r="F247" s="1845">
        <v>0.15</v>
      </c>
    </row>
    <row r="248" spans="1:6" ht="14.25" thickBot="1">
      <c r="A248" s="1839" t="s">
        <v>1415</v>
      </c>
      <c r="B248" s="1843" t="s">
        <v>2176</v>
      </c>
      <c r="C248" s="1844">
        <v>0.15</v>
      </c>
      <c r="D248" s="1844">
        <v>0.15</v>
      </c>
      <c r="E248" s="1844">
        <v>0.15</v>
      </c>
      <c r="F248" s="1845">
        <v>0.14000000000000001</v>
      </c>
    </row>
    <row r="249" spans="1:6" ht="14.25" thickBot="1">
      <c r="A249" s="1839" t="s">
        <v>1415</v>
      </c>
      <c r="B249" s="1843" t="s">
        <v>2177</v>
      </c>
      <c r="C249" s="1844">
        <v>0.15</v>
      </c>
      <c r="D249" s="1844">
        <v>0.14899999999999999</v>
      </c>
      <c r="E249" s="1844">
        <v>0.15</v>
      </c>
      <c r="F249" s="1845">
        <v>0.1</v>
      </c>
    </row>
    <row r="250" spans="1:6" ht="14.25" thickBot="1">
      <c r="A250" s="1839" t="s">
        <v>1415</v>
      </c>
      <c r="B250" s="1843" t="s">
        <v>2178</v>
      </c>
      <c r="C250" s="1844">
        <v>0.15</v>
      </c>
      <c r="D250" s="1844">
        <v>0.15</v>
      </c>
      <c r="E250" s="1844">
        <v>0.15</v>
      </c>
      <c r="F250" s="1845">
        <v>0.14399999999999999</v>
      </c>
    </row>
    <row r="251" spans="1:6" ht="14.25" thickBot="1">
      <c r="A251" s="1839" t="s">
        <v>1415</v>
      </c>
      <c r="B251" s="1843" t="s">
        <v>1141</v>
      </c>
      <c r="C251" s="1844">
        <v>0.15</v>
      </c>
      <c r="D251" s="1844">
        <v>0.15</v>
      </c>
      <c r="E251" s="1844">
        <v>0.15</v>
      </c>
      <c r="F251" s="1845">
        <v>0.14299999999999999</v>
      </c>
    </row>
    <row r="252" spans="1:6" ht="14.25" thickBot="1">
      <c r="A252" s="1839" t="s">
        <v>1415</v>
      </c>
      <c r="B252" s="1843" t="s">
        <v>1152</v>
      </c>
      <c r="C252" s="1844">
        <v>0.15</v>
      </c>
      <c r="D252" s="1844">
        <v>0.15</v>
      </c>
      <c r="E252" s="1844">
        <v>0.15</v>
      </c>
      <c r="F252" s="1845">
        <v>0.1</v>
      </c>
    </row>
    <row r="253" spans="1:6" ht="14.25" thickBot="1">
      <c r="A253" s="1839" t="s">
        <v>1415</v>
      </c>
      <c r="B253" s="1843" t="s">
        <v>1164</v>
      </c>
      <c r="C253" s="1844">
        <v>0.15</v>
      </c>
      <c r="D253" s="1844">
        <v>0.15</v>
      </c>
      <c r="E253" s="1844">
        <v>0.15</v>
      </c>
      <c r="F253" s="1845">
        <v>0.1</v>
      </c>
    </row>
    <row r="254" spans="1:6" ht="14.25" thickBot="1">
      <c r="A254" s="1839" t="s">
        <v>1415</v>
      </c>
      <c r="B254" s="1843" t="s">
        <v>1174</v>
      </c>
      <c r="C254" s="1853"/>
      <c r="D254" s="1853"/>
      <c r="E254" s="1853"/>
      <c r="F254" s="1845">
        <v>0.15</v>
      </c>
    </row>
    <row r="255" spans="1:6" ht="14.25" thickBot="1">
      <c r="A255" s="1839" t="s">
        <v>1415</v>
      </c>
      <c r="B255" s="1843" t="s">
        <v>1184</v>
      </c>
      <c r="C255" s="1853"/>
      <c r="D255" s="1853"/>
      <c r="E255" s="1853"/>
      <c r="F255" s="1845">
        <v>0.14299999999999999</v>
      </c>
    </row>
    <row r="256" spans="1:6" ht="14.25" thickBot="1">
      <c r="A256" s="1839" t="s">
        <v>1415</v>
      </c>
      <c r="B256" s="1843" t="s">
        <v>2179</v>
      </c>
      <c r="C256" s="1844">
        <v>0.14599999999999999</v>
      </c>
      <c r="D256" s="1844">
        <v>0.14699999999999999</v>
      </c>
      <c r="E256" s="1844">
        <v>0.15</v>
      </c>
      <c r="F256" s="1845">
        <v>0.13200000000000001</v>
      </c>
    </row>
    <row r="257" spans="1:6" ht="14.25" thickBot="1">
      <c r="A257" s="1839" t="s">
        <v>1415</v>
      </c>
      <c r="B257" s="1843" t="s">
        <v>1204</v>
      </c>
      <c r="C257" s="1844">
        <v>0.15</v>
      </c>
      <c r="D257" s="1844">
        <v>0.15</v>
      </c>
      <c r="E257" s="1844">
        <v>0.15</v>
      </c>
      <c r="F257" s="1845">
        <v>0.13900000000000001</v>
      </c>
    </row>
    <row r="258" spans="1:6" ht="14.25" thickBot="1">
      <c r="A258" s="1839" t="s">
        <v>1415</v>
      </c>
      <c r="B258" s="1843" t="s">
        <v>1214</v>
      </c>
      <c r="C258" s="1844">
        <v>0.15</v>
      </c>
      <c r="D258" s="1844">
        <v>0.15</v>
      </c>
      <c r="E258" s="1844">
        <v>0.15</v>
      </c>
      <c r="F258" s="1845">
        <v>0.13</v>
      </c>
    </row>
    <row r="259" spans="1:6" ht="14.25" thickBot="1">
      <c r="A259" s="1839" t="s">
        <v>1415</v>
      </c>
      <c r="B259" s="1843" t="s">
        <v>2180</v>
      </c>
      <c r="C259" s="1844">
        <v>0.14799999999999999</v>
      </c>
      <c r="D259" s="1844">
        <v>0.14899999999999999</v>
      </c>
      <c r="E259" s="1844">
        <v>0.15</v>
      </c>
      <c r="F259" s="1845">
        <v>0.13700000000000001</v>
      </c>
    </row>
    <row r="260" spans="1:6" ht="14.25" thickBot="1">
      <c r="A260" s="1839" t="s">
        <v>1415</v>
      </c>
      <c r="B260" s="1843" t="s">
        <v>1234</v>
      </c>
      <c r="C260" s="1844">
        <v>0.15</v>
      </c>
      <c r="D260" s="1844">
        <v>0.15</v>
      </c>
      <c r="E260" s="1844">
        <v>0.15</v>
      </c>
      <c r="F260" s="1845">
        <v>0.14199999999999999</v>
      </c>
    </row>
    <row r="261" spans="1:6" ht="14.25" thickBot="1">
      <c r="A261" s="1839" t="s">
        <v>1415</v>
      </c>
      <c r="B261" s="1843" t="s">
        <v>1244</v>
      </c>
      <c r="C261" s="1844">
        <v>0.15</v>
      </c>
      <c r="D261" s="1844">
        <v>0.15</v>
      </c>
      <c r="E261" s="1844">
        <v>0.14899999999999999</v>
      </c>
      <c r="F261" s="1845">
        <v>0.14799999999999999</v>
      </c>
    </row>
    <row r="262" spans="1:6" ht="14.25" thickBot="1">
      <c r="A262" s="1839" t="s">
        <v>1415</v>
      </c>
      <c r="B262" s="1843" t="s">
        <v>1254</v>
      </c>
      <c r="C262" s="1844">
        <v>0.15</v>
      </c>
      <c r="D262" s="1844">
        <v>0.15</v>
      </c>
      <c r="E262" s="1844">
        <v>0.15</v>
      </c>
      <c r="F262" s="1852"/>
    </row>
    <row r="263" spans="1:6" ht="14.25" thickBot="1">
      <c r="A263" s="1839" t="s">
        <v>1415</v>
      </c>
      <c r="B263" s="1843" t="s">
        <v>2181</v>
      </c>
      <c r="C263" s="1844">
        <v>0.14899999999999999</v>
      </c>
      <c r="D263" s="1844">
        <v>0.14899999999999999</v>
      </c>
      <c r="E263" s="1844">
        <v>0.15</v>
      </c>
      <c r="F263" s="1845">
        <v>0.13</v>
      </c>
    </row>
    <row r="264" spans="1:6" ht="14.25" thickBot="1">
      <c r="A264" s="1839" t="s">
        <v>1415</v>
      </c>
      <c r="B264" s="1843" t="s">
        <v>1273</v>
      </c>
      <c r="C264" s="1844">
        <v>0.14799999999999999</v>
      </c>
      <c r="D264" s="1844">
        <v>0.14699999999999999</v>
      </c>
      <c r="E264" s="1844">
        <v>0.15</v>
      </c>
      <c r="F264" s="1845">
        <v>7.8E-2</v>
      </c>
    </row>
    <row r="265" spans="1:6" ht="14.25" thickBot="1">
      <c r="A265" s="1839" t="s">
        <v>1415</v>
      </c>
      <c r="B265" s="1843" t="s">
        <v>1282</v>
      </c>
      <c r="C265" s="1844">
        <v>0.15</v>
      </c>
      <c r="D265" s="1844">
        <v>0.15</v>
      </c>
      <c r="E265" s="1844">
        <v>0.15</v>
      </c>
      <c r="F265" s="1845">
        <v>7.3999999999999996E-2</v>
      </c>
    </row>
    <row r="266" spans="1:6" ht="14.25" thickBot="1">
      <c r="A266" s="1839" t="s">
        <v>1415</v>
      </c>
      <c r="B266" s="1843" t="s">
        <v>1290</v>
      </c>
      <c r="C266" s="1844">
        <v>0.14699999999999999</v>
      </c>
      <c r="D266" s="1844">
        <v>0.14699999999999999</v>
      </c>
      <c r="E266" s="1844">
        <v>0.15</v>
      </c>
      <c r="F266" s="1845">
        <v>0.14299999999999999</v>
      </c>
    </row>
    <row r="267" spans="1:6" ht="14.25" thickBot="1">
      <c r="A267" s="1839" t="s">
        <v>1415</v>
      </c>
      <c r="B267" s="1843" t="s">
        <v>1297</v>
      </c>
      <c r="C267" s="1844">
        <v>0.14199999999999999</v>
      </c>
      <c r="D267" s="1844">
        <v>0.14299999999999999</v>
      </c>
      <c r="E267" s="1844">
        <v>0.15</v>
      </c>
      <c r="F267" s="1852"/>
    </row>
    <row r="268" spans="1:6" ht="14.25" thickBot="1">
      <c r="A268" s="1839" t="s">
        <v>1415</v>
      </c>
      <c r="B268" s="1843" t="s">
        <v>2182</v>
      </c>
      <c r="C268" s="1844">
        <v>0.15</v>
      </c>
      <c r="D268" s="1844">
        <v>0.15</v>
      </c>
      <c r="E268" s="1844">
        <v>0.15</v>
      </c>
      <c r="F268" s="1845">
        <v>0.13</v>
      </c>
    </row>
    <row r="269" spans="1:6" ht="14.25" thickBot="1">
      <c r="A269" s="1839" t="s">
        <v>1415</v>
      </c>
      <c r="B269" s="1843" t="s">
        <v>1311</v>
      </c>
      <c r="C269" s="1844">
        <v>0.15</v>
      </c>
      <c r="D269" s="1844">
        <v>0.15</v>
      </c>
      <c r="E269" s="1844">
        <v>0.15</v>
      </c>
      <c r="F269" s="1845">
        <v>0.14299999999999999</v>
      </c>
    </row>
    <row r="270" spans="1:6" ht="14.25" thickBot="1">
      <c r="A270" s="1839" t="s">
        <v>1415</v>
      </c>
      <c r="B270" s="1843" t="s">
        <v>1318</v>
      </c>
      <c r="C270" s="1844">
        <v>0.14499999999999999</v>
      </c>
      <c r="D270" s="1844">
        <v>0.14499999999999999</v>
      </c>
      <c r="E270" s="1844">
        <v>0.15</v>
      </c>
      <c r="F270" s="1845">
        <v>0.14699999999999999</v>
      </c>
    </row>
    <row r="271" spans="1:6" ht="14.25" thickBot="1">
      <c r="A271" s="1839" t="s">
        <v>1415</v>
      </c>
      <c r="B271" s="1843" t="s">
        <v>1325</v>
      </c>
      <c r="C271" s="1844">
        <v>0.15</v>
      </c>
      <c r="D271" s="1844">
        <v>0.15</v>
      </c>
      <c r="E271" s="1844">
        <v>0.15</v>
      </c>
      <c r="F271" s="1845">
        <v>0.13800000000000001</v>
      </c>
    </row>
    <row r="272" spans="1:6" ht="14.25" thickBot="1">
      <c r="A272" s="1839" t="s">
        <v>1415</v>
      </c>
      <c r="B272" s="1843" t="s">
        <v>1332</v>
      </c>
      <c r="C272" s="1853"/>
      <c r="D272" s="1853"/>
      <c r="E272" s="1853"/>
      <c r="F272" s="1845">
        <v>0.14000000000000001</v>
      </c>
    </row>
    <row r="273" spans="1:6" ht="14.25" thickBot="1">
      <c r="A273" s="1839" t="s">
        <v>1415</v>
      </c>
      <c r="B273" s="1843" t="s">
        <v>2183</v>
      </c>
      <c r="C273" s="1844">
        <v>0.14199999999999999</v>
      </c>
      <c r="D273" s="1844">
        <v>0.14299999999999999</v>
      </c>
      <c r="E273" s="1844">
        <v>0.15</v>
      </c>
      <c r="F273" s="1845">
        <v>0.1</v>
      </c>
    </row>
    <row r="274" spans="1:6" ht="14.25" thickBot="1">
      <c r="A274" s="1839" t="s">
        <v>1415</v>
      </c>
      <c r="B274" s="1843" t="s">
        <v>2184</v>
      </c>
      <c r="C274" s="1844">
        <v>0.14799999999999999</v>
      </c>
      <c r="D274" s="1844">
        <v>0.14799999999999999</v>
      </c>
      <c r="E274" s="1844">
        <v>0.15</v>
      </c>
      <c r="F274" s="1845">
        <v>6.7000000000000004E-2</v>
      </c>
    </row>
    <row r="275" spans="1:6" ht="14.25" thickBot="1">
      <c r="A275" s="1839" t="s">
        <v>1415</v>
      </c>
      <c r="B275" s="1843" t="s">
        <v>2185</v>
      </c>
      <c r="C275" s="1844">
        <v>0.15</v>
      </c>
      <c r="D275" s="1844">
        <v>0.15</v>
      </c>
      <c r="E275" s="1844">
        <v>0.15</v>
      </c>
      <c r="F275" s="1845">
        <v>0.15</v>
      </c>
    </row>
    <row r="276" spans="1:6" ht="14.25" thickBot="1">
      <c r="A276" s="1839" t="s">
        <v>1415</v>
      </c>
      <c r="B276" s="1843" t="s">
        <v>2186</v>
      </c>
      <c r="C276" s="1844">
        <v>0.14499999999999999</v>
      </c>
      <c r="D276" s="1844">
        <v>0.14299999999999999</v>
      </c>
      <c r="E276" s="1844">
        <v>0.15</v>
      </c>
      <c r="F276" s="1845">
        <v>5.8999999999999997E-2</v>
      </c>
    </row>
    <row r="277" spans="1:6" ht="14.25" thickBot="1">
      <c r="A277" s="1839" t="s">
        <v>1415</v>
      </c>
      <c r="B277" s="1843" t="s">
        <v>2187</v>
      </c>
      <c r="C277" s="1844">
        <v>0.15</v>
      </c>
      <c r="D277" s="1844">
        <v>0.15</v>
      </c>
      <c r="E277" s="1844">
        <v>0.15</v>
      </c>
      <c r="F277" s="1845">
        <v>0.121</v>
      </c>
    </row>
    <row r="278" spans="1:6" ht="14.25" thickBot="1">
      <c r="A278" s="1839" t="s">
        <v>1415</v>
      </c>
      <c r="B278" s="1843" t="s">
        <v>2188</v>
      </c>
      <c r="C278" s="1844">
        <v>0.15</v>
      </c>
      <c r="D278" s="1844">
        <v>0.15</v>
      </c>
      <c r="E278" s="1844">
        <v>0.15</v>
      </c>
      <c r="F278" s="1845">
        <v>0.13800000000000001</v>
      </c>
    </row>
    <row r="279" spans="1:6" ht="24.75" thickBot="1">
      <c r="A279" s="1839" t="s">
        <v>1415</v>
      </c>
      <c r="B279" s="1843" t="s">
        <v>2189</v>
      </c>
      <c r="C279" s="1853"/>
      <c r="D279" s="1853"/>
      <c r="E279" s="1853"/>
      <c r="F279" s="1845">
        <v>0.05</v>
      </c>
    </row>
    <row r="280" spans="1:6" ht="24.75" thickBot="1">
      <c r="A280" s="1839" t="s">
        <v>1415</v>
      </c>
      <c r="B280" s="1843" t="s">
        <v>2190</v>
      </c>
      <c r="C280" s="1853"/>
      <c r="D280" s="1853"/>
      <c r="E280" s="1853"/>
      <c r="F280" s="1845">
        <v>0.05</v>
      </c>
    </row>
    <row r="281" spans="1:6" ht="24.75" thickBot="1">
      <c r="A281" s="1839" t="s">
        <v>1415</v>
      </c>
      <c r="B281" s="1843" t="s">
        <v>2191</v>
      </c>
      <c r="C281" s="1853"/>
      <c r="D281" s="1853"/>
      <c r="E281" s="1853"/>
      <c r="F281" s="1845">
        <v>0.05</v>
      </c>
    </row>
    <row r="282" spans="1:6" ht="24.75" thickBot="1">
      <c r="A282" s="1839" t="s">
        <v>1415</v>
      </c>
      <c r="B282" s="1843" t="s">
        <v>2192</v>
      </c>
      <c r="C282" s="1853"/>
      <c r="D282" s="1853"/>
      <c r="E282" s="1853"/>
      <c r="F282" s="1845">
        <v>0.05</v>
      </c>
    </row>
    <row r="283" spans="1:6" ht="24.75" thickBot="1">
      <c r="A283" s="1839" t="s">
        <v>1415</v>
      </c>
      <c r="B283" s="1843" t="s">
        <v>2193</v>
      </c>
      <c r="C283" s="1853"/>
      <c r="D283" s="1853"/>
      <c r="E283" s="1853"/>
      <c r="F283" s="1845">
        <v>0.05</v>
      </c>
    </row>
    <row r="284" spans="1:6" ht="24.75" thickBot="1">
      <c r="A284" s="1839" t="s">
        <v>1415</v>
      </c>
      <c r="B284" s="1843" t="s">
        <v>2194</v>
      </c>
      <c r="C284" s="1853"/>
      <c r="D284" s="1853"/>
      <c r="E284" s="1853"/>
      <c r="F284" s="1845">
        <v>0.05</v>
      </c>
    </row>
    <row r="285" spans="1:6" ht="24.75" thickBot="1">
      <c r="A285" s="1839" t="s">
        <v>1415</v>
      </c>
      <c r="B285" s="1843" t="s">
        <v>2195</v>
      </c>
      <c r="C285" s="1853"/>
      <c r="D285" s="1853"/>
      <c r="E285" s="1853"/>
      <c r="F285" s="1845">
        <v>0.05</v>
      </c>
    </row>
    <row r="286" spans="1:6" ht="24.75" thickBot="1">
      <c r="A286" s="1839" t="s">
        <v>1415</v>
      </c>
      <c r="B286" s="1843" t="s">
        <v>2196</v>
      </c>
      <c r="C286" s="1853"/>
      <c r="D286" s="1853"/>
      <c r="E286" s="1853"/>
      <c r="F286" s="1845">
        <v>0.05</v>
      </c>
    </row>
    <row r="287" spans="1:6" ht="24.75" thickBot="1">
      <c r="A287" s="1839" t="s">
        <v>1415</v>
      </c>
      <c r="B287" s="1843" t="s">
        <v>2197</v>
      </c>
      <c r="C287" s="1853"/>
      <c r="D287" s="1853"/>
      <c r="E287" s="1853"/>
      <c r="F287" s="1845">
        <v>0.05</v>
      </c>
    </row>
    <row r="288" spans="1:6" ht="24.75" thickBot="1">
      <c r="A288" s="1839" t="s">
        <v>1415</v>
      </c>
      <c r="B288" s="1843" t="s">
        <v>2198</v>
      </c>
      <c r="C288" s="1853"/>
      <c r="D288" s="1853"/>
      <c r="E288" s="1853"/>
      <c r="F288" s="1845">
        <v>0.05</v>
      </c>
    </row>
    <row r="289" spans="1:6" ht="24.75" thickBot="1">
      <c r="A289" s="1847" t="s">
        <v>1415</v>
      </c>
      <c r="B289" s="1854" t="s">
        <v>2199</v>
      </c>
      <c r="C289" s="1850"/>
      <c r="D289" s="1850"/>
      <c r="E289" s="1850"/>
      <c r="F289" s="1855">
        <v>0.05</v>
      </c>
    </row>
    <row r="290" spans="1:6" ht="14.25" thickBot="1">
      <c r="A290" s="1839" t="s">
        <v>1419</v>
      </c>
      <c r="B290" s="1840" t="s">
        <v>2200</v>
      </c>
      <c r="C290" s="1841">
        <v>0.15</v>
      </c>
      <c r="D290" s="1841">
        <v>0.15</v>
      </c>
      <c r="E290" s="1841">
        <v>0.15</v>
      </c>
      <c r="F290" s="1863"/>
    </row>
    <row r="291" spans="1:6" ht="14.25" thickBot="1">
      <c r="A291" s="1839" t="s">
        <v>1419</v>
      </c>
      <c r="B291" s="1843" t="s">
        <v>1079</v>
      </c>
      <c r="C291" s="1844">
        <v>0.15</v>
      </c>
      <c r="D291" s="1844">
        <v>0.15</v>
      </c>
      <c r="E291" s="1844">
        <v>0.15</v>
      </c>
      <c r="F291" s="1852"/>
    </row>
    <row r="292" spans="1:6" ht="14.25" thickBot="1">
      <c r="A292" s="1839" t="s">
        <v>1419</v>
      </c>
      <c r="B292" s="1843" t="s">
        <v>2201</v>
      </c>
      <c r="C292" s="1844">
        <v>0.15</v>
      </c>
      <c r="D292" s="1844">
        <v>0.15</v>
      </c>
      <c r="E292" s="1844">
        <v>0.15</v>
      </c>
      <c r="F292" s="1845">
        <v>0.14699999999999999</v>
      </c>
    </row>
    <row r="293" spans="1:6" ht="14.25" thickBot="1">
      <c r="A293" s="1839" t="s">
        <v>1419</v>
      </c>
      <c r="B293" s="1843" t="s">
        <v>2202</v>
      </c>
      <c r="C293" s="1853"/>
      <c r="D293" s="1853"/>
      <c r="E293" s="1853"/>
      <c r="F293" s="1845">
        <v>0.1</v>
      </c>
    </row>
    <row r="294" spans="1:6" ht="14.25" thickBot="1">
      <c r="A294" s="1839" t="s">
        <v>1419</v>
      </c>
      <c r="B294" s="1843" t="s">
        <v>2203</v>
      </c>
      <c r="C294" s="1844">
        <v>0.15</v>
      </c>
      <c r="D294" s="1844">
        <v>0.15</v>
      </c>
      <c r="E294" s="1844">
        <v>0.15</v>
      </c>
      <c r="F294" s="1845">
        <v>0.15</v>
      </c>
    </row>
    <row r="295" spans="1:6" ht="14.25" thickBot="1">
      <c r="A295" s="1839" t="s">
        <v>1419</v>
      </c>
      <c r="B295" s="1843" t="s">
        <v>1120</v>
      </c>
      <c r="C295" s="1844">
        <v>0.15</v>
      </c>
      <c r="D295" s="1844">
        <v>0.15</v>
      </c>
      <c r="E295" s="1844">
        <v>0.15</v>
      </c>
      <c r="F295" s="1845">
        <v>0.15</v>
      </c>
    </row>
    <row r="296" spans="1:6" ht="14.25" thickBot="1">
      <c r="A296" s="1839" t="s">
        <v>1419</v>
      </c>
      <c r="B296" s="1843" t="s">
        <v>2204</v>
      </c>
      <c r="C296" s="1844">
        <v>0.15</v>
      </c>
      <c r="D296" s="1844">
        <v>0.15</v>
      </c>
      <c r="E296" s="1844">
        <v>0.15</v>
      </c>
      <c r="F296" s="1845">
        <v>0.15</v>
      </c>
    </row>
    <row r="297" spans="1:6" ht="14.25" thickBot="1">
      <c r="A297" s="1839" t="s">
        <v>1419</v>
      </c>
      <c r="B297" s="1843" t="s">
        <v>2205</v>
      </c>
      <c r="C297" s="1844">
        <v>0.14799999999999999</v>
      </c>
      <c r="D297" s="1844">
        <v>0.14899999999999999</v>
      </c>
      <c r="E297" s="1844">
        <v>0.15</v>
      </c>
      <c r="F297" s="1845">
        <v>0.13700000000000001</v>
      </c>
    </row>
    <row r="298" spans="1:6" ht="14.25" thickBot="1">
      <c r="A298" s="1839" t="s">
        <v>1419</v>
      </c>
      <c r="B298" s="1843" t="s">
        <v>1153</v>
      </c>
      <c r="C298" s="1844">
        <v>0.13400000000000001</v>
      </c>
      <c r="D298" s="1844">
        <v>0.13400000000000001</v>
      </c>
      <c r="E298" s="1844">
        <v>0.14499999999999999</v>
      </c>
      <c r="F298" s="1845">
        <v>0.14799999999999999</v>
      </c>
    </row>
    <row r="299" spans="1:6" ht="14.25" thickBot="1">
      <c r="A299" s="1839" t="s">
        <v>1419</v>
      </c>
      <c r="B299" s="1843" t="s">
        <v>1165</v>
      </c>
      <c r="C299" s="1844">
        <v>0.15</v>
      </c>
      <c r="D299" s="1844">
        <v>0.15</v>
      </c>
      <c r="E299" s="1844">
        <v>0.15</v>
      </c>
      <c r="F299" s="1852"/>
    </row>
    <row r="300" spans="1:6" ht="14.25" thickBot="1">
      <c r="A300" s="1839" t="s">
        <v>1419</v>
      </c>
      <c r="B300" s="1843" t="s">
        <v>2206</v>
      </c>
      <c r="C300" s="1844">
        <v>0.15</v>
      </c>
      <c r="D300" s="1844">
        <v>0.15</v>
      </c>
      <c r="E300" s="1844">
        <v>0.15</v>
      </c>
      <c r="F300" s="1845">
        <v>0.15</v>
      </c>
    </row>
    <row r="301" spans="1:6" ht="14.25" thickBot="1">
      <c r="A301" s="1839" t="s">
        <v>1419</v>
      </c>
      <c r="B301" s="1843" t="s">
        <v>1185</v>
      </c>
      <c r="C301" s="1844">
        <v>0.15</v>
      </c>
      <c r="D301" s="1844">
        <v>0.15</v>
      </c>
      <c r="E301" s="1844">
        <v>0.15</v>
      </c>
      <c r="F301" s="1852"/>
    </row>
    <row r="302" spans="1:6" ht="14.25" thickBot="1">
      <c r="A302" s="1839" t="s">
        <v>1419</v>
      </c>
      <c r="B302" s="1843" t="s">
        <v>2207</v>
      </c>
      <c r="C302" s="1844">
        <v>0.15</v>
      </c>
      <c r="D302" s="1844">
        <v>0.15</v>
      </c>
      <c r="E302" s="1844">
        <v>0.15</v>
      </c>
      <c r="F302" s="1845">
        <v>0.15</v>
      </c>
    </row>
    <row r="303" spans="1:6" ht="14.25" thickBot="1">
      <c r="A303" s="1839" t="s">
        <v>1419</v>
      </c>
      <c r="B303" s="1843" t="s">
        <v>1205</v>
      </c>
      <c r="C303" s="1844">
        <v>0.15</v>
      </c>
      <c r="D303" s="1844">
        <v>0.15</v>
      </c>
      <c r="E303" s="1844">
        <v>0.15</v>
      </c>
      <c r="F303" s="1845">
        <v>0.15</v>
      </c>
    </row>
    <row r="304" spans="1:6" ht="14.25" thickBot="1">
      <c r="A304" s="1839" t="s">
        <v>1419</v>
      </c>
      <c r="B304" s="1843" t="s">
        <v>1215</v>
      </c>
      <c r="C304" s="1844">
        <v>0.15</v>
      </c>
      <c r="D304" s="1844">
        <v>0.15</v>
      </c>
      <c r="E304" s="1844">
        <v>0.15</v>
      </c>
      <c r="F304" s="1852"/>
    </row>
    <row r="305" spans="1:6" ht="14.25" thickBot="1">
      <c r="A305" s="1839" t="s">
        <v>1419</v>
      </c>
      <c r="B305" s="1843" t="s">
        <v>2208</v>
      </c>
      <c r="C305" s="1844">
        <v>0.15</v>
      </c>
      <c r="D305" s="1844">
        <v>0.15</v>
      </c>
      <c r="E305" s="1844">
        <v>0.15</v>
      </c>
      <c r="F305" s="1845">
        <v>0.14000000000000001</v>
      </c>
    </row>
    <row r="306" spans="1:6" ht="14.25" thickBot="1">
      <c r="A306" s="1839" t="s">
        <v>1419</v>
      </c>
      <c r="B306" s="1843" t="s">
        <v>1235</v>
      </c>
      <c r="C306" s="1844">
        <v>0.15</v>
      </c>
      <c r="D306" s="1844">
        <v>0.15</v>
      </c>
      <c r="E306" s="1844">
        <v>0.15</v>
      </c>
      <c r="F306" s="1852"/>
    </row>
    <row r="307" spans="1:6" ht="14.25" thickBot="1">
      <c r="A307" s="1839" t="s">
        <v>1419</v>
      </c>
      <c r="B307" s="1843" t="s">
        <v>2209</v>
      </c>
      <c r="C307" s="1844">
        <v>0.15</v>
      </c>
      <c r="D307" s="1844">
        <v>0.15</v>
      </c>
      <c r="E307" s="1844">
        <v>0.15</v>
      </c>
      <c r="F307" s="1845">
        <v>0.14299999999999999</v>
      </c>
    </row>
    <row r="308" spans="1:6" ht="14.25" thickBot="1">
      <c r="A308" s="1839" t="s">
        <v>1419</v>
      </c>
      <c r="B308" s="1843" t="s">
        <v>1255</v>
      </c>
      <c r="C308" s="1844">
        <v>0.15</v>
      </c>
      <c r="D308" s="1844">
        <v>0.15</v>
      </c>
      <c r="E308" s="1844">
        <v>0.15</v>
      </c>
      <c r="F308" s="1845">
        <v>0.15</v>
      </c>
    </row>
    <row r="309" spans="1:6" ht="14.25" thickBot="1">
      <c r="A309" s="1839" t="s">
        <v>1419</v>
      </c>
      <c r="B309" s="1843" t="s">
        <v>1265</v>
      </c>
      <c r="C309" s="1844">
        <v>0.15</v>
      </c>
      <c r="D309" s="1844">
        <v>0.15</v>
      </c>
      <c r="E309" s="1844">
        <v>0.15</v>
      </c>
      <c r="F309" s="1852"/>
    </row>
    <row r="310" spans="1:6" ht="14.25" thickBot="1">
      <c r="A310" s="1839" t="s">
        <v>1419</v>
      </c>
      <c r="B310" s="1843" t="s">
        <v>2210</v>
      </c>
      <c r="C310" s="1844">
        <v>0.15</v>
      </c>
      <c r="D310" s="1844">
        <v>0.15</v>
      </c>
      <c r="E310" s="1844">
        <v>0.15</v>
      </c>
      <c r="F310" s="1845">
        <v>0.13700000000000001</v>
      </c>
    </row>
    <row r="311" spans="1:6" ht="14.25" thickBot="1">
      <c r="A311" s="1839" t="s">
        <v>1419</v>
      </c>
      <c r="B311" s="1843" t="s">
        <v>2211</v>
      </c>
      <c r="C311" s="1844">
        <v>0.15</v>
      </c>
      <c r="D311" s="1844">
        <v>0.15</v>
      </c>
      <c r="E311" s="1844">
        <v>0.15</v>
      </c>
      <c r="F311" s="1845">
        <v>0.15</v>
      </c>
    </row>
    <row r="312" spans="1:6" ht="14.25" thickBot="1">
      <c r="A312" s="1839" t="s">
        <v>1419</v>
      </c>
      <c r="B312" s="1843" t="s">
        <v>1291</v>
      </c>
      <c r="C312" s="1844">
        <v>0.15</v>
      </c>
      <c r="D312" s="1844">
        <v>0.15</v>
      </c>
      <c r="E312" s="1844">
        <v>0.15</v>
      </c>
      <c r="F312" s="1845">
        <v>0.1</v>
      </c>
    </row>
    <row r="313" spans="1:6" ht="14.25" thickBot="1">
      <c r="A313" s="1839" t="s">
        <v>1419</v>
      </c>
      <c r="B313" s="1843" t="s">
        <v>2212</v>
      </c>
      <c r="C313" s="1844">
        <v>0.15</v>
      </c>
      <c r="D313" s="1844">
        <v>0.15</v>
      </c>
      <c r="E313" s="1844">
        <v>0.15</v>
      </c>
      <c r="F313" s="1845">
        <v>0.15</v>
      </c>
    </row>
    <row r="314" spans="1:6" ht="24.75" thickBot="1">
      <c r="A314" s="1839" t="s">
        <v>1419</v>
      </c>
      <c r="B314" s="1843" t="s">
        <v>2213</v>
      </c>
      <c r="C314" s="1853"/>
      <c r="D314" s="1853"/>
      <c r="E314" s="1853"/>
      <c r="F314" s="1845">
        <v>0.05</v>
      </c>
    </row>
    <row r="315" spans="1:6" ht="24.75" thickBot="1">
      <c r="A315" s="1839" t="s">
        <v>1419</v>
      </c>
      <c r="B315" s="1843" t="s">
        <v>2214</v>
      </c>
      <c r="C315" s="1853"/>
      <c r="D315" s="1853"/>
      <c r="E315" s="1853"/>
      <c r="F315" s="1845">
        <v>0.05</v>
      </c>
    </row>
    <row r="316" spans="1:6" ht="24.75" thickBot="1">
      <c r="A316" s="1847" t="s">
        <v>1419</v>
      </c>
      <c r="B316" s="1854" t="s">
        <v>2215</v>
      </c>
      <c r="C316" s="1850"/>
      <c r="D316" s="1850"/>
      <c r="E316" s="1850"/>
      <c r="F316" s="1855">
        <v>0.05</v>
      </c>
    </row>
    <row r="317" spans="1:6" ht="14.25" thickBot="1">
      <c r="A317" s="1839" t="s">
        <v>2216</v>
      </c>
      <c r="B317" s="1840" t="s">
        <v>2217</v>
      </c>
      <c r="C317" s="1841">
        <v>0.15</v>
      </c>
      <c r="D317" s="1841">
        <v>0.15</v>
      </c>
      <c r="E317" s="1841">
        <v>0.15</v>
      </c>
      <c r="F317" s="1842">
        <v>0.15</v>
      </c>
    </row>
    <row r="318" spans="1:6" ht="14.25" thickBot="1">
      <c r="A318" s="1839" t="s">
        <v>2216</v>
      </c>
      <c r="B318" s="1843" t="s">
        <v>2218</v>
      </c>
      <c r="C318" s="1844">
        <v>0.107</v>
      </c>
      <c r="D318" s="1844">
        <v>0.11</v>
      </c>
      <c r="E318" s="1844">
        <v>0.112</v>
      </c>
      <c r="F318" s="1852"/>
    </row>
    <row r="319" spans="1:6" ht="14.25" thickBot="1">
      <c r="A319" s="1839" t="s">
        <v>2216</v>
      </c>
      <c r="B319" s="1843" t="s">
        <v>2219</v>
      </c>
      <c r="C319" s="1844">
        <v>0.15</v>
      </c>
      <c r="D319" s="1844">
        <v>0.15</v>
      </c>
      <c r="E319" s="1844">
        <v>0.15</v>
      </c>
      <c r="F319" s="1845">
        <v>0.15</v>
      </c>
    </row>
    <row r="320" spans="1:6" ht="14.25" thickBot="1">
      <c r="A320" s="1839" t="s">
        <v>2216</v>
      </c>
      <c r="B320" s="1843" t="s">
        <v>1107</v>
      </c>
      <c r="C320" s="1844">
        <v>0.15</v>
      </c>
      <c r="D320" s="1844">
        <v>0.15</v>
      </c>
      <c r="E320" s="1844">
        <v>0.15</v>
      </c>
      <c r="F320" s="1852"/>
    </row>
    <row r="321" spans="1:6" ht="14.25" thickBot="1">
      <c r="A321" s="1839" t="s">
        <v>2216</v>
      </c>
      <c r="B321" s="1843" t="s">
        <v>2220</v>
      </c>
      <c r="C321" s="1844">
        <v>0.15</v>
      </c>
      <c r="D321" s="1844">
        <v>0.15</v>
      </c>
      <c r="E321" s="1844">
        <v>0.15</v>
      </c>
      <c r="F321" s="1852"/>
    </row>
    <row r="322" spans="1:6" ht="14.25" thickBot="1">
      <c r="A322" s="1839" t="s">
        <v>2216</v>
      </c>
      <c r="B322" s="1843" t="s">
        <v>2221</v>
      </c>
      <c r="C322" s="1844">
        <v>0.15</v>
      </c>
      <c r="D322" s="1844">
        <v>0.15</v>
      </c>
      <c r="E322" s="1844">
        <v>0.15</v>
      </c>
      <c r="F322" s="1845">
        <v>0.15</v>
      </c>
    </row>
    <row r="323" spans="1:6" ht="14.25" thickBot="1">
      <c r="A323" s="1839" t="s">
        <v>2216</v>
      </c>
      <c r="B323" s="1843" t="s">
        <v>2222</v>
      </c>
      <c r="C323" s="1844">
        <v>0.15</v>
      </c>
      <c r="D323" s="1844">
        <v>0.15</v>
      </c>
      <c r="E323" s="1844">
        <v>0.15</v>
      </c>
      <c r="F323" s="1852"/>
    </row>
    <row r="324" spans="1:6" ht="14.25" thickBot="1">
      <c r="A324" s="1839" t="s">
        <v>2216</v>
      </c>
      <c r="B324" s="1843" t="s">
        <v>2223</v>
      </c>
      <c r="C324" s="1844">
        <v>0.15</v>
      </c>
      <c r="D324" s="1844">
        <v>0.15</v>
      </c>
      <c r="E324" s="1844">
        <v>0.15</v>
      </c>
      <c r="F324" s="1852"/>
    </row>
    <row r="325" spans="1:6" ht="14.25" thickBot="1">
      <c r="A325" s="1839" t="s">
        <v>2216</v>
      </c>
      <c r="B325" s="1843" t="s">
        <v>2224</v>
      </c>
      <c r="C325" s="1844">
        <v>0.15</v>
      </c>
      <c r="D325" s="1844">
        <v>0.15</v>
      </c>
      <c r="E325" s="1844">
        <v>0.15</v>
      </c>
      <c r="F325" s="1845">
        <v>0.14699999999999999</v>
      </c>
    </row>
    <row r="326" spans="1:6" ht="14.25" thickBot="1">
      <c r="A326" s="1839" t="s">
        <v>2216</v>
      </c>
      <c r="B326" s="1843" t="s">
        <v>1176</v>
      </c>
      <c r="C326" s="1844">
        <v>0.15</v>
      </c>
      <c r="D326" s="1844">
        <v>0.15</v>
      </c>
      <c r="E326" s="1844">
        <v>0.15</v>
      </c>
      <c r="F326" s="1852"/>
    </row>
    <row r="327" spans="1:6" ht="14.25" thickBot="1">
      <c r="A327" s="1839" t="s">
        <v>2216</v>
      </c>
      <c r="B327" s="1843" t="s">
        <v>2225</v>
      </c>
      <c r="C327" s="1844">
        <v>0.15</v>
      </c>
      <c r="D327" s="1844">
        <v>0.15</v>
      </c>
      <c r="E327" s="1844">
        <v>0.15</v>
      </c>
      <c r="F327" s="1845">
        <v>0.15</v>
      </c>
    </row>
    <row r="328" spans="1:6" ht="14.25" thickBot="1">
      <c r="A328" s="1839" t="s">
        <v>2216</v>
      </c>
      <c r="B328" s="1843" t="s">
        <v>1196</v>
      </c>
      <c r="C328" s="1844">
        <v>0.15</v>
      </c>
      <c r="D328" s="1844">
        <v>0.15</v>
      </c>
      <c r="E328" s="1844">
        <v>0.15</v>
      </c>
      <c r="F328" s="1845">
        <v>0.14099999999999999</v>
      </c>
    </row>
    <row r="329" spans="1:6" ht="14.25" thickBot="1">
      <c r="A329" s="1839" t="s">
        <v>2216</v>
      </c>
      <c r="B329" s="1843" t="s">
        <v>1206</v>
      </c>
      <c r="C329" s="1844">
        <v>0.15</v>
      </c>
      <c r="D329" s="1844">
        <v>0.15</v>
      </c>
      <c r="E329" s="1844">
        <v>0.15</v>
      </c>
      <c r="F329" s="1845">
        <v>0.15</v>
      </c>
    </row>
    <row r="330" spans="1:6" ht="14.25" thickBot="1">
      <c r="A330" s="1839" t="s">
        <v>2216</v>
      </c>
      <c r="B330" s="1843" t="s">
        <v>1216</v>
      </c>
      <c r="C330" s="1844">
        <v>0.15</v>
      </c>
      <c r="D330" s="1844">
        <v>0.15</v>
      </c>
      <c r="E330" s="1844">
        <v>0.15</v>
      </c>
      <c r="F330" s="1852"/>
    </row>
    <row r="331" spans="1:6" ht="14.25" thickBot="1">
      <c r="A331" s="1839" t="s">
        <v>2216</v>
      </c>
      <c r="B331" s="1843" t="s">
        <v>2226</v>
      </c>
      <c r="C331" s="1844">
        <v>0.15</v>
      </c>
      <c r="D331" s="1844">
        <v>0.15</v>
      </c>
      <c r="E331" s="1844">
        <v>0.15</v>
      </c>
      <c r="F331" s="1845">
        <v>0.15</v>
      </c>
    </row>
    <row r="332" spans="1:6" ht="14.25" thickBot="1">
      <c r="A332" s="1839" t="s">
        <v>2216</v>
      </c>
      <c r="B332" s="1843" t="s">
        <v>1236</v>
      </c>
      <c r="C332" s="1844">
        <v>0.15</v>
      </c>
      <c r="D332" s="1844">
        <v>0.15</v>
      </c>
      <c r="E332" s="1844">
        <v>0.15</v>
      </c>
      <c r="F332" s="1845">
        <v>0.15</v>
      </c>
    </row>
    <row r="333" spans="1:6" ht="14.25" thickBot="1">
      <c r="A333" s="1839" t="s">
        <v>2216</v>
      </c>
      <c r="B333" s="1843" t="s">
        <v>2227</v>
      </c>
      <c r="C333" s="1844">
        <v>0.15</v>
      </c>
      <c r="D333" s="1844">
        <v>0.15</v>
      </c>
      <c r="E333" s="1844">
        <v>0.15</v>
      </c>
      <c r="F333" s="1845">
        <v>0.14099999999999999</v>
      </c>
    </row>
    <row r="334" spans="1:6" ht="14.25" thickBot="1">
      <c r="A334" s="1839" t="s">
        <v>2216</v>
      </c>
      <c r="B334" s="1843" t="s">
        <v>1256</v>
      </c>
      <c r="C334" s="1844">
        <v>0.15</v>
      </c>
      <c r="D334" s="1844">
        <v>0.15</v>
      </c>
      <c r="E334" s="1844">
        <v>0.15</v>
      </c>
      <c r="F334" s="1845">
        <v>0.15</v>
      </c>
    </row>
    <row r="335" spans="1:6" ht="14.25" thickBot="1">
      <c r="A335" s="1839" t="s">
        <v>2216</v>
      </c>
      <c r="B335" s="1843" t="s">
        <v>1266</v>
      </c>
      <c r="C335" s="1844">
        <v>0.15</v>
      </c>
      <c r="D335" s="1844">
        <v>0.15</v>
      </c>
      <c r="E335" s="1844">
        <v>0.15</v>
      </c>
      <c r="F335" s="1852"/>
    </row>
    <row r="336" spans="1:6" ht="14.25" thickBot="1">
      <c r="A336" s="1839" t="s">
        <v>2216</v>
      </c>
      <c r="B336" s="1843" t="s">
        <v>2228</v>
      </c>
      <c r="C336" s="1844">
        <v>0.15</v>
      </c>
      <c r="D336" s="1844">
        <v>0.15</v>
      </c>
      <c r="E336" s="1844">
        <v>0.15</v>
      </c>
      <c r="F336" s="1845">
        <v>0.11799999999999999</v>
      </c>
    </row>
    <row r="337" spans="1:6" ht="14.25" thickBot="1">
      <c r="A337" s="1847" t="s">
        <v>2216</v>
      </c>
      <c r="B337" s="1854" t="s">
        <v>1284</v>
      </c>
      <c r="C337" s="1850"/>
      <c r="D337" s="1850"/>
      <c r="E337" s="1850"/>
      <c r="F337" s="1855">
        <v>0.14299999999999999</v>
      </c>
    </row>
    <row r="338" spans="1:6" ht="14.25" thickBot="1">
      <c r="A338" s="1839" t="s">
        <v>2229</v>
      </c>
      <c r="B338" s="1840" t="s">
        <v>2230</v>
      </c>
      <c r="C338" s="1841">
        <v>0.15</v>
      </c>
      <c r="D338" s="1841">
        <v>0.15</v>
      </c>
      <c r="E338" s="1841">
        <v>0.15</v>
      </c>
      <c r="F338" s="1863"/>
    </row>
    <row r="339" spans="1:6" ht="14.25" thickBot="1">
      <c r="A339" s="1839" t="s">
        <v>2229</v>
      </c>
      <c r="B339" s="1843" t="s">
        <v>2231</v>
      </c>
      <c r="C339" s="1844">
        <v>0.15</v>
      </c>
      <c r="D339" s="1844">
        <v>0.15</v>
      </c>
      <c r="E339" s="1844">
        <v>0.15</v>
      </c>
      <c r="F339" s="1852"/>
    </row>
    <row r="340" spans="1:6" ht="14.25" thickBot="1">
      <c r="A340" s="1839" t="s">
        <v>2229</v>
      </c>
      <c r="B340" s="1843" t="s">
        <v>2232</v>
      </c>
      <c r="C340" s="1844">
        <v>0.15</v>
      </c>
      <c r="D340" s="1844">
        <v>0.15</v>
      </c>
      <c r="E340" s="1844">
        <v>0.15</v>
      </c>
      <c r="F340" s="1852"/>
    </row>
    <row r="341" spans="1:6" ht="14.25" thickBot="1">
      <c r="A341" s="1839" t="s">
        <v>2233</v>
      </c>
      <c r="B341" s="1843" t="s">
        <v>2234</v>
      </c>
      <c r="C341" s="1844">
        <v>0.15</v>
      </c>
      <c r="D341" s="1844">
        <v>0.15</v>
      </c>
      <c r="E341" s="1844">
        <v>0.15</v>
      </c>
      <c r="F341" s="1845">
        <v>0.15</v>
      </c>
    </row>
    <row r="342" spans="1:6" ht="14.25" thickBot="1">
      <c r="A342" s="1839" t="s">
        <v>2229</v>
      </c>
      <c r="B342" s="1843" t="s">
        <v>2235</v>
      </c>
      <c r="C342" s="1844">
        <v>0.15</v>
      </c>
      <c r="D342" s="1844">
        <v>0.15</v>
      </c>
      <c r="E342" s="1844">
        <v>0.15</v>
      </c>
      <c r="F342" s="1845">
        <v>0.15</v>
      </c>
    </row>
    <row r="343" spans="1:6" ht="14.25" thickBot="1">
      <c r="A343" s="1839" t="s">
        <v>2229</v>
      </c>
      <c r="B343" s="1843" t="s">
        <v>2236</v>
      </c>
      <c r="C343" s="1844">
        <v>0.15</v>
      </c>
      <c r="D343" s="1844">
        <v>0.15</v>
      </c>
      <c r="E343" s="1844">
        <v>0.15</v>
      </c>
      <c r="F343" s="1845">
        <v>0.15</v>
      </c>
    </row>
    <row r="344" spans="1:6" ht="14.25" thickBot="1">
      <c r="A344" s="1847" t="s">
        <v>2229</v>
      </c>
      <c r="B344" s="1854" t="s">
        <v>2237</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C16" sqref="C16"/>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4081" t="s">
        <v>2575</v>
      </c>
      <c r="C1" s="4081"/>
      <c r="D1" s="4081"/>
      <c r="E1" s="4081"/>
      <c r="F1" s="4081"/>
      <c r="G1" s="4080" t="s">
        <v>2576</v>
      </c>
      <c r="H1" s="4080"/>
      <c r="I1" s="4080"/>
      <c r="J1" s="4080"/>
      <c r="K1" s="4080"/>
      <c r="L1" s="4080"/>
      <c r="N1" s="4080" t="s">
        <v>2577</v>
      </c>
      <c r="O1" s="4080"/>
      <c r="P1" s="4080"/>
      <c r="Q1" s="4080"/>
      <c r="R1" s="2617"/>
      <c r="S1" s="4080" t="s">
        <v>2578</v>
      </c>
      <c r="T1" s="4080"/>
      <c r="U1" s="4080"/>
      <c r="V1" s="4080"/>
      <c r="X1" s="4079" t="s">
        <v>2638</v>
      </c>
      <c r="Y1" s="4080"/>
      <c r="Z1" s="4080"/>
      <c r="AA1" s="4080"/>
      <c r="AB1" s="4080"/>
      <c r="AD1" s="4079" t="s">
        <v>2642</v>
      </c>
      <c r="AE1" s="4080"/>
      <c r="AF1" s="4080"/>
      <c r="AG1" s="4080"/>
      <c r="AH1" s="4080"/>
    </row>
    <row r="2" spans="1:34" s="2718" customFormat="1" ht="14.25" thickBot="1">
      <c r="B2" s="2726" t="s">
        <v>2579</v>
      </c>
      <c r="C2" s="2726" t="s">
        <v>2640</v>
      </c>
      <c r="D2" s="2719" t="s">
        <v>1644</v>
      </c>
      <c r="E2" s="2719" t="s">
        <v>1949</v>
      </c>
      <c r="F2" s="2726" t="s">
        <v>2641</v>
      </c>
      <c r="G2" s="2722"/>
      <c r="H2" s="2721"/>
      <c r="I2" s="2726" t="s">
        <v>2952</v>
      </c>
      <c r="J2" s="2719" t="s">
        <v>2954</v>
      </c>
      <c r="K2" s="2719" t="s">
        <v>2955</v>
      </c>
      <c r="L2" s="2726" t="s">
        <v>2956</v>
      </c>
      <c r="N2" s="2726" t="s">
        <v>2579</v>
      </c>
      <c r="O2" s="2719" t="s">
        <v>2953</v>
      </c>
      <c r="P2" s="2719" t="s">
        <v>1949</v>
      </c>
      <c r="Q2" s="2726" t="s">
        <v>2641</v>
      </c>
      <c r="R2" s="2720"/>
      <c r="S2" s="2726" t="s">
        <v>2579</v>
      </c>
      <c r="T2" s="2719" t="s">
        <v>2953</v>
      </c>
      <c r="U2" s="2719" t="s">
        <v>1949</v>
      </c>
      <c r="V2" s="2726" t="s">
        <v>2641</v>
      </c>
      <c r="X2" s="2726" t="s">
        <v>2579</v>
      </c>
      <c r="Y2" s="2726" t="s">
        <v>2640</v>
      </c>
      <c r="Z2" s="2719" t="s">
        <v>1644</v>
      </c>
      <c r="AA2" s="2719" t="s">
        <v>1949</v>
      </c>
      <c r="AB2" s="2726" t="s">
        <v>2641</v>
      </c>
      <c r="AD2" s="2726" t="s">
        <v>2579</v>
      </c>
      <c r="AE2" s="2726" t="s">
        <v>2640</v>
      </c>
      <c r="AF2" s="2719" t="s">
        <v>1644</v>
      </c>
      <c r="AG2" s="2719" t="s">
        <v>1949</v>
      </c>
      <c r="AH2" s="2726" t="s">
        <v>2641</v>
      </c>
    </row>
    <row r="3" spans="1:34" s="3079" customFormat="1" ht="14.25">
      <c r="A3" s="3091" t="s">
        <v>2965</v>
      </c>
      <c r="B3" s="3080"/>
      <c r="C3" s="3080"/>
      <c r="D3" s="3081"/>
      <c r="E3" s="3081"/>
      <c r="F3" s="3080"/>
      <c r="G3" s="3082"/>
      <c r="H3" s="3083"/>
      <c r="I3" s="3090">
        <f>ROUND(AVERAGE($I4:$I27),2)</f>
        <v>2.04</v>
      </c>
      <c r="J3" s="3090">
        <f>ROUND(AVERAGE($J4:$J27),2)</f>
        <v>1.44</v>
      </c>
      <c r="K3" s="3090">
        <f>ROUND(AVERAGE($K4:$K27),2)</f>
        <v>2.23</v>
      </c>
      <c r="L3" s="3090">
        <f>ROUND(AVERAGE($L4:$L27),2)</f>
        <v>1.4</v>
      </c>
      <c r="N3" s="3082"/>
      <c r="O3" s="3084"/>
      <c r="P3" s="3084"/>
      <c r="Q3" s="3084"/>
      <c r="R3" s="3084"/>
      <c r="S3" s="3082"/>
      <c r="T3" s="3084"/>
      <c r="U3" s="3084"/>
      <c r="V3" s="3084"/>
      <c r="W3" s="3087"/>
      <c r="X3" s="3085">
        <f>ROUND(SUMPRODUCT(PRODUCT(1+N3:N$26)),4)</f>
        <v>1.5422</v>
      </c>
      <c r="Y3" s="3085">
        <f>ROUND(SUMPRODUCT(PRODUCT(1+O3:O$26)),4)</f>
        <v>1.3557999999999999</v>
      </c>
      <c r="Z3" s="3085">
        <f t="shared" ref="Z3:Z24" si="0">Y3</f>
        <v>1.3557999999999999</v>
      </c>
      <c r="AA3" s="3085">
        <f>ROUND(SUMPRODUCT(PRODUCT(1+P3:P$26)),4)</f>
        <v>1.6036999999999999</v>
      </c>
      <c r="AB3" s="3085">
        <f>ROUND(SUMPRODUCT(PRODUCT(1+Q3:Q$26)),4)</f>
        <v>1.3573</v>
      </c>
      <c r="AD3" s="3086">
        <f>ROUND(AVERAGE(I3:I$27)/100,4)</f>
        <v>2.0400000000000001E-2</v>
      </c>
      <c r="AE3" s="3086">
        <f>ROUND(AVERAGE(J3:J$27)/100,4)</f>
        <v>1.44E-2</v>
      </c>
      <c r="AF3" s="3086">
        <f t="shared" ref="AF3:AF25" si="1">AE3</f>
        <v>1.44E-2</v>
      </c>
      <c r="AG3" s="3086">
        <f>ROUND(AVERAGE(K3:K$27)/100,4)</f>
        <v>2.23E-2</v>
      </c>
      <c r="AH3" s="3086">
        <f>ROUND(AVERAGE(L3:L$27)/100,4)</f>
        <v>1.4E-2</v>
      </c>
    </row>
    <row r="4" spans="1:34" s="2711" customFormat="1" ht="14.25">
      <c r="B4" s="2712"/>
      <c r="C4" s="2712"/>
      <c r="D4" s="2713"/>
      <c r="E4" s="2713"/>
      <c r="F4" s="2712"/>
      <c r="G4" s="2717"/>
      <c r="H4" s="2714"/>
      <c r="I4" s="3075"/>
      <c r="J4" s="3075"/>
      <c r="K4" s="3075"/>
      <c r="L4" s="3075"/>
      <c r="N4" s="2717"/>
      <c r="O4" s="2715"/>
      <c r="P4" s="2715"/>
      <c r="Q4" s="2715"/>
      <c r="R4" s="2715"/>
      <c r="S4" s="2717"/>
      <c r="T4" s="2715"/>
      <c r="U4" s="2715"/>
      <c r="V4" s="2715"/>
      <c r="W4" s="3088"/>
      <c r="X4" s="2716"/>
      <c r="Y4" s="2716"/>
      <c r="Z4" s="2716"/>
      <c r="AA4" s="2716"/>
      <c r="AB4" s="2716"/>
      <c r="AD4" s="2636"/>
      <c r="AE4" s="2636"/>
      <c r="AF4" s="2636"/>
      <c r="AG4" s="2636"/>
      <c r="AH4" s="2636"/>
    </row>
    <row r="5" spans="1:34" s="3063" customFormat="1" ht="13.5" thickBot="1">
      <c r="A5" s="3061" t="s">
        <v>2991</v>
      </c>
      <c r="B5" s="2750">
        <f t="shared" ref="B5" si="2">B6*(1+N5)</f>
        <v>474.30670301923408</v>
      </c>
      <c r="C5" s="2750">
        <f t="shared" ref="C5" si="3">C6*(1+O5)</f>
        <v>349.50705005996491</v>
      </c>
      <c r="D5" s="2750">
        <f t="shared" ref="D5" si="4">C5</f>
        <v>349.50705005996491</v>
      </c>
      <c r="E5" s="2750">
        <f t="shared" ref="E5" si="5">E6*(1+P5)</f>
        <v>678.22831959706957</v>
      </c>
      <c r="F5" s="2750">
        <f t="shared" ref="F5" si="6">F6*(1+Q5)</f>
        <v>312.0556832169558</v>
      </c>
      <c r="G5" s="2717">
        <v>2019</v>
      </c>
      <c r="H5" s="3062">
        <v>3</v>
      </c>
      <c r="I5" s="3076">
        <v>0</v>
      </c>
      <c r="J5" s="3076">
        <v>0</v>
      </c>
      <c r="K5" s="3076">
        <v>0</v>
      </c>
      <c r="L5" s="3076">
        <v>0</v>
      </c>
      <c r="N5" s="2724">
        <f t="shared" ref="N5" si="7">I5/100</f>
        <v>0</v>
      </c>
      <c r="O5" s="2724">
        <f t="shared" ref="O5" si="8">J5/100</f>
        <v>0</v>
      </c>
      <c r="P5" s="2724">
        <f t="shared" ref="P5" si="9">K5/100</f>
        <v>0</v>
      </c>
      <c r="Q5" s="2724">
        <f t="shared" ref="Q5" si="10">L5/100</f>
        <v>0</v>
      </c>
      <c r="R5" s="3064"/>
      <c r="S5" s="3065"/>
      <c r="T5" s="3064"/>
      <c r="U5" s="3064"/>
      <c r="V5" s="3064"/>
      <c r="W5" s="3089" t="s">
        <v>2966</v>
      </c>
      <c r="X5" s="3066">
        <f>ROUND(IF(项目基本情况!B7="出让",SUMPRODUCT(PRODUCT(1+N5:N$27)),SUMPRODUCT(PRODUCT(1+N5:N$26))),4)</f>
        <v>1.5422</v>
      </c>
      <c r="Y5" s="3066">
        <f>ROUND(IF(项目基本情况!B7="出让",SUMPRODUCT(PRODUCT(1+O5:O$27)),SUMPRODUCT(PRODUCT(1+O5:O$26))),4)</f>
        <v>1.3557999999999999</v>
      </c>
      <c r="Z5" s="3066">
        <f t="shared" ref="Z5" si="11">Y5</f>
        <v>1.3557999999999999</v>
      </c>
      <c r="AA5" s="3066">
        <f>ROUND(IF(项目基本情况!B7="出让",SUMPRODUCT(PRODUCT(1+P5:P$27)),SUMPRODUCT(PRODUCT(1+P5:P$26))),4)</f>
        <v>1.6036999999999999</v>
      </c>
      <c r="AB5" s="3066">
        <f>ROUND(IF(项目基本情况!B7="出让",SUMPRODUCT(PRODUCT(1+Q5:Q$27)),SUMPRODUCT(PRODUCT(1+Q5:Q$26))),4)</f>
        <v>1.3573</v>
      </c>
      <c r="AD5" s="3067">
        <f>ROUND(AVERAGE(I5:I$27)/100,4)</f>
        <v>2.0400000000000001E-2</v>
      </c>
      <c r="AE5" s="3067">
        <f>ROUND(AVERAGE(J5:J$27)/100,4)</f>
        <v>1.44E-2</v>
      </c>
      <c r="AF5" s="3067">
        <f t="shared" ref="AF5" si="12">AE5</f>
        <v>1.44E-2</v>
      </c>
      <c r="AG5" s="3067">
        <f>ROUND(AVERAGE(K5:K$27)/100,4)</f>
        <v>2.23E-2</v>
      </c>
      <c r="AH5" s="3067">
        <f>ROUND(AVERAGE(L5:L$27)/100,4)</f>
        <v>1.4E-2</v>
      </c>
    </row>
    <row r="6" spans="1:34" s="2723" customFormat="1">
      <c r="A6" s="2618" t="s">
        <v>2990</v>
      </c>
      <c r="B6" s="2631">
        <f t="shared" ref="B6:B11" si="13">B7*(1+N6)</f>
        <v>474.30670301923408</v>
      </c>
      <c r="C6" s="2631">
        <f t="shared" ref="C6" si="14">C7*(1+O6)</f>
        <v>349.50705005996491</v>
      </c>
      <c r="D6" s="2631">
        <f t="shared" ref="D6" si="15">C6</f>
        <v>349.50705005996491</v>
      </c>
      <c r="E6" s="2631">
        <f t="shared" ref="E6" si="16">E7*(1+P6)</f>
        <v>678.22831959706957</v>
      </c>
      <c r="F6" s="2631">
        <f t="shared" ref="F6" si="17">F7*(1+Q6)</f>
        <v>312.0556832169558</v>
      </c>
      <c r="G6" s="2717">
        <v>2019</v>
      </c>
      <c r="H6" s="2619">
        <v>2</v>
      </c>
      <c r="I6" s="2619">
        <v>1.53</v>
      </c>
      <c r="J6" s="2619">
        <v>1.01</v>
      </c>
      <c r="K6" s="2619">
        <v>1.62</v>
      </c>
      <c r="L6" s="2620">
        <v>1.25</v>
      </c>
      <c r="M6" s="2625"/>
      <c r="N6" s="2626">
        <f t="shared" ref="N6" si="18">I6/100</f>
        <v>1.5300000000000001E-2</v>
      </c>
      <c r="O6" s="2627">
        <f t="shared" ref="O6" si="19">J6/100</f>
        <v>1.01E-2</v>
      </c>
      <c r="P6" s="2627">
        <f t="shared" ref="P6" si="20">K6/100</f>
        <v>1.6200000000000003E-2</v>
      </c>
      <c r="Q6" s="2627">
        <f t="shared" ref="Q6" si="21">L6/100</f>
        <v>1.2500000000000001E-2</v>
      </c>
      <c r="R6" s="2628"/>
      <c r="S6" s="2634"/>
      <c r="T6" s="2635"/>
      <c r="U6" s="2635"/>
      <c r="V6" s="2635"/>
      <c r="W6" s="2625"/>
      <c r="X6" s="2716">
        <f>ROUND(IF(项目基本情况!B8="出让",SUMPRODUCT(PRODUCT(1+N6:N$27)),SUMPRODUCT(PRODUCT(1+N6:N$26))),4)</f>
        <v>1.5422</v>
      </c>
      <c r="Y6" s="2716">
        <f>ROUND(IF(项目基本情况!B8="出让",SUMPRODUCT(PRODUCT(1+O6:O$27)),SUMPRODUCT(PRODUCT(1+O6:O$26))),4)</f>
        <v>1.3557999999999999</v>
      </c>
      <c r="Z6" s="2716">
        <f t="shared" ref="Z6" si="22">Y6</f>
        <v>1.3557999999999999</v>
      </c>
      <c r="AA6" s="2716">
        <f>ROUND(IF(项目基本情况!B8="出让",SUMPRODUCT(PRODUCT(1+P6:P$27)),SUMPRODUCT(PRODUCT(1+P6:P$26))),4)</f>
        <v>1.6036999999999999</v>
      </c>
      <c r="AB6" s="2716">
        <f>ROUND(IF(项目基本情况!B8="出让",SUMPRODUCT(PRODUCT(1+Q6:Q$27)),SUMPRODUCT(PRODUCT(1+Q6:Q$26))),4)</f>
        <v>1.3573</v>
      </c>
      <c r="AC6" s="2625"/>
      <c r="AD6" s="2636">
        <f>ROUND(AVERAGE(I6:I$27)/100,4)</f>
        <v>2.1299999999999999E-2</v>
      </c>
      <c r="AE6" s="2636">
        <f>ROUND(AVERAGE(J6:J$27)/100,4)</f>
        <v>1.4999999999999999E-2</v>
      </c>
      <c r="AF6" s="2636">
        <f t="shared" ref="AF6" si="23">AE6</f>
        <v>1.4999999999999999E-2</v>
      </c>
      <c r="AG6" s="2636">
        <f>ROUND(AVERAGE(K6:K$27)/100,4)</f>
        <v>2.3300000000000001E-2</v>
      </c>
      <c r="AH6" s="2636">
        <f>ROUND(AVERAGE(L6:L$27)/100,4)</f>
        <v>1.46E-2</v>
      </c>
    </row>
    <row r="7" spans="1:34" s="2723" customFormat="1" ht="13.5" thickBot="1">
      <c r="A7" s="2618" t="s">
        <v>2988</v>
      </c>
      <c r="B7" s="2631">
        <f t="shared" si="13"/>
        <v>467.15916775261894</v>
      </c>
      <c r="C7" s="2631">
        <f t="shared" ref="C7" si="24">C8*(1+O7)</f>
        <v>346.01232557169084</v>
      </c>
      <c r="D7" s="2631">
        <f t="shared" ref="D7" si="25">C7</f>
        <v>346.01232557169084</v>
      </c>
      <c r="E7" s="2631">
        <f t="shared" ref="E7" si="26">E8*(1+P7)</f>
        <v>667.41617752122568</v>
      </c>
      <c r="F7" s="2631">
        <f t="shared" ref="F7" si="27">F8*(1+Q7)</f>
        <v>308.20314391798104</v>
      </c>
      <c r="G7" s="2717">
        <v>2019</v>
      </c>
      <c r="H7" s="2621">
        <v>1</v>
      </c>
      <c r="I7" s="2621">
        <v>0.6</v>
      </c>
      <c r="J7" s="2621">
        <v>0.37</v>
      </c>
      <c r="K7" s="2621">
        <v>0.63</v>
      </c>
      <c r="L7" s="2632">
        <v>1.1299999999999999</v>
      </c>
      <c r="M7" s="2625"/>
      <c r="N7" s="2626">
        <f t="shared" ref="N7" si="28">I7/100</f>
        <v>6.0000000000000001E-3</v>
      </c>
      <c r="O7" s="2627">
        <f t="shared" ref="O7" si="29">J7/100</f>
        <v>3.7000000000000002E-3</v>
      </c>
      <c r="P7" s="2627">
        <f t="shared" ref="P7" si="30">K7/100</f>
        <v>6.3E-3</v>
      </c>
      <c r="Q7" s="2627">
        <f t="shared" ref="Q7" si="31">L7/100</f>
        <v>1.1299999999999999E-2</v>
      </c>
      <c r="R7" s="2628"/>
      <c r="S7" s="2634">
        <f>B7/B8-1</f>
        <v>6.0000000000000053E-3</v>
      </c>
      <c r="T7" s="2635">
        <f>C7/C8-1</f>
        <v>3.7000000000000366E-3</v>
      </c>
      <c r="U7" s="2635">
        <f>E7/E8-1</f>
        <v>6.2999999999999723E-3</v>
      </c>
      <c r="V7" s="2635">
        <f>F7/F8-1</f>
        <v>1.1300000000000088E-2</v>
      </c>
      <c r="W7" s="2625"/>
      <c r="X7" s="2716">
        <f>ROUND(IF(项目基本情况!B8="出让",SUMPRODUCT(PRODUCT(1+N7:N$27)),SUMPRODUCT(PRODUCT(1+N7:N$26))),4)</f>
        <v>1.5189999999999999</v>
      </c>
      <c r="Y7" s="2716">
        <f>ROUND(IF(项目基本情况!B8="出让",SUMPRODUCT(PRODUCT(1+O7:O$27)),SUMPRODUCT(PRODUCT(1+O7:O$26))),4)</f>
        <v>1.3423</v>
      </c>
      <c r="Z7" s="2716">
        <f t="shared" ref="Z7" si="32">Y7</f>
        <v>1.3423</v>
      </c>
      <c r="AA7" s="2716">
        <f>ROUND(IF(项目基本情况!B8="出让",SUMPRODUCT(PRODUCT(1+P7:P$27)),SUMPRODUCT(PRODUCT(1+P7:P$26))),4)</f>
        <v>1.5782</v>
      </c>
      <c r="AB7" s="2716">
        <f>ROUND(IF(项目基本情况!B8="出让",SUMPRODUCT(PRODUCT(1+Q7:Q$27)),SUMPRODUCT(PRODUCT(1+Q7:Q$26))),4)</f>
        <v>1.3405</v>
      </c>
      <c r="AC7" s="2625"/>
      <c r="AD7" s="2636">
        <f>ROUND(AVERAGE(I7:I$27)/100,4)</f>
        <v>2.1600000000000001E-2</v>
      </c>
      <c r="AE7" s="2636">
        <f>ROUND(AVERAGE(J7:J$27)/100,4)</f>
        <v>1.5299999999999999E-2</v>
      </c>
      <c r="AF7" s="2636">
        <f t="shared" ref="AF7" si="33">AE7</f>
        <v>1.5299999999999999E-2</v>
      </c>
      <c r="AG7" s="2636">
        <f>ROUND(AVERAGE(K7:K$27)/100,4)</f>
        <v>2.3699999999999999E-2</v>
      </c>
      <c r="AH7" s="2636">
        <f>ROUND(AVERAGE(L7:L$27)/100,4)</f>
        <v>1.47E-2</v>
      </c>
    </row>
    <row r="8" spans="1:34" s="2723" customFormat="1">
      <c r="A8" s="2618" t="s">
        <v>2985</v>
      </c>
      <c r="B8" s="3182">
        <f t="shared" si="13"/>
        <v>464.37293017158942</v>
      </c>
      <c r="C8" s="3182">
        <f t="shared" ref="C8" si="34">C9*(1+O8)</f>
        <v>344.73679941385956</v>
      </c>
      <c r="D8" s="3182">
        <f t="shared" ref="D8" si="35">C8</f>
        <v>344.73679941385956</v>
      </c>
      <c r="E8" s="3182">
        <f t="shared" ref="E8" si="36">E9*(1+P8)</f>
        <v>663.2377795103107</v>
      </c>
      <c r="F8" s="3183">
        <f t="shared" ref="F8" si="37">F9*(1+Q8)</f>
        <v>304.75936311478398</v>
      </c>
      <c r="G8" s="4083">
        <v>2018</v>
      </c>
      <c r="H8" s="2619">
        <v>4</v>
      </c>
      <c r="I8" s="2619">
        <v>0.96</v>
      </c>
      <c r="J8" s="2619">
        <v>1.03</v>
      </c>
      <c r="K8" s="2619">
        <v>0.92</v>
      </c>
      <c r="L8" s="2620">
        <v>1.29</v>
      </c>
      <c r="M8" s="2625"/>
      <c r="N8" s="2626">
        <f t="shared" ref="N8" si="38">I8/100</f>
        <v>9.5999999999999992E-3</v>
      </c>
      <c r="O8" s="2627">
        <f t="shared" ref="O8" si="39">J8/100</f>
        <v>1.03E-2</v>
      </c>
      <c r="P8" s="2627">
        <f t="shared" ref="P8" si="40">K8/100</f>
        <v>9.1999999999999998E-3</v>
      </c>
      <c r="Q8" s="2627">
        <f t="shared" ref="Q8" si="41">L8/100</f>
        <v>1.29E-2</v>
      </c>
      <c r="R8" s="2628"/>
      <c r="S8" s="2629"/>
      <c r="T8" s="2630"/>
      <c r="U8" s="2630"/>
      <c r="V8" s="2630"/>
      <c r="W8" s="2625"/>
      <c r="X8" s="2716">
        <f>ROUND(SUMPRODUCT(PRODUCT(1+N8:N$26)),4)</f>
        <v>1.5099</v>
      </c>
      <c r="Y8" s="2716">
        <f>ROUND(SUMPRODUCT(PRODUCT(1+O8:O$26)),4)</f>
        <v>1.3372999999999999</v>
      </c>
      <c r="Z8" s="2716">
        <f t="shared" ref="Z8" si="42">Y8</f>
        <v>1.3372999999999999</v>
      </c>
      <c r="AA8" s="2716">
        <f>ROUND(SUMPRODUCT(PRODUCT(1+P8:P$26)),4)</f>
        <v>1.5683</v>
      </c>
      <c r="AB8" s="2716">
        <f>ROUND(SUMPRODUCT(PRODUCT(1+Q8:Q$26)),4)</f>
        <v>1.3255999999999999</v>
      </c>
      <c r="AC8" s="2625"/>
      <c r="AD8" s="2636">
        <f>ROUND(AVERAGE(I8:I$27)/100,4)</f>
        <v>2.24E-2</v>
      </c>
      <c r="AE8" s="2636">
        <f>ROUND(AVERAGE(J8:J$27)/100,4)</f>
        <v>1.5800000000000002E-2</v>
      </c>
      <c r="AF8" s="2636">
        <f t="shared" ref="AF8" si="43">AE8</f>
        <v>1.5800000000000002E-2</v>
      </c>
      <c r="AG8" s="2636">
        <f>ROUND(AVERAGE(K8:K$27)/100,4)</f>
        <v>2.4500000000000001E-2</v>
      </c>
      <c r="AH8" s="2636">
        <f>ROUND(AVERAGE(L8:L$27)/100,4)</f>
        <v>1.49E-2</v>
      </c>
    </row>
    <row r="9" spans="1:34" s="2723" customFormat="1" ht="14.45" customHeight="1">
      <c r="A9" s="2618" t="s">
        <v>2975</v>
      </c>
      <c r="B9" s="2631">
        <f t="shared" si="13"/>
        <v>459.95733971036987</v>
      </c>
      <c r="C9" s="2631">
        <f t="shared" ref="C9" si="44">C10*(1+O9)</f>
        <v>341.22221064422405</v>
      </c>
      <c r="D9" s="2631">
        <f t="shared" ref="D9" si="45">C9</f>
        <v>341.22221064422405</v>
      </c>
      <c r="E9" s="2631">
        <f t="shared" ref="E9" si="46">E10*(1+P9)</f>
        <v>657.19161663724799</v>
      </c>
      <c r="F9" s="2631">
        <f t="shared" ref="F9" si="47">F10*(1+Q9)</f>
        <v>300.87803644464805</v>
      </c>
      <c r="G9" s="4083"/>
      <c r="H9" s="2621">
        <v>3</v>
      </c>
      <c r="I9" s="2621">
        <v>1.51</v>
      </c>
      <c r="J9" s="2621">
        <v>1.41</v>
      </c>
      <c r="K9" s="2621">
        <v>1.52</v>
      </c>
      <c r="L9" s="2632">
        <v>1.74</v>
      </c>
      <c r="M9" s="2625"/>
      <c r="N9" s="2626">
        <f t="shared" ref="N9" si="48">I9/100</f>
        <v>1.5100000000000001E-2</v>
      </c>
      <c r="O9" s="2627">
        <f t="shared" ref="O9" si="49">J9/100</f>
        <v>1.41E-2</v>
      </c>
      <c r="P9" s="2627">
        <f t="shared" ref="P9" si="50">K9/100</f>
        <v>1.52E-2</v>
      </c>
      <c r="Q9" s="2627">
        <f t="shared" ref="Q9" si="51">L9/100</f>
        <v>1.7399999999999999E-2</v>
      </c>
      <c r="R9" s="2628"/>
      <c r="S9" s="2626"/>
      <c r="T9" s="2627"/>
      <c r="U9" s="2627"/>
      <c r="V9" s="2627"/>
      <c r="W9" s="2625"/>
      <c r="X9" s="2716">
        <f>ROUND(SUMPRODUCT(PRODUCT(1+N9:N$26)),4)</f>
        <v>1.4956</v>
      </c>
      <c r="Y9" s="2716">
        <f>ROUND(SUMPRODUCT(PRODUCT(1+O9:O$26)),4)</f>
        <v>1.3237000000000001</v>
      </c>
      <c r="Z9" s="2716">
        <f t="shared" ref="Z9" si="52">Y9</f>
        <v>1.3237000000000001</v>
      </c>
      <c r="AA9" s="2716">
        <f>ROUND(SUMPRODUCT(PRODUCT(1+P9:P$26)),4)</f>
        <v>1.554</v>
      </c>
      <c r="AB9" s="2716">
        <f>ROUND(SUMPRODUCT(PRODUCT(1+Q9:Q$26)),4)</f>
        <v>1.3087</v>
      </c>
      <c r="AC9" s="2625"/>
      <c r="AD9" s="2636">
        <f>ROUND(AVERAGE(I9:I$27)/100,4)</f>
        <v>2.3099999999999999E-2</v>
      </c>
      <c r="AE9" s="2636">
        <f>ROUND(AVERAGE(J9:J$27)/100,4)</f>
        <v>1.61E-2</v>
      </c>
      <c r="AF9" s="2636">
        <f t="shared" ref="AF9" si="53">AE9</f>
        <v>1.61E-2</v>
      </c>
      <c r="AG9" s="2636">
        <f>ROUND(AVERAGE(K9:K$27)/100,4)</f>
        <v>2.53E-2</v>
      </c>
      <c r="AH9" s="2636">
        <f>ROUND(AVERAGE(L9:L$27)/100,4)</f>
        <v>1.4999999999999999E-2</v>
      </c>
    </row>
    <row r="10" spans="1:34" s="2723" customFormat="1" ht="14.45" customHeight="1">
      <c r="A10" s="2618" t="s">
        <v>2976</v>
      </c>
      <c r="B10" s="2631">
        <f t="shared" si="13"/>
        <v>453.11529869999993</v>
      </c>
      <c r="C10" s="2631">
        <f t="shared" ref="C10" si="54">C11*(1+O10)</f>
        <v>336.47787264000004</v>
      </c>
      <c r="D10" s="2631">
        <f t="shared" ref="D10" si="55">C10</f>
        <v>336.47787264000004</v>
      </c>
      <c r="E10" s="2631">
        <f t="shared" ref="E10" si="56">E11*(1+P10)</f>
        <v>647.35186823999993</v>
      </c>
      <c r="F10" s="2631">
        <f t="shared" ref="F10" si="57">F11*(1+Q10)</f>
        <v>295.73229452000004</v>
      </c>
      <c r="G10" s="4083"/>
      <c r="H10" s="2622">
        <v>2</v>
      </c>
      <c r="I10" s="2622">
        <v>1.49</v>
      </c>
      <c r="J10" s="2622">
        <v>0.96</v>
      </c>
      <c r="K10" s="2622">
        <v>1.58</v>
      </c>
      <c r="L10" s="2633">
        <v>2.44</v>
      </c>
      <c r="M10" s="2625"/>
      <c r="N10" s="2626">
        <f t="shared" ref="N10" si="58">I10/100</f>
        <v>1.49E-2</v>
      </c>
      <c r="O10" s="2627">
        <f t="shared" ref="O10" si="59">J10/100</f>
        <v>9.5999999999999992E-3</v>
      </c>
      <c r="P10" s="2627">
        <f t="shared" ref="P10" si="60">K10/100</f>
        <v>1.5800000000000002E-2</v>
      </c>
      <c r="Q10" s="2627">
        <f t="shared" ref="Q10" si="61">L10/100</f>
        <v>2.4399999999999998E-2</v>
      </c>
      <c r="R10" s="2628"/>
      <c r="S10" s="2626"/>
      <c r="T10" s="2627"/>
      <c r="U10" s="2627"/>
      <c r="V10" s="2627"/>
      <c r="W10" s="2625"/>
      <c r="X10" s="2716">
        <f>ROUND(SUMPRODUCT(PRODUCT(1+N10:N$26)),4)</f>
        <v>1.4733000000000001</v>
      </c>
      <c r="Y10" s="2716">
        <f>ROUND(SUMPRODUCT(PRODUCT(1+O10:O$26)),4)</f>
        <v>1.3052999999999999</v>
      </c>
      <c r="Z10" s="2716">
        <f t="shared" ref="Z10" si="62">Y10</f>
        <v>1.3052999999999999</v>
      </c>
      <c r="AA10" s="2716">
        <f>ROUND(SUMPRODUCT(PRODUCT(1+P10:P$26)),4)</f>
        <v>1.5306999999999999</v>
      </c>
      <c r="AB10" s="2716">
        <f>ROUND(SUMPRODUCT(PRODUCT(1+Q10:Q$26)),4)</f>
        <v>1.2863</v>
      </c>
      <c r="AC10" s="2625"/>
      <c r="AD10" s="2636">
        <f>ROUND(AVERAGE(I10:I$27)/100,4)</f>
        <v>2.35E-2</v>
      </c>
      <c r="AE10" s="2636">
        <f>ROUND(AVERAGE(J10:J$27)/100,4)</f>
        <v>1.6199999999999999E-2</v>
      </c>
      <c r="AF10" s="2636">
        <f t="shared" ref="AF10" si="63">AE10</f>
        <v>1.6199999999999999E-2</v>
      </c>
      <c r="AG10" s="2636">
        <f>ROUND(AVERAGE(K10:K$27)/100,4)</f>
        <v>2.5899999999999999E-2</v>
      </c>
      <c r="AH10" s="2636">
        <f>ROUND(AVERAGE(L10:L$27)/100,4)</f>
        <v>1.49E-2</v>
      </c>
    </row>
    <row r="11" spans="1:34" s="2723" customFormat="1" ht="15" customHeight="1" thickBot="1">
      <c r="A11" s="2618" t="s">
        <v>2972</v>
      </c>
      <c r="B11" s="2631">
        <f t="shared" si="13"/>
        <v>446.46299999999997</v>
      </c>
      <c r="C11" s="2631">
        <f t="shared" ref="C11" si="64">C12*(1+O11)</f>
        <v>333.27840000000003</v>
      </c>
      <c r="D11" s="2631">
        <f t="shared" ref="D11:D16" si="65">C11</f>
        <v>333.27840000000003</v>
      </c>
      <c r="E11" s="2631">
        <f t="shared" ref="E11" si="66">E12*(1+P11)</f>
        <v>637.28279999999995</v>
      </c>
      <c r="F11" s="2631">
        <f t="shared" ref="F11" si="67">F12*(1+Q11)</f>
        <v>288.68830000000003</v>
      </c>
      <c r="G11" s="4089"/>
      <c r="H11" s="2621">
        <v>1</v>
      </c>
      <c r="I11" s="2621">
        <v>1.7</v>
      </c>
      <c r="J11" s="2621">
        <v>1.92</v>
      </c>
      <c r="K11" s="2621">
        <v>1.64</v>
      </c>
      <c r="L11" s="2632">
        <v>2.0099999999999998</v>
      </c>
      <c r="M11" s="2625"/>
      <c r="N11" s="2626">
        <f t="shared" ref="N11:N16" si="68">I11/100</f>
        <v>1.7000000000000001E-2</v>
      </c>
      <c r="O11" s="2627">
        <f t="shared" ref="O11" si="69">J11/100</f>
        <v>1.9199999999999998E-2</v>
      </c>
      <c r="P11" s="2627">
        <f t="shared" ref="P11" si="70">K11/100</f>
        <v>1.6399999999999998E-2</v>
      </c>
      <c r="Q11" s="2627">
        <f t="shared" ref="Q11" si="71">L11/100</f>
        <v>2.0099999999999996E-2</v>
      </c>
      <c r="R11" s="2628"/>
      <c r="S11" s="2634">
        <f>B11/B12-1</f>
        <v>1.6999999999999904E-2</v>
      </c>
      <c r="T11" s="2635">
        <f>C11/C12-1</f>
        <v>1.9200000000000106E-2</v>
      </c>
      <c r="U11" s="2635">
        <f>E11/E12-1</f>
        <v>1.639999999999997E-2</v>
      </c>
      <c r="V11" s="2635">
        <f>F11/F12-1</f>
        <v>2.0100000000000007E-2</v>
      </c>
      <c r="W11" s="2625"/>
      <c r="X11" s="2716">
        <f>ROUND(SUMPRODUCT(PRODUCT(1+N11:N$26)),4)</f>
        <v>1.4517</v>
      </c>
      <c r="Y11" s="2716">
        <f>ROUND(SUMPRODUCT(PRODUCT(1+O11:O$26)),4)</f>
        <v>1.2928999999999999</v>
      </c>
      <c r="Z11" s="2716">
        <f t="shared" ref="Z11" si="72">Y11</f>
        <v>1.2928999999999999</v>
      </c>
      <c r="AA11" s="2716">
        <f>ROUND(SUMPRODUCT(PRODUCT(1+P11:P$26)),4)</f>
        <v>1.5068999999999999</v>
      </c>
      <c r="AB11" s="2716">
        <f>ROUND(SUMPRODUCT(PRODUCT(1+Q11:Q$26)),4)</f>
        <v>1.2557</v>
      </c>
      <c r="AC11" s="2625"/>
      <c r="AD11" s="2636">
        <f>ROUND(AVERAGE(I11:I$27)/100,4)</f>
        <v>2.4E-2</v>
      </c>
      <c r="AE11" s="2636">
        <f>ROUND(AVERAGE(J11:J$27)/100,4)</f>
        <v>1.66E-2</v>
      </c>
      <c r="AF11" s="2636">
        <f t="shared" ref="AF11" si="73">AE11</f>
        <v>1.66E-2</v>
      </c>
      <c r="AG11" s="2636">
        <f>ROUND(AVERAGE(K11:K$27)/100,4)</f>
        <v>2.6499999999999999E-2</v>
      </c>
      <c r="AH11" s="2636">
        <f>ROUND(AVERAGE(L11:L$27)/100,4)</f>
        <v>1.43E-2</v>
      </c>
    </row>
    <row r="12" spans="1:34">
      <c r="A12" s="2618" t="s">
        <v>2963</v>
      </c>
      <c r="B12" s="3093">
        <v>439</v>
      </c>
      <c r="C12" s="3093">
        <v>327</v>
      </c>
      <c r="D12" s="3093">
        <f t="shared" si="65"/>
        <v>327</v>
      </c>
      <c r="E12" s="3093">
        <v>627</v>
      </c>
      <c r="F12" s="3094">
        <v>283</v>
      </c>
      <c r="G12" s="4088">
        <v>2017</v>
      </c>
      <c r="H12" s="2619">
        <v>4</v>
      </c>
      <c r="I12" s="2619">
        <v>1.71</v>
      </c>
      <c r="J12" s="2619">
        <v>1.78</v>
      </c>
      <c r="K12" s="2619">
        <v>1.71</v>
      </c>
      <c r="L12" s="2620">
        <v>1.43</v>
      </c>
      <c r="N12" s="2639">
        <f t="shared" si="68"/>
        <v>1.7100000000000001E-2</v>
      </c>
      <c r="O12" s="2640">
        <f t="shared" ref="O12" si="74">J12/100</f>
        <v>1.78E-2</v>
      </c>
      <c r="P12" s="2640">
        <f t="shared" ref="P12" si="75">K12/100</f>
        <v>1.7100000000000001E-2</v>
      </c>
      <c r="Q12" s="2640">
        <f t="shared" ref="Q12" si="76">L12/100</f>
        <v>1.43E-2</v>
      </c>
      <c r="R12" s="2628"/>
      <c r="S12" s="2629"/>
      <c r="T12" s="2630"/>
      <c r="U12" s="2630"/>
      <c r="V12" s="2630"/>
      <c r="X12" s="2716">
        <f>ROUND(SUMPRODUCT(PRODUCT(1+N12:N$26)),4)</f>
        <v>1.4274</v>
      </c>
      <c r="Y12" s="2716">
        <f>ROUND(SUMPRODUCT(PRODUCT(1+O12:O$26)),4)</f>
        <v>1.2685</v>
      </c>
      <c r="Z12" s="2716">
        <f t="shared" si="0"/>
        <v>1.2685</v>
      </c>
      <c r="AA12" s="2716">
        <f>ROUND(SUMPRODUCT(PRODUCT(1+P12:P$26)),4)</f>
        <v>1.4825999999999999</v>
      </c>
      <c r="AB12" s="2716">
        <f>ROUND(SUMPRODUCT(PRODUCT(1+Q12:Q$26)),4)</f>
        <v>1.2309000000000001</v>
      </c>
      <c r="AD12" s="2636">
        <f>ROUND(AVERAGE(I12:I$27)/100,4)</f>
        <v>2.4500000000000001E-2</v>
      </c>
      <c r="AE12" s="2636">
        <f>ROUND(AVERAGE(J12:J$27)/100,4)</f>
        <v>1.6500000000000001E-2</v>
      </c>
      <c r="AF12" s="2636">
        <f t="shared" si="1"/>
        <v>1.6500000000000001E-2</v>
      </c>
      <c r="AG12" s="2636">
        <f>ROUND(AVERAGE(K12:K$27)/100,4)</f>
        <v>2.7099999999999999E-2</v>
      </c>
      <c r="AH12" s="2636">
        <f>ROUND(AVERAGE(L12:L$27)/100,4)</f>
        <v>1.3899999999999999E-2</v>
      </c>
    </row>
    <row r="13" spans="1:34" s="2723" customFormat="1" ht="14.45" customHeight="1">
      <c r="A13" s="2618" t="s">
        <v>2967</v>
      </c>
      <c r="B13" s="2631">
        <f t="shared" ref="B13:C15" si="77">B14*(1+N13)</f>
        <v>431.80730811680002</v>
      </c>
      <c r="C13" s="2631">
        <f t="shared" si="77"/>
        <v>320.57880516480003</v>
      </c>
      <c r="D13" s="2631">
        <f t="shared" si="65"/>
        <v>320.57880516480003</v>
      </c>
      <c r="E13" s="2631">
        <f t="shared" ref="E13:F15" si="78">E14*(1+P13)</f>
        <v>615.96110553196797</v>
      </c>
      <c r="F13" s="2631">
        <f t="shared" si="78"/>
        <v>279.46777300108801</v>
      </c>
      <c r="G13" s="4083"/>
      <c r="H13" s="2621">
        <v>3</v>
      </c>
      <c r="I13" s="2621">
        <v>2.98</v>
      </c>
      <c r="J13" s="2621">
        <v>2.11</v>
      </c>
      <c r="K13" s="2621">
        <v>3.24</v>
      </c>
      <c r="L13" s="2632">
        <v>1.72</v>
      </c>
      <c r="M13" s="2625"/>
      <c r="N13" s="2626">
        <f t="shared" si="68"/>
        <v>2.98E-2</v>
      </c>
      <c r="O13" s="2644">
        <f t="shared" ref="O13:O14" si="79">J13/100</f>
        <v>2.1099999999999997E-2</v>
      </c>
      <c r="P13" s="2644">
        <f t="shared" ref="P13:P14" si="80">K13/100</f>
        <v>3.2400000000000005E-2</v>
      </c>
      <c r="Q13" s="2644">
        <f t="shared" ref="Q13:Q14" si="81">L13/100</f>
        <v>1.72E-2</v>
      </c>
      <c r="R13" s="2628"/>
      <c r="S13" s="2626"/>
      <c r="T13" s="2627"/>
      <c r="U13" s="2627"/>
      <c r="V13" s="2627"/>
      <c r="W13" s="2625"/>
      <c r="X13" s="2716">
        <f>ROUND(SUMPRODUCT(PRODUCT(1+N13:N$26)),4)</f>
        <v>1.4034</v>
      </c>
      <c r="Y13" s="2716">
        <f>ROUND(SUMPRODUCT(PRODUCT(1+O13:O$26)),4)</f>
        <v>1.2463</v>
      </c>
      <c r="Z13" s="2716">
        <f t="shared" si="0"/>
        <v>1.2463</v>
      </c>
      <c r="AA13" s="2716">
        <f>ROUND(SUMPRODUCT(PRODUCT(1+P13:P$26)),4)</f>
        <v>1.4577</v>
      </c>
      <c r="AB13" s="2716">
        <f>ROUND(SUMPRODUCT(PRODUCT(1+Q13:Q$26)),4)</f>
        <v>1.2136</v>
      </c>
      <c r="AC13" s="2625"/>
      <c r="AD13" s="2636">
        <f>ROUND(AVERAGE(I13:I$27)/100,4)</f>
        <v>2.4899999999999999E-2</v>
      </c>
      <c r="AE13" s="2636">
        <f>ROUND(AVERAGE(J13:J$27)/100,4)</f>
        <v>1.6400000000000001E-2</v>
      </c>
      <c r="AF13" s="2636">
        <f t="shared" si="1"/>
        <v>1.6400000000000001E-2</v>
      </c>
      <c r="AG13" s="2636">
        <f>ROUND(AVERAGE(K13:K$27)/100,4)</f>
        <v>2.7799999999999998E-2</v>
      </c>
      <c r="AH13" s="2636">
        <f>ROUND(AVERAGE(L13:L$27)/100,4)</f>
        <v>1.3899999999999999E-2</v>
      </c>
    </row>
    <row r="14" spans="1:34" s="2616" customFormat="1" ht="14.45" customHeight="1">
      <c r="A14" s="2618" t="s">
        <v>2580</v>
      </c>
      <c r="B14" s="2631">
        <f t="shared" si="77"/>
        <v>419.31181600000002</v>
      </c>
      <c r="C14" s="2631">
        <f t="shared" si="77"/>
        <v>313.95436800000004</v>
      </c>
      <c r="D14" s="2631">
        <f t="shared" si="65"/>
        <v>313.95436800000004</v>
      </c>
      <c r="E14" s="2631">
        <f t="shared" si="78"/>
        <v>596.63028431999999</v>
      </c>
      <c r="F14" s="2631">
        <f t="shared" si="78"/>
        <v>274.74220703999998</v>
      </c>
      <c r="G14" s="4083"/>
      <c r="H14" s="2622">
        <v>2</v>
      </c>
      <c r="I14" s="2622">
        <v>3.4</v>
      </c>
      <c r="J14" s="2622">
        <v>2</v>
      </c>
      <c r="K14" s="2622">
        <v>3.82</v>
      </c>
      <c r="L14" s="2633">
        <v>1.68</v>
      </c>
      <c r="N14" s="2626">
        <f t="shared" si="68"/>
        <v>3.4000000000000002E-2</v>
      </c>
      <c r="O14" s="2644">
        <f t="shared" si="79"/>
        <v>0.02</v>
      </c>
      <c r="P14" s="2644">
        <f t="shared" si="80"/>
        <v>3.8199999999999998E-2</v>
      </c>
      <c r="Q14" s="2644">
        <f t="shared" si="81"/>
        <v>1.6799999999999999E-2</v>
      </c>
      <c r="R14" s="2617"/>
      <c r="S14" s="2626"/>
      <c r="T14" s="2627"/>
      <c r="U14" s="2627"/>
      <c r="V14" s="2627"/>
      <c r="X14" s="2716">
        <f>ROUND(SUMPRODUCT(PRODUCT(1+N14:N$26)),4)</f>
        <v>1.3628</v>
      </c>
      <c r="Y14" s="2716">
        <f>ROUND(SUMPRODUCT(PRODUCT(1+O14:O$26)),4)</f>
        <v>1.2205999999999999</v>
      </c>
      <c r="Z14" s="2716">
        <f t="shared" si="0"/>
        <v>1.2205999999999999</v>
      </c>
      <c r="AA14" s="2716">
        <f>ROUND(SUMPRODUCT(PRODUCT(1+P14:P$26)),4)</f>
        <v>1.4118999999999999</v>
      </c>
      <c r="AB14" s="2716">
        <f>ROUND(SUMPRODUCT(PRODUCT(1+Q14:Q$26)),4)</f>
        <v>1.1930000000000001</v>
      </c>
      <c r="AD14" s="2636">
        <f>ROUND(AVERAGE(I14:I$27)/100,4)</f>
        <v>2.46E-2</v>
      </c>
      <c r="AE14" s="2636">
        <f>ROUND(AVERAGE(J14:J$27)/100,4)</f>
        <v>1.6E-2</v>
      </c>
      <c r="AF14" s="2636">
        <f t="shared" si="1"/>
        <v>1.6E-2</v>
      </c>
      <c r="AG14" s="2636">
        <f>ROUND(AVERAGE(K14:K$27)/100,4)</f>
        <v>2.75E-2</v>
      </c>
      <c r="AH14" s="2636">
        <f>ROUND(AVERAGE(L14:L$27)/100,4)</f>
        <v>1.37E-2</v>
      </c>
    </row>
    <row r="15" spans="1:34" s="2723" customFormat="1" ht="15" customHeight="1" thickBot="1">
      <c r="A15" s="2618" t="s">
        <v>2581</v>
      </c>
      <c r="B15" s="2631">
        <f t="shared" si="77"/>
        <v>405.524</v>
      </c>
      <c r="C15" s="2631">
        <f t="shared" si="77"/>
        <v>307.79840000000002</v>
      </c>
      <c r="D15" s="2631">
        <f t="shared" si="65"/>
        <v>307.79840000000002</v>
      </c>
      <c r="E15" s="2631">
        <f t="shared" si="78"/>
        <v>574.67759999999998</v>
      </c>
      <c r="F15" s="2631">
        <f t="shared" si="78"/>
        <v>270.20280000000002</v>
      </c>
      <c r="G15" s="4089"/>
      <c r="H15" s="2621">
        <v>1</v>
      </c>
      <c r="I15" s="2621">
        <v>3.45</v>
      </c>
      <c r="J15" s="2621">
        <v>1.92</v>
      </c>
      <c r="K15" s="2621">
        <v>3.92</v>
      </c>
      <c r="L15" s="2632">
        <v>1.58</v>
      </c>
      <c r="M15" s="2625"/>
      <c r="N15" s="2634">
        <f t="shared" si="68"/>
        <v>3.4500000000000003E-2</v>
      </c>
      <c r="O15" s="2635">
        <f t="shared" ref="O15" si="82">J15/100</f>
        <v>1.9199999999999998E-2</v>
      </c>
      <c r="P15" s="2635">
        <f t="shared" ref="P15" si="83">K15/100</f>
        <v>3.9199999999999999E-2</v>
      </c>
      <c r="Q15" s="2635">
        <f t="shared" ref="Q15" si="84">L15/100</f>
        <v>1.5800000000000002E-2</v>
      </c>
      <c r="R15" s="2628"/>
      <c r="S15" s="2634">
        <f>B15/B16-1</f>
        <v>3.4499999999999975E-2</v>
      </c>
      <c r="T15" s="2635">
        <f>C15/C16-1</f>
        <v>1.9200000000000106E-2</v>
      </c>
      <c r="U15" s="2635">
        <f>E15/E16-1</f>
        <v>3.9199999999999902E-2</v>
      </c>
      <c r="V15" s="2635">
        <f>F15/F16-1</f>
        <v>1.5800000000000036E-2</v>
      </c>
      <c r="W15" s="2625"/>
      <c r="X15" s="2716">
        <f>ROUND(SUMPRODUCT(PRODUCT(1+N15:N$26)),4)</f>
        <v>1.3180000000000001</v>
      </c>
      <c r="Y15" s="2716">
        <f>ROUND(SUMPRODUCT(PRODUCT(1+O15:O$26)),4)</f>
        <v>1.1966000000000001</v>
      </c>
      <c r="Z15" s="2716">
        <f t="shared" si="0"/>
        <v>1.1966000000000001</v>
      </c>
      <c r="AA15" s="2716">
        <f>ROUND(SUMPRODUCT(PRODUCT(1+P15:P$26)),4)</f>
        <v>1.36</v>
      </c>
      <c r="AB15" s="2716">
        <f>ROUND(SUMPRODUCT(PRODUCT(1+Q15:Q$26)),4)</f>
        <v>1.1733</v>
      </c>
      <c r="AC15" s="2625"/>
      <c r="AD15" s="2636">
        <f>ROUND(AVERAGE(I15:I$27)/100,4)</f>
        <v>2.3900000000000001E-2</v>
      </c>
      <c r="AE15" s="2636">
        <f>ROUND(AVERAGE(J15:J$27)/100,4)</f>
        <v>1.5699999999999999E-2</v>
      </c>
      <c r="AF15" s="2636">
        <f t="shared" si="1"/>
        <v>1.5699999999999999E-2</v>
      </c>
      <c r="AG15" s="2636">
        <f>ROUND(AVERAGE(K15:K$27)/100,4)</f>
        <v>2.6599999999999999E-2</v>
      </c>
      <c r="AH15" s="2636">
        <f>ROUND(AVERAGE(L15:L$27)/100,4)</f>
        <v>1.34E-2</v>
      </c>
    </row>
    <row r="16" spans="1:34">
      <c r="A16" s="2618" t="s">
        <v>970</v>
      </c>
      <c r="B16" s="2623">
        <v>392</v>
      </c>
      <c r="C16" s="2623">
        <v>302</v>
      </c>
      <c r="D16" s="2623">
        <f t="shared" si="65"/>
        <v>302</v>
      </c>
      <c r="E16" s="2623">
        <v>553</v>
      </c>
      <c r="F16" s="2624">
        <v>266</v>
      </c>
      <c r="G16" s="4088">
        <v>2016</v>
      </c>
      <c r="H16" s="2619">
        <v>4</v>
      </c>
      <c r="I16" s="2619">
        <v>4.5599999999999996</v>
      </c>
      <c r="J16" s="2619">
        <v>2.15</v>
      </c>
      <c r="K16" s="2619">
        <v>5.32</v>
      </c>
      <c r="L16" s="2620">
        <v>1.57</v>
      </c>
      <c r="N16" s="2626">
        <f t="shared" si="68"/>
        <v>4.5599999999999995E-2</v>
      </c>
      <c r="O16" s="2627">
        <f t="shared" ref="O16:Q31" si="85">J16/100</f>
        <v>2.1499999999999998E-2</v>
      </c>
      <c r="P16" s="2627">
        <f t="shared" si="85"/>
        <v>5.3200000000000004E-2</v>
      </c>
      <c r="Q16" s="2627">
        <f t="shared" si="85"/>
        <v>1.5700000000000002E-2</v>
      </c>
      <c r="R16" s="2628"/>
      <c r="S16" s="2629"/>
      <c r="T16" s="2630"/>
      <c r="U16" s="2630"/>
      <c r="V16" s="2630"/>
      <c r="X16" s="2716">
        <f>ROUND(SUMPRODUCT(PRODUCT(1+N16:N$26)),4)</f>
        <v>1.274</v>
      </c>
      <c r="Y16" s="2716">
        <f>ROUND(SUMPRODUCT(PRODUCT(1+O16:O$26)),4)</f>
        <v>1.1740999999999999</v>
      </c>
      <c r="Z16" s="2716">
        <f t="shared" si="0"/>
        <v>1.1740999999999999</v>
      </c>
      <c r="AA16" s="2716">
        <f>ROUND(SUMPRODUCT(PRODUCT(1+P16:P$26)),4)</f>
        <v>1.3087</v>
      </c>
      <c r="AB16" s="2716">
        <f>ROUND(SUMPRODUCT(PRODUCT(1+Q16:Q$26)),4)</f>
        <v>1.1551</v>
      </c>
      <c r="AD16" s="2636">
        <f>ROUND(AVERAGE(I16:I$27)/100,4)</f>
        <v>2.3E-2</v>
      </c>
      <c r="AE16" s="2636">
        <f>ROUND(AVERAGE(J16:J$27)/100,4)</f>
        <v>1.55E-2</v>
      </c>
      <c r="AF16" s="2636">
        <f t="shared" si="1"/>
        <v>1.55E-2</v>
      </c>
      <c r="AG16" s="2636">
        <f>ROUND(AVERAGE(K16:K$27)/100,4)</f>
        <v>2.5600000000000001E-2</v>
      </c>
      <c r="AH16" s="2636">
        <f>ROUND(AVERAGE(L16:L$27)/100,4)</f>
        <v>1.32E-2</v>
      </c>
    </row>
    <row r="17" spans="1:34">
      <c r="A17" s="2618" t="s">
        <v>969</v>
      </c>
      <c r="B17" s="2631">
        <f t="shared" ref="B17:C19" si="86">B16/(1+N16)</f>
        <v>374.90436113236416</v>
      </c>
      <c r="C17" s="2631">
        <f t="shared" si="86"/>
        <v>295.64366128242779</v>
      </c>
      <c r="D17" s="2631">
        <f t="shared" ref="D17:D76" si="87">C17</f>
        <v>295.64366128242779</v>
      </c>
      <c r="E17" s="2631">
        <f t="shared" ref="E17:F19" si="88">E16/(1+P16)</f>
        <v>525.06646410938095</v>
      </c>
      <c r="F17" s="2631">
        <f t="shared" si="88"/>
        <v>261.88835286009646</v>
      </c>
      <c r="G17" s="4083"/>
      <c r="H17" s="2621">
        <v>3</v>
      </c>
      <c r="I17" s="2621">
        <v>4.12</v>
      </c>
      <c r="J17" s="2621">
        <v>2</v>
      </c>
      <c r="K17" s="2621">
        <v>4.79</v>
      </c>
      <c r="L17" s="2632">
        <v>1.97</v>
      </c>
      <c r="N17" s="2626">
        <f t="shared" ref="N17:Q51" si="89">I17/100</f>
        <v>4.1200000000000001E-2</v>
      </c>
      <c r="O17" s="2627">
        <f t="shared" si="85"/>
        <v>0.02</v>
      </c>
      <c r="P17" s="2627">
        <f t="shared" si="85"/>
        <v>4.7899999999999998E-2</v>
      </c>
      <c r="Q17" s="2627">
        <f t="shared" si="85"/>
        <v>1.9699999999999999E-2</v>
      </c>
      <c r="R17" s="2628"/>
      <c r="S17" s="2626"/>
      <c r="T17" s="2627"/>
      <c r="U17" s="2627"/>
      <c r="V17" s="2627"/>
      <c r="X17" s="2716">
        <f>ROUND(SUMPRODUCT(PRODUCT(1+N17:N$26)),4)</f>
        <v>1.2184999999999999</v>
      </c>
      <c r="Y17" s="2716">
        <f>ROUND(SUMPRODUCT(PRODUCT(1+O17:O$26)),4)</f>
        <v>1.1494</v>
      </c>
      <c r="Z17" s="2716">
        <f t="shared" si="0"/>
        <v>1.1494</v>
      </c>
      <c r="AA17" s="2716">
        <f>ROUND(SUMPRODUCT(PRODUCT(1+P17:P$26)),4)</f>
        <v>1.2425999999999999</v>
      </c>
      <c r="AB17" s="2716">
        <f>ROUND(SUMPRODUCT(PRODUCT(1+Q17:Q$26)),4)</f>
        <v>1.1372</v>
      </c>
      <c r="AD17" s="2636">
        <f>ROUND(AVERAGE(I17:I$27)/100,4)</f>
        <v>2.0899999999999998E-2</v>
      </c>
      <c r="AE17" s="2636">
        <f>ROUND(AVERAGE(J17:J$27)/100,4)</f>
        <v>1.49E-2</v>
      </c>
      <c r="AF17" s="2636">
        <f t="shared" si="1"/>
        <v>1.49E-2</v>
      </c>
      <c r="AG17" s="2636">
        <f>ROUND(AVERAGE(K17:K$27)/100,4)</f>
        <v>2.3099999999999999E-2</v>
      </c>
      <c r="AH17" s="2636">
        <f>ROUND(AVERAGE(L17:L$27)/100,4)</f>
        <v>1.2999999999999999E-2</v>
      </c>
    </row>
    <row r="18" spans="1:34">
      <c r="A18" s="2618" t="s">
        <v>959</v>
      </c>
      <c r="B18" s="2631">
        <f t="shared" si="86"/>
        <v>360.06949782209392</v>
      </c>
      <c r="C18" s="2631">
        <f t="shared" si="86"/>
        <v>289.84672674747821</v>
      </c>
      <c r="D18" s="2631">
        <f t="shared" si="87"/>
        <v>289.84672674747821</v>
      </c>
      <c r="E18" s="2631">
        <f t="shared" si="88"/>
        <v>501.06543001181495</v>
      </c>
      <c r="F18" s="2631">
        <f t="shared" si="88"/>
        <v>256.82882500744967</v>
      </c>
      <c r="G18" s="4083"/>
      <c r="H18" s="2622">
        <v>2</v>
      </c>
      <c r="I18" s="2622">
        <v>3.85</v>
      </c>
      <c r="J18" s="2622">
        <v>1.95</v>
      </c>
      <c r="K18" s="2622">
        <v>4.4800000000000004</v>
      </c>
      <c r="L18" s="2633">
        <v>1.41</v>
      </c>
      <c r="N18" s="2626">
        <f t="shared" si="89"/>
        <v>3.85E-2</v>
      </c>
      <c r="O18" s="2627">
        <f t="shared" si="85"/>
        <v>1.95E-2</v>
      </c>
      <c r="P18" s="2627">
        <f t="shared" si="85"/>
        <v>4.4800000000000006E-2</v>
      </c>
      <c r="Q18" s="2627">
        <f t="shared" si="85"/>
        <v>1.41E-2</v>
      </c>
      <c r="R18" s="2628"/>
      <c r="S18" s="2626"/>
      <c r="T18" s="2627"/>
      <c r="U18" s="2627"/>
      <c r="V18" s="2627"/>
      <c r="X18" s="2716">
        <f>ROUND(SUMPRODUCT(PRODUCT(1+N18:N$26)),4)</f>
        <v>1.1702999999999999</v>
      </c>
      <c r="Y18" s="2716">
        <f>ROUND(SUMPRODUCT(PRODUCT(1+O18:O$26)),4)</f>
        <v>1.1269</v>
      </c>
      <c r="Z18" s="2716">
        <f t="shared" si="0"/>
        <v>1.1269</v>
      </c>
      <c r="AA18" s="2716">
        <f>ROUND(SUMPRODUCT(PRODUCT(1+P18:P$26)),4)</f>
        <v>1.1858</v>
      </c>
      <c r="AB18" s="2716">
        <f>ROUND(SUMPRODUCT(PRODUCT(1+Q18:Q$26)),4)</f>
        <v>1.1152</v>
      </c>
      <c r="AD18" s="2636">
        <f>ROUND(AVERAGE(I18:I$27)/100,4)</f>
        <v>1.89E-2</v>
      </c>
      <c r="AE18" s="2636">
        <f>ROUND(AVERAGE(J18:J$27)/100,4)</f>
        <v>1.44E-2</v>
      </c>
      <c r="AF18" s="2636">
        <f t="shared" si="1"/>
        <v>1.44E-2</v>
      </c>
      <c r="AG18" s="2636">
        <f>ROUND(AVERAGE(K18:K$27)/100,4)</f>
        <v>2.06E-2</v>
      </c>
      <c r="AH18" s="2636">
        <f>ROUND(AVERAGE(L18:L$27)/100,4)</f>
        <v>1.23E-2</v>
      </c>
    </row>
    <row r="19" spans="1:34" ht="13.5" thickBot="1">
      <c r="A19" s="2618" t="s">
        <v>968</v>
      </c>
      <c r="B19" s="2631">
        <f t="shared" si="86"/>
        <v>346.720748986128</v>
      </c>
      <c r="C19" s="2631">
        <f t="shared" si="86"/>
        <v>284.30282172386285</v>
      </c>
      <c r="D19" s="2631">
        <f t="shared" si="87"/>
        <v>284.30282172386285</v>
      </c>
      <c r="E19" s="2631">
        <f t="shared" si="88"/>
        <v>479.58023546306947</v>
      </c>
      <c r="F19" s="2631">
        <f t="shared" si="88"/>
        <v>253.25788877571213</v>
      </c>
      <c r="G19" s="4084"/>
      <c r="H19" s="2621">
        <v>1</v>
      </c>
      <c r="I19" s="2621">
        <v>4.09</v>
      </c>
      <c r="J19" s="2621">
        <v>2.93</v>
      </c>
      <c r="K19" s="2621">
        <v>4.54</v>
      </c>
      <c r="L19" s="2632">
        <v>1.48</v>
      </c>
      <c r="N19" s="2626">
        <f t="shared" si="89"/>
        <v>4.0899999999999999E-2</v>
      </c>
      <c r="O19" s="2627">
        <f t="shared" si="85"/>
        <v>2.9300000000000003E-2</v>
      </c>
      <c r="P19" s="2627">
        <f t="shared" si="85"/>
        <v>4.5400000000000003E-2</v>
      </c>
      <c r="Q19" s="2627">
        <f t="shared" si="85"/>
        <v>1.4800000000000001E-2</v>
      </c>
      <c r="R19" s="2628"/>
      <c r="S19" s="2634">
        <f>B19/B20-1</f>
        <v>4.1203450408792808E-2</v>
      </c>
      <c r="T19" s="2635">
        <f>C19/C20-1</f>
        <v>2.6363977342465095E-2</v>
      </c>
      <c r="U19" s="2635">
        <f>E19/E20-1</f>
        <v>4.4837114298626357E-2</v>
      </c>
      <c r="V19" s="2635">
        <f>F19/F20-1</f>
        <v>1.7099954922538574E-2</v>
      </c>
      <c r="X19" s="2716">
        <f>ROUND(SUMPRODUCT(PRODUCT(1+N19:N$26)),4)</f>
        <v>1.1269</v>
      </c>
      <c r="Y19" s="2716">
        <f>ROUND(SUMPRODUCT(PRODUCT(1+O19:O$26)),4)</f>
        <v>1.1052999999999999</v>
      </c>
      <c r="Z19" s="2716">
        <f t="shared" si="0"/>
        <v>1.1052999999999999</v>
      </c>
      <c r="AA19" s="2716">
        <f>ROUND(SUMPRODUCT(PRODUCT(1+P19:P$26)),4)</f>
        <v>1.1349</v>
      </c>
      <c r="AB19" s="2716">
        <f>ROUND(SUMPRODUCT(PRODUCT(1+Q19:Q$26)),4)</f>
        <v>1.0996999999999999</v>
      </c>
      <c r="AD19" s="2636">
        <f>ROUND(AVERAGE(I19:I$27)/100,4)</f>
        <v>1.67E-2</v>
      </c>
      <c r="AE19" s="2636">
        <f>ROUND(AVERAGE(J19:J$27)/100,4)</f>
        <v>1.38E-2</v>
      </c>
      <c r="AF19" s="2636">
        <f t="shared" si="1"/>
        <v>1.38E-2</v>
      </c>
      <c r="AG19" s="2636">
        <f>ROUND(AVERAGE(K19:K$27)/100,4)</f>
        <v>1.7899999999999999E-2</v>
      </c>
      <c r="AH19" s="2636">
        <f>ROUND(AVERAGE(L19:L$27)/100,4)</f>
        <v>1.21E-2</v>
      </c>
    </row>
    <row r="20" spans="1:34" ht="13.5" thickBot="1">
      <c r="A20" s="2618" t="s">
        <v>967</v>
      </c>
      <c r="B20" s="2623">
        <v>333</v>
      </c>
      <c r="C20" s="2623">
        <v>277</v>
      </c>
      <c r="D20" s="2623">
        <f t="shared" si="87"/>
        <v>277</v>
      </c>
      <c r="E20" s="2623">
        <v>459</v>
      </c>
      <c r="F20" s="2624">
        <v>249</v>
      </c>
      <c r="G20" s="4082">
        <v>2015</v>
      </c>
      <c r="H20" s="2637">
        <v>4</v>
      </c>
      <c r="I20" s="2637">
        <v>1.63</v>
      </c>
      <c r="J20" s="2637">
        <v>1.1100000000000001</v>
      </c>
      <c r="K20" s="2637">
        <v>1.77</v>
      </c>
      <c r="L20" s="2638">
        <v>1.89</v>
      </c>
      <c r="N20" s="2639">
        <f t="shared" si="89"/>
        <v>1.6299999999999999E-2</v>
      </c>
      <c r="O20" s="2640">
        <f t="shared" si="85"/>
        <v>1.11E-2</v>
      </c>
      <c r="P20" s="2640">
        <f t="shared" si="85"/>
        <v>1.77E-2</v>
      </c>
      <c r="Q20" s="2640">
        <f t="shared" si="85"/>
        <v>1.89E-2</v>
      </c>
      <c r="R20" s="2628"/>
      <c r="X20" s="2716">
        <f>ROUND(SUMPRODUCT(PRODUCT(1+N20:N$26)),4)</f>
        <v>1.0826</v>
      </c>
      <c r="Y20" s="2716">
        <f>ROUND(SUMPRODUCT(PRODUCT(1+O20:O$26)),4)</f>
        <v>1.0738000000000001</v>
      </c>
      <c r="Z20" s="2716">
        <f t="shared" si="0"/>
        <v>1.0738000000000001</v>
      </c>
      <c r="AA20" s="2716">
        <f>ROUND(SUMPRODUCT(PRODUCT(1+P20:P$26)),4)</f>
        <v>1.0855999999999999</v>
      </c>
      <c r="AB20" s="2716">
        <f>ROUND(SUMPRODUCT(PRODUCT(1+Q20:Q$26)),4)</f>
        <v>1.0837000000000001</v>
      </c>
      <c r="AD20" s="2636">
        <f>ROUND(AVERAGE(I20:I$27)/100,4)</f>
        <v>1.37E-2</v>
      </c>
      <c r="AE20" s="2636">
        <f>ROUND(AVERAGE(J20:J$27)/100,4)</f>
        <v>1.1900000000000001E-2</v>
      </c>
      <c r="AF20" s="2636">
        <f t="shared" si="1"/>
        <v>1.1900000000000001E-2</v>
      </c>
      <c r="AG20" s="2636">
        <f>ROUND(AVERAGE(K20:K$27)/100,4)</f>
        <v>1.4500000000000001E-2</v>
      </c>
      <c r="AH20" s="2636">
        <f>ROUND(AVERAGE(L20:L$27)/100,4)</f>
        <v>1.18E-2</v>
      </c>
    </row>
    <row r="21" spans="1:34">
      <c r="A21" s="2618" t="s">
        <v>966</v>
      </c>
      <c r="B21" s="2631">
        <f t="shared" ref="B21:C23" si="90">B20/(1+N20)</f>
        <v>327.65915576109415</v>
      </c>
      <c r="C21" s="2631">
        <f t="shared" si="90"/>
        <v>273.95905449510434</v>
      </c>
      <c r="D21" s="2631">
        <f t="shared" si="87"/>
        <v>273.95905449510434</v>
      </c>
      <c r="E21" s="2631">
        <f t="shared" ref="E21:F23" si="91">E20/(1+P20)</f>
        <v>451.01699911565294</v>
      </c>
      <c r="F21" s="2631">
        <f t="shared" si="91"/>
        <v>244.38119540681129</v>
      </c>
      <c r="G21" s="4083"/>
      <c r="H21" s="2642">
        <v>3</v>
      </c>
      <c r="I21" s="2642">
        <v>1.65</v>
      </c>
      <c r="J21" s="2642">
        <v>0.92</v>
      </c>
      <c r="K21" s="2642">
        <v>1.88</v>
      </c>
      <c r="L21" s="2643">
        <v>1.26</v>
      </c>
      <c r="N21" s="2626">
        <f t="shared" si="89"/>
        <v>1.6500000000000001E-2</v>
      </c>
      <c r="O21" s="2644">
        <f t="shared" si="85"/>
        <v>9.1999999999999998E-3</v>
      </c>
      <c r="P21" s="2644">
        <f t="shared" si="85"/>
        <v>1.8799999999999997E-2</v>
      </c>
      <c r="Q21" s="2644">
        <f t="shared" si="85"/>
        <v>1.26E-2</v>
      </c>
      <c r="R21" s="2628"/>
      <c r="S21" s="2626"/>
      <c r="T21" s="2627"/>
      <c r="U21" s="2627"/>
      <c r="V21" s="2627"/>
      <c r="X21" s="2716">
        <f>ROUND(SUMPRODUCT(PRODUCT(1+N21:N$26)),4)</f>
        <v>1.0651999999999999</v>
      </c>
      <c r="Y21" s="2716">
        <f>ROUND(SUMPRODUCT(PRODUCT(1+O21:O$26)),4)</f>
        <v>1.0621</v>
      </c>
      <c r="Z21" s="2716">
        <f t="shared" si="0"/>
        <v>1.0621</v>
      </c>
      <c r="AA21" s="2716">
        <f>ROUND(SUMPRODUCT(PRODUCT(1+P21:P$26)),4)</f>
        <v>1.0668</v>
      </c>
      <c r="AB21" s="2716">
        <f>ROUND(SUMPRODUCT(PRODUCT(1+Q21:Q$26)),4)</f>
        <v>1.0636000000000001</v>
      </c>
      <c r="AD21" s="2636">
        <f>ROUND(AVERAGE(I21:I$27)/100,4)</f>
        <v>1.3299999999999999E-2</v>
      </c>
      <c r="AE21" s="2636">
        <f>ROUND(AVERAGE(J21:J$27)/100,4)</f>
        <v>1.2E-2</v>
      </c>
      <c r="AF21" s="2636">
        <f t="shared" si="1"/>
        <v>1.2E-2</v>
      </c>
      <c r="AG21" s="2636">
        <f>ROUND(AVERAGE(K21:K$27)/100,4)</f>
        <v>1.4E-2</v>
      </c>
      <c r="AH21" s="2636">
        <f>ROUND(AVERAGE(L21:L$27)/100,4)</f>
        <v>1.0800000000000001E-2</v>
      </c>
    </row>
    <row r="22" spans="1:34">
      <c r="A22" s="2618" t="s">
        <v>965</v>
      </c>
      <c r="B22" s="2631">
        <f t="shared" si="90"/>
        <v>322.34053690220776</v>
      </c>
      <c r="C22" s="2631">
        <f t="shared" si="90"/>
        <v>271.46160770422546</v>
      </c>
      <c r="D22" s="2631">
        <f t="shared" si="87"/>
        <v>271.46160770422546</v>
      </c>
      <c r="E22" s="2631">
        <f t="shared" si="91"/>
        <v>442.69434542172456</v>
      </c>
      <c r="F22" s="2631">
        <f t="shared" si="91"/>
        <v>241.34030753190925</v>
      </c>
      <c r="G22" s="4083"/>
      <c r="H22" s="2622">
        <v>2</v>
      </c>
      <c r="I22" s="2622">
        <v>0.77</v>
      </c>
      <c r="J22" s="2622">
        <v>0.69</v>
      </c>
      <c r="K22" s="2622">
        <v>0.8</v>
      </c>
      <c r="L22" s="2633">
        <v>0.88</v>
      </c>
      <c r="N22" s="2626">
        <f t="shared" si="89"/>
        <v>7.7000000000000002E-3</v>
      </c>
      <c r="O22" s="2644">
        <f t="shared" si="85"/>
        <v>6.8999999999999999E-3</v>
      </c>
      <c r="P22" s="2644">
        <f t="shared" si="85"/>
        <v>8.0000000000000002E-3</v>
      </c>
      <c r="Q22" s="2644">
        <f t="shared" si="85"/>
        <v>8.8000000000000005E-3</v>
      </c>
      <c r="R22" s="2628"/>
      <c r="S22" s="2626"/>
      <c r="T22" s="2627"/>
      <c r="U22" s="2627"/>
      <c r="V22" s="2627"/>
      <c r="X22" s="2716">
        <f>ROUND(SUMPRODUCT(PRODUCT(1+N22:N$26)),4)</f>
        <v>1.048</v>
      </c>
      <c r="Y22" s="2716">
        <f>ROUND(SUMPRODUCT(PRODUCT(1+O22:O$26)),4)</f>
        <v>1.0524</v>
      </c>
      <c r="Z22" s="2716">
        <f t="shared" si="0"/>
        <v>1.0524</v>
      </c>
      <c r="AA22" s="2716">
        <f>ROUND(SUMPRODUCT(PRODUCT(1+P22:P$26)),4)</f>
        <v>1.0470999999999999</v>
      </c>
      <c r="AB22" s="2716">
        <f>ROUND(SUMPRODUCT(PRODUCT(1+Q22:Q$26)),4)</f>
        <v>1.0504</v>
      </c>
      <c r="AD22" s="2636">
        <f>ROUND(AVERAGE(I22:I$27)/100,4)</f>
        <v>1.2800000000000001E-2</v>
      </c>
      <c r="AE22" s="2636">
        <f>ROUND(AVERAGE(J22:J$27)/100,4)</f>
        <v>1.2500000000000001E-2</v>
      </c>
      <c r="AF22" s="2636">
        <f t="shared" si="1"/>
        <v>1.2500000000000001E-2</v>
      </c>
      <c r="AG22" s="2636">
        <f>ROUND(AVERAGE(K22:K$27)/100,4)</f>
        <v>1.32E-2</v>
      </c>
      <c r="AH22" s="2636">
        <f>ROUND(AVERAGE(L22:L$27)/100,4)</f>
        <v>1.0500000000000001E-2</v>
      </c>
    </row>
    <row r="23" spans="1:34">
      <c r="A23" s="2618" t="s">
        <v>964</v>
      </c>
      <c r="B23" s="2631">
        <f t="shared" si="90"/>
        <v>319.87748030386797</v>
      </c>
      <c r="C23" s="2631">
        <f t="shared" si="90"/>
        <v>269.60135833173649</v>
      </c>
      <c r="D23" s="2631">
        <f t="shared" si="87"/>
        <v>269.60135833173649</v>
      </c>
      <c r="E23" s="2631">
        <f t="shared" si="91"/>
        <v>439.18089823583784</v>
      </c>
      <c r="F23" s="2631">
        <f t="shared" si="91"/>
        <v>239.23503918706311</v>
      </c>
      <c r="G23" s="4084"/>
      <c r="H23" s="2621">
        <v>1</v>
      </c>
      <c r="I23" s="2621">
        <v>0.51</v>
      </c>
      <c r="J23" s="2621">
        <v>0.54</v>
      </c>
      <c r="K23" s="2621">
        <v>0.48</v>
      </c>
      <c r="L23" s="2632">
        <v>0.93</v>
      </c>
      <c r="N23" s="2634">
        <f t="shared" si="89"/>
        <v>5.1000000000000004E-3</v>
      </c>
      <c r="O23" s="2635">
        <f t="shared" si="85"/>
        <v>5.4000000000000003E-3</v>
      </c>
      <c r="P23" s="2635">
        <f t="shared" si="85"/>
        <v>4.7999999999999996E-3</v>
      </c>
      <c r="Q23" s="2635">
        <f t="shared" si="85"/>
        <v>9.300000000000001E-3</v>
      </c>
      <c r="R23" s="2628"/>
      <c r="S23" s="2634">
        <f>B23/B24-1</f>
        <v>5.9040261127922822E-3</v>
      </c>
      <c r="T23" s="2635">
        <f>C23/C24-1</f>
        <v>5.9752176557332781E-3</v>
      </c>
      <c r="U23" s="2635">
        <f>E23/E24-1</f>
        <v>4.9906138119859556E-3</v>
      </c>
      <c r="V23" s="2635">
        <f>F23/F24-1</f>
        <v>9.4305450930933787E-3</v>
      </c>
      <c r="X23" s="2716">
        <f>ROUND(SUMPRODUCT(PRODUCT(1+N23:N$26)),4)</f>
        <v>1.0399</v>
      </c>
      <c r="Y23" s="2716">
        <f>ROUND(SUMPRODUCT(PRODUCT(1+O23:O$26)),4)</f>
        <v>1.0451999999999999</v>
      </c>
      <c r="Z23" s="2716">
        <f t="shared" si="0"/>
        <v>1.0451999999999999</v>
      </c>
      <c r="AA23" s="2716">
        <f>ROUND(SUMPRODUCT(PRODUCT(1+P23:P$26)),4)</f>
        <v>1.0387999999999999</v>
      </c>
      <c r="AB23" s="2716">
        <f>ROUND(SUMPRODUCT(PRODUCT(1+Q23:Q$26)),4)</f>
        <v>1.0411999999999999</v>
      </c>
      <c r="AD23" s="2636">
        <f>ROUND(AVERAGE(I23:I$27)/100,4)</f>
        <v>1.38E-2</v>
      </c>
      <c r="AE23" s="2636">
        <f>ROUND(AVERAGE(J23:J$27)/100,4)</f>
        <v>1.3599999999999999E-2</v>
      </c>
      <c r="AF23" s="2636">
        <f t="shared" si="1"/>
        <v>1.3599999999999999E-2</v>
      </c>
      <c r="AG23" s="2636">
        <f>ROUND(AVERAGE(K23:K$27)/100,4)</f>
        <v>1.4200000000000001E-2</v>
      </c>
      <c r="AH23" s="2636">
        <f>ROUND(AVERAGE(L23:L$27)/100,4)</f>
        <v>1.0800000000000001E-2</v>
      </c>
    </row>
    <row r="24" spans="1:34" ht="13.5" thickBot="1">
      <c r="A24" s="2618" t="s">
        <v>963</v>
      </c>
      <c r="B24" s="2645">
        <v>318</v>
      </c>
      <c r="C24" s="2645">
        <v>268</v>
      </c>
      <c r="D24" s="2645">
        <f t="shared" si="87"/>
        <v>268</v>
      </c>
      <c r="E24" s="2645">
        <v>437</v>
      </c>
      <c r="F24" s="2646">
        <v>237</v>
      </c>
      <c r="G24" s="4082">
        <v>2014</v>
      </c>
      <c r="H24" s="2637">
        <v>4</v>
      </c>
      <c r="I24" s="2637">
        <v>0.21</v>
      </c>
      <c r="J24" s="2637">
        <v>0.41</v>
      </c>
      <c r="K24" s="2637">
        <v>0.12</v>
      </c>
      <c r="L24" s="2638">
        <v>0.89</v>
      </c>
      <c r="N24" s="2626">
        <f t="shared" si="89"/>
        <v>2.0999999999999999E-3</v>
      </c>
      <c r="O24" s="2627">
        <f t="shared" si="85"/>
        <v>4.0999999999999995E-3</v>
      </c>
      <c r="P24" s="2627">
        <f t="shared" si="85"/>
        <v>1.1999999999999999E-3</v>
      </c>
      <c r="Q24" s="2627">
        <f t="shared" si="85"/>
        <v>8.8999999999999999E-3</v>
      </c>
      <c r="R24" s="2628"/>
      <c r="S24" s="2629"/>
      <c r="T24" s="2630"/>
      <c r="U24" s="2630"/>
      <c r="V24" s="2630"/>
      <c r="X24" s="2716">
        <f>ROUND(SUMPRODUCT(PRODUCT(1+N24:N$26)),4)</f>
        <v>1.0347</v>
      </c>
      <c r="Y24" s="2716">
        <f>ROUND(SUMPRODUCT(PRODUCT(1+O24:O$26)),4)</f>
        <v>1.0395000000000001</v>
      </c>
      <c r="Z24" s="2716">
        <f t="shared" si="0"/>
        <v>1.0395000000000001</v>
      </c>
      <c r="AA24" s="2716">
        <f>ROUND(SUMPRODUCT(PRODUCT(1+P24:P$26)),4)</f>
        <v>1.0338000000000001</v>
      </c>
      <c r="AB24" s="2716">
        <f>ROUND(SUMPRODUCT(PRODUCT(1+Q24:Q$26)),4)</f>
        <v>1.0316000000000001</v>
      </c>
      <c r="AD24" s="2636">
        <f>ROUND(AVERAGE(I24:I$27)/100,4)</f>
        <v>1.6E-2</v>
      </c>
      <c r="AE24" s="2636">
        <f>ROUND(AVERAGE(J24:J$27)/100,4)</f>
        <v>1.5599999999999999E-2</v>
      </c>
      <c r="AF24" s="2636">
        <f t="shared" si="1"/>
        <v>1.5599999999999999E-2</v>
      </c>
      <c r="AG24" s="2636">
        <f>ROUND(AVERAGE(K24:K$27)/100,4)</f>
        <v>1.66E-2</v>
      </c>
      <c r="AH24" s="2636">
        <f>ROUND(AVERAGE(L24:L$27)/100,4)</f>
        <v>1.12E-2</v>
      </c>
    </row>
    <row r="25" spans="1:34">
      <c r="A25" s="2618" t="s">
        <v>962</v>
      </c>
      <c r="B25" s="2631">
        <f t="shared" ref="B25:C27" si="92">B24/(1+N24)</f>
        <v>317.33359944117353</v>
      </c>
      <c r="C25" s="2631">
        <f t="shared" si="92"/>
        <v>266.90568668459315</v>
      </c>
      <c r="D25" s="2631">
        <f t="shared" si="87"/>
        <v>266.90568668459315</v>
      </c>
      <c r="E25" s="2631">
        <f t="shared" ref="E25:F27" si="93">E24/(1+P24)</f>
        <v>436.47622852576905</v>
      </c>
      <c r="F25" s="2631">
        <f t="shared" si="93"/>
        <v>234.90930716622066</v>
      </c>
      <c r="G25" s="4083"/>
      <c r="H25" s="2647">
        <v>3</v>
      </c>
      <c r="I25" s="2647">
        <v>0.83</v>
      </c>
      <c r="J25" s="2647">
        <v>1.47</v>
      </c>
      <c r="K25" s="2647">
        <v>0.65</v>
      </c>
      <c r="L25" s="2648">
        <v>0.72</v>
      </c>
      <c r="N25" s="2626">
        <f t="shared" si="89"/>
        <v>8.3000000000000001E-3</v>
      </c>
      <c r="O25" s="2627">
        <f t="shared" si="85"/>
        <v>1.47E-2</v>
      </c>
      <c r="P25" s="2627">
        <f t="shared" si="85"/>
        <v>6.5000000000000006E-3</v>
      </c>
      <c r="Q25" s="2627">
        <f t="shared" si="85"/>
        <v>7.1999999999999998E-3</v>
      </c>
      <c r="R25" s="2628"/>
      <c r="S25" s="2626"/>
      <c r="T25" s="2627"/>
      <c r="U25" s="2627"/>
      <c r="V25" s="2627"/>
      <c r="X25" s="2716">
        <f>ROUND(SUMPRODUCT(PRODUCT(1+N25:N$26)),4)</f>
        <v>1.0325</v>
      </c>
      <c r="Y25" s="2716">
        <f>ROUND(SUMPRODUCT(PRODUCT(1+O25:O$26)),4)</f>
        <v>1.0353000000000001</v>
      </c>
      <c r="Z25" s="2716">
        <f t="shared" ref="Z25:Z26" si="94">Y25</f>
        <v>1.0353000000000001</v>
      </c>
      <c r="AA25" s="2716">
        <f>ROUND(SUMPRODUCT(PRODUCT(1+P25:P$26)),4)</f>
        <v>1.0326</v>
      </c>
      <c r="AB25" s="2716">
        <f>ROUND(SUMPRODUCT(PRODUCT(1+Q25:Q$26)),4)</f>
        <v>1.0225</v>
      </c>
      <c r="AD25" s="2636">
        <f>ROUND(AVERAGE(I25:I$27)/100,4)</f>
        <v>2.07E-2</v>
      </c>
      <c r="AE25" s="2636">
        <f>ROUND(AVERAGE(J25:J$27)/100,4)</f>
        <v>1.95E-2</v>
      </c>
      <c r="AF25" s="2636">
        <f t="shared" si="1"/>
        <v>1.95E-2</v>
      </c>
      <c r="AG25" s="2636">
        <f>ROUND(AVERAGE(K25:K$27)/100,4)</f>
        <v>2.1700000000000001E-2</v>
      </c>
      <c r="AH25" s="2636">
        <f>ROUND(AVERAGE(L25:L$27)/100,4)</f>
        <v>1.2E-2</v>
      </c>
    </row>
    <row r="26" spans="1:34" ht="13.5" thickBot="1">
      <c r="A26" s="2618" t="s">
        <v>961</v>
      </c>
      <c r="B26" s="2631">
        <f t="shared" si="92"/>
        <v>314.72141172386546</v>
      </c>
      <c r="C26" s="2631">
        <f t="shared" si="92"/>
        <v>263.03901319069001</v>
      </c>
      <c r="D26" s="2631">
        <f t="shared" si="87"/>
        <v>263.03901319069001</v>
      </c>
      <c r="E26" s="2631">
        <f t="shared" si="93"/>
        <v>433.65745506782821</v>
      </c>
      <c r="F26" s="2631">
        <f t="shared" si="93"/>
        <v>233.23005080045735</v>
      </c>
      <c r="G26" s="4083"/>
      <c r="H26" s="2637">
        <v>2</v>
      </c>
      <c r="I26" s="2637">
        <v>2.4</v>
      </c>
      <c r="J26" s="2637">
        <v>2.0299999999999998</v>
      </c>
      <c r="K26" s="2637">
        <v>2.59</v>
      </c>
      <c r="L26" s="2638">
        <v>1.52</v>
      </c>
      <c r="N26" s="2626">
        <f t="shared" si="89"/>
        <v>2.4E-2</v>
      </c>
      <c r="O26" s="2627">
        <f t="shared" si="85"/>
        <v>2.0299999999999999E-2</v>
      </c>
      <c r="P26" s="2627">
        <f t="shared" si="85"/>
        <v>2.5899999999999999E-2</v>
      </c>
      <c r="Q26" s="2627">
        <f t="shared" si="85"/>
        <v>1.52E-2</v>
      </c>
      <c r="R26" s="2628"/>
      <c r="S26" s="2626"/>
      <c r="T26" s="2627"/>
      <c r="U26" s="2627"/>
      <c r="V26" s="2627"/>
      <c r="X26" s="2716">
        <f>1+N26</f>
        <v>1.024</v>
      </c>
      <c r="Y26" s="2716">
        <f>1+O26</f>
        <v>1.0203</v>
      </c>
      <c r="Z26" s="2716">
        <f t="shared" si="94"/>
        <v>1.0203</v>
      </c>
      <c r="AA26" s="2716">
        <f>1+P26</f>
        <v>1.0259</v>
      </c>
      <c r="AB26" s="2716">
        <f>1+Q26</f>
        <v>1.0152000000000001</v>
      </c>
      <c r="AD26" s="2636">
        <f>ROUND(AVERAGE(I26:I$27)/100,4)</f>
        <v>2.69E-2</v>
      </c>
      <c r="AE26" s="2636">
        <f>ROUND(AVERAGE(J26:J$27)/100,4)</f>
        <v>2.1899999999999999E-2</v>
      </c>
      <c r="AF26" s="2636">
        <f t="shared" ref="AF26" si="95">AE26</f>
        <v>2.1899999999999999E-2</v>
      </c>
      <c r="AG26" s="2636">
        <f>ROUND(AVERAGE(K26:K$27)/100,4)</f>
        <v>2.9399999999999999E-2</v>
      </c>
      <c r="AH26" s="2636">
        <f>ROUND(AVERAGE(L26:L$27)/100,4)</f>
        <v>1.44E-2</v>
      </c>
    </row>
    <row r="27" spans="1:34" s="2653" customFormat="1" ht="13.5" thickBot="1">
      <c r="A27" s="2649" t="s">
        <v>960</v>
      </c>
      <c r="B27" s="2650">
        <f t="shared" si="92"/>
        <v>307.34512863658733</v>
      </c>
      <c r="C27" s="2650">
        <f t="shared" si="92"/>
        <v>257.80556031626975</v>
      </c>
      <c r="D27" s="2650">
        <f t="shared" si="87"/>
        <v>257.80556031626975</v>
      </c>
      <c r="E27" s="2650">
        <f t="shared" si="93"/>
        <v>422.70928459677179</v>
      </c>
      <c r="F27" s="2650">
        <f t="shared" si="93"/>
        <v>229.73803270336617</v>
      </c>
      <c r="G27" s="4084"/>
      <c r="H27" s="2651">
        <v>1</v>
      </c>
      <c r="I27" s="2651">
        <v>2.97</v>
      </c>
      <c r="J27" s="2651">
        <v>2.34</v>
      </c>
      <c r="K27" s="2651">
        <v>3.28</v>
      </c>
      <c r="L27" s="2652">
        <v>1.36</v>
      </c>
      <c r="N27" s="2654">
        <f t="shared" si="89"/>
        <v>2.9700000000000001E-2</v>
      </c>
      <c r="O27" s="2655">
        <f t="shared" si="85"/>
        <v>2.3399999999999997E-2</v>
      </c>
      <c r="P27" s="2655">
        <f t="shared" si="85"/>
        <v>3.2799999999999996E-2</v>
      </c>
      <c r="Q27" s="2655">
        <f t="shared" si="85"/>
        <v>1.3600000000000001E-2</v>
      </c>
      <c r="R27" s="2656"/>
      <c r="S27" s="2657">
        <f>B27/B28-1</f>
        <v>2.7910129219355539E-2</v>
      </c>
      <c r="T27" s="2658">
        <f>C27/C28-1</f>
        <v>2.3037937762975247E-2</v>
      </c>
      <c r="U27" s="2658">
        <f>E27/E28-1</f>
        <v>3.3519033243940788E-2</v>
      </c>
      <c r="V27" s="2658">
        <f>F27/F28-1</f>
        <v>1.2061818076502862E-2</v>
      </c>
      <c r="W27" s="2725" t="s">
        <v>2639</v>
      </c>
      <c r="X27" s="2727">
        <v>1</v>
      </c>
      <c r="Y27" s="2727">
        <v>1</v>
      </c>
      <c r="Z27" s="2727">
        <v>1</v>
      </c>
      <c r="AA27" s="2727">
        <v>1</v>
      </c>
      <c r="AB27" s="2727">
        <v>1</v>
      </c>
      <c r="AD27" s="2959">
        <f>I27/100</f>
        <v>2.9700000000000001E-2</v>
      </c>
      <c r="AE27" s="2959">
        <f>J27/100</f>
        <v>2.3399999999999997E-2</v>
      </c>
      <c r="AF27" s="2959">
        <f>AE27</f>
        <v>2.3399999999999997E-2</v>
      </c>
      <c r="AG27" s="2959">
        <f>K27/100</f>
        <v>3.2799999999999996E-2</v>
      </c>
      <c r="AH27" s="2959">
        <f>L27/100</f>
        <v>1.3600000000000001E-2</v>
      </c>
    </row>
    <row r="28" spans="1:34" ht="13.5" thickBot="1">
      <c r="A28" s="2618" t="s">
        <v>2582</v>
      </c>
      <c r="B28" s="2623">
        <v>299</v>
      </c>
      <c r="C28" s="2623">
        <v>252</v>
      </c>
      <c r="D28" s="2623">
        <f t="shared" si="87"/>
        <v>252</v>
      </c>
      <c r="E28" s="2623">
        <v>409</v>
      </c>
      <c r="F28" s="2624">
        <v>227</v>
      </c>
      <c r="G28" s="4085">
        <v>2013</v>
      </c>
      <c r="H28" s="2659">
        <v>4</v>
      </c>
      <c r="I28" s="2659">
        <v>1.83</v>
      </c>
      <c r="J28" s="2659">
        <v>1.68</v>
      </c>
      <c r="K28" s="2659">
        <v>1.97</v>
      </c>
      <c r="L28" s="2660">
        <v>0.87</v>
      </c>
      <c r="N28" s="2639">
        <f t="shared" si="89"/>
        <v>1.83E-2</v>
      </c>
      <c r="O28" s="2640">
        <f t="shared" si="85"/>
        <v>1.6799999999999999E-2</v>
      </c>
      <c r="P28" s="2640">
        <f t="shared" si="85"/>
        <v>1.9699999999999999E-2</v>
      </c>
      <c r="Q28" s="2640">
        <f t="shared" si="85"/>
        <v>8.6999999999999994E-3</v>
      </c>
      <c r="R28" s="2628"/>
      <c r="S28" s="2629"/>
      <c r="T28" s="2630"/>
      <c r="U28" s="2630"/>
      <c r="V28" s="2630"/>
      <c r="X28" s="2630"/>
      <c r="Y28" s="2630"/>
      <c r="Z28" s="2630"/>
    </row>
    <row r="29" spans="1:34">
      <c r="A29" s="2618" t="s">
        <v>2583</v>
      </c>
      <c r="B29" s="2631">
        <f t="shared" ref="B29:C31" si="96">B28/(1+N28)</f>
        <v>293.62663262299913</v>
      </c>
      <c r="C29" s="2631">
        <f t="shared" si="96"/>
        <v>247.83634933123525</v>
      </c>
      <c r="D29" s="2631">
        <f t="shared" si="87"/>
        <v>247.83634933123525</v>
      </c>
      <c r="E29" s="2631">
        <f t="shared" ref="E29:F31" si="97">E28/(1+P28)</f>
        <v>401.09836226341076</v>
      </c>
      <c r="F29" s="2631">
        <f t="shared" si="97"/>
        <v>225.04213343908003</v>
      </c>
      <c r="G29" s="4086"/>
      <c r="H29" s="2642">
        <v>3</v>
      </c>
      <c r="I29" s="2642">
        <v>1.86</v>
      </c>
      <c r="J29" s="2642">
        <v>1.72</v>
      </c>
      <c r="K29" s="2642">
        <v>1.98</v>
      </c>
      <c r="L29" s="2643">
        <v>0.88</v>
      </c>
      <c r="N29" s="2626">
        <f t="shared" si="89"/>
        <v>1.8600000000000002E-2</v>
      </c>
      <c r="O29" s="2644">
        <f t="shared" si="85"/>
        <v>1.72E-2</v>
      </c>
      <c r="P29" s="2644">
        <f t="shared" si="85"/>
        <v>1.9799999999999998E-2</v>
      </c>
      <c r="Q29" s="2644">
        <f t="shared" si="85"/>
        <v>8.8000000000000005E-3</v>
      </c>
      <c r="R29" s="2628"/>
      <c r="S29" s="2626"/>
      <c r="T29" s="2627"/>
      <c r="U29" s="2627"/>
      <c r="V29" s="2627"/>
    </row>
    <row r="30" spans="1:34">
      <c r="A30" s="2618" t="s">
        <v>2584</v>
      </c>
      <c r="B30" s="2631">
        <f t="shared" si="96"/>
        <v>288.2649053828776</v>
      </c>
      <c r="C30" s="2631">
        <f t="shared" si="96"/>
        <v>243.64564425013293</v>
      </c>
      <c r="D30" s="2631">
        <f t="shared" si="87"/>
        <v>243.64564425013293</v>
      </c>
      <c r="E30" s="2631">
        <f t="shared" si="97"/>
        <v>393.31080825986544</v>
      </c>
      <c r="F30" s="2631">
        <f t="shared" si="97"/>
        <v>223.07903790551154</v>
      </c>
      <c r="G30" s="4086"/>
      <c r="H30" s="2622">
        <v>2</v>
      </c>
      <c r="I30" s="2622">
        <v>2.04</v>
      </c>
      <c r="J30" s="2622">
        <v>2.33</v>
      </c>
      <c r="K30" s="2622">
        <v>2.0699999999999998</v>
      </c>
      <c r="L30" s="2633">
        <v>0.69</v>
      </c>
      <c r="N30" s="2626">
        <f t="shared" si="89"/>
        <v>2.0400000000000001E-2</v>
      </c>
      <c r="O30" s="2644">
        <f t="shared" si="85"/>
        <v>2.3300000000000001E-2</v>
      </c>
      <c r="P30" s="2644">
        <f t="shared" si="85"/>
        <v>2.07E-2</v>
      </c>
      <c r="Q30" s="2644">
        <f t="shared" si="85"/>
        <v>6.8999999999999999E-3</v>
      </c>
      <c r="R30" s="2628"/>
      <c r="S30" s="2626"/>
      <c r="T30" s="2627"/>
      <c r="U30" s="2627"/>
      <c r="V30" s="2627"/>
      <c r="X30" s="2728"/>
      <c r="Y30" s="2730"/>
    </row>
    <row r="31" spans="1:34">
      <c r="A31" s="2618" t="s">
        <v>2585</v>
      </c>
      <c r="B31" s="2631">
        <f t="shared" si="96"/>
        <v>282.50186729015837</v>
      </c>
      <c r="C31" s="2631">
        <f t="shared" si="96"/>
        <v>238.09796174155468</v>
      </c>
      <c r="D31" s="2631">
        <f t="shared" si="87"/>
        <v>238.09796174155468</v>
      </c>
      <c r="E31" s="2631">
        <f t="shared" si="97"/>
        <v>385.33438646014054</v>
      </c>
      <c r="F31" s="2631">
        <f t="shared" si="97"/>
        <v>221.55034055567739</v>
      </c>
      <c r="G31" s="4087"/>
      <c r="H31" s="2621">
        <v>1</v>
      </c>
      <c r="I31" s="2621">
        <v>1.67</v>
      </c>
      <c r="J31" s="2621">
        <v>1.31</v>
      </c>
      <c r="K31" s="2621">
        <v>1.85</v>
      </c>
      <c r="L31" s="2632">
        <v>0.96</v>
      </c>
      <c r="N31" s="2634">
        <f t="shared" si="89"/>
        <v>1.67E-2</v>
      </c>
      <c r="O31" s="2635">
        <f t="shared" si="85"/>
        <v>1.3100000000000001E-2</v>
      </c>
      <c r="P31" s="2635">
        <f t="shared" si="85"/>
        <v>1.8500000000000003E-2</v>
      </c>
      <c r="Q31" s="2635">
        <f t="shared" si="85"/>
        <v>9.5999999999999992E-3</v>
      </c>
      <c r="R31" s="2628"/>
      <c r="S31" s="2634">
        <f>B31/B32-1</f>
        <v>1.6193767230785472E-2</v>
      </c>
      <c r="T31" s="2635">
        <f>C31/C32-1</f>
        <v>1.7512657015190891E-2</v>
      </c>
      <c r="U31" s="2635">
        <f>E31/E32-1</f>
        <v>1.6713420739157048E-2</v>
      </c>
      <c r="V31" s="2635">
        <f>F31/F32-1</f>
        <v>7.0470025258062563E-3</v>
      </c>
      <c r="X31" s="2729"/>
      <c r="Y31" s="2636"/>
      <c r="Z31" s="2636"/>
    </row>
    <row r="32" spans="1:34" ht="13.5" thickBot="1">
      <c r="A32" s="2618" t="s">
        <v>2586</v>
      </c>
      <c r="B32" s="2661">
        <v>278</v>
      </c>
      <c r="C32" s="2661">
        <v>234</v>
      </c>
      <c r="D32" s="2661">
        <f t="shared" si="87"/>
        <v>234</v>
      </c>
      <c r="E32" s="2661">
        <v>379</v>
      </c>
      <c r="F32" s="2662">
        <v>220</v>
      </c>
      <c r="G32" s="4082">
        <v>2012</v>
      </c>
      <c r="H32" s="2637">
        <v>4</v>
      </c>
      <c r="I32" s="2637">
        <v>0.91</v>
      </c>
      <c r="J32" s="2637">
        <v>0.68</v>
      </c>
      <c r="K32" s="2637">
        <v>0.98</v>
      </c>
      <c r="L32" s="2638">
        <v>0.9</v>
      </c>
      <c r="N32" s="2626">
        <f t="shared" si="89"/>
        <v>9.1000000000000004E-3</v>
      </c>
      <c r="O32" s="2627">
        <f t="shared" si="89"/>
        <v>6.8000000000000005E-3</v>
      </c>
      <c r="P32" s="2627">
        <f t="shared" si="89"/>
        <v>9.7999999999999997E-3</v>
      </c>
      <c r="Q32" s="2627">
        <f t="shared" si="89"/>
        <v>9.0000000000000011E-3</v>
      </c>
      <c r="R32" s="2628"/>
      <c r="S32" s="2629"/>
      <c r="T32" s="2630"/>
      <c r="U32" s="2630"/>
      <c r="V32" s="2630"/>
      <c r="X32" s="2630"/>
      <c r="Y32" s="2630"/>
      <c r="Z32" s="2630"/>
    </row>
    <row r="33" spans="1:26">
      <c r="A33" s="2618" t="s">
        <v>2587</v>
      </c>
      <c r="B33" s="2631">
        <f>B32/(1+N32)</f>
        <v>275.49301357645425</v>
      </c>
      <c r="C33" s="2631">
        <f>C32/(1+O32)</f>
        <v>232.41954707985698</v>
      </c>
      <c r="D33" s="2631">
        <f t="shared" si="87"/>
        <v>232.41954707985698</v>
      </c>
      <c r="E33" s="2631">
        <f t="shared" ref="E33:F35" si="98">E32/(1+P32)</f>
        <v>375.32184591008121</v>
      </c>
      <c r="F33" s="2631">
        <f t="shared" si="98"/>
        <v>218.03766105054513</v>
      </c>
      <c r="G33" s="4083"/>
      <c r="H33" s="2642">
        <v>3</v>
      </c>
      <c r="I33" s="2642">
        <v>0.09</v>
      </c>
      <c r="J33" s="2642">
        <v>0.28999999999999998</v>
      </c>
      <c r="K33" s="2642">
        <v>-0.01</v>
      </c>
      <c r="L33" s="2643">
        <v>0.57999999999999996</v>
      </c>
      <c r="N33" s="2626">
        <f t="shared" si="89"/>
        <v>8.9999999999999998E-4</v>
      </c>
      <c r="O33" s="2627">
        <f t="shared" si="89"/>
        <v>2.8999999999999998E-3</v>
      </c>
      <c r="P33" s="2627">
        <f t="shared" si="89"/>
        <v>-1E-4</v>
      </c>
      <c r="Q33" s="2627">
        <f t="shared" si="89"/>
        <v>5.7999999999999996E-3</v>
      </c>
      <c r="R33" s="2628"/>
      <c r="S33" s="2626"/>
      <c r="T33" s="2627"/>
      <c r="U33" s="2627"/>
      <c r="V33" s="2627"/>
    </row>
    <row r="34" spans="1:26">
      <c r="A34" s="2618" t="s">
        <v>2588</v>
      </c>
      <c r="B34" s="2631">
        <f>B33/(1+N33)</f>
        <v>275.24529281292263</v>
      </c>
      <c r="C34" s="2631">
        <f>C33/(1+O33)</f>
        <v>231.74747938962707</v>
      </c>
      <c r="D34" s="2631">
        <f t="shared" si="87"/>
        <v>231.74747938962707</v>
      </c>
      <c r="E34" s="2631">
        <f t="shared" si="98"/>
        <v>375.35938184826603</v>
      </c>
      <c r="F34" s="2631">
        <f t="shared" si="98"/>
        <v>216.78033510692495</v>
      </c>
      <c r="G34" s="4083"/>
      <c r="H34" s="2622">
        <v>2</v>
      </c>
      <c r="I34" s="2622">
        <v>0.02</v>
      </c>
      <c r="J34" s="2622">
        <v>0.12</v>
      </c>
      <c r="K34" s="2622">
        <v>-0.08</v>
      </c>
      <c r="L34" s="2633">
        <v>1.24</v>
      </c>
      <c r="N34" s="2626">
        <f t="shared" si="89"/>
        <v>2.0000000000000001E-4</v>
      </c>
      <c r="O34" s="2627">
        <f t="shared" si="89"/>
        <v>1.1999999999999999E-3</v>
      </c>
      <c r="P34" s="2627">
        <f t="shared" si="89"/>
        <v>-8.0000000000000004E-4</v>
      </c>
      <c r="Q34" s="2627">
        <f t="shared" si="89"/>
        <v>1.24E-2</v>
      </c>
      <c r="R34" s="2628"/>
      <c r="S34" s="2626"/>
      <c r="T34" s="2627"/>
      <c r="U34" s="2627"/>
      <c r="V34" s="2627"/>
    </row>
    <row r="35" spans="1:26" ht="13.5" thickBot="1">
      <c r="A35" s="2618" t="s">
        <v>2589</v>
      </c>
      <c r="B35" s="2631">
        <f>B34/(1+N34)</f>
        <v>275.19025476197027</v>
      </c>
      <c r="C35" s="2663">
        <v>232</v>
      </c>
      <c r="D35" s="2663">
        <f t="shared" si="87"/>
        <v>232</v>
      </c>
      <c r="E35" s="2631">
        <f t="shared" si="98"/>
        <v>375.65990977608692</v>
      </c>
      <c r="F35" s="2631">
        <f t="shared" si="98"/>
        <v>214.12518283971252</v>
      </c>
      <c r="G35" s="4084"/>
      <c r="H35" s="2621">
        <v>1</v>
      </c>
      <c r="I35" s="2621">
        <v>0.02</v>
      </c>
      <c r="J35" s="2621">
        <v>0.13</v>
      </c>
      <c r="K35" s="2621">
        <v>-0.04</v>
      </c>
      <c r="L35" s="2632">
        <v>0.46</v>
      </c>
      <c r="N35" s="2626">
        <f t="shared" si="89"/>
        <v>2.0000000000000001E-4</v>
      </c>
      <c r="O35" s="2627">
        <f t="shared" si="89"/>
        <v>1.2999999999999999E-3</v>
      </c>
      <c r="P35" s="2627">
        <f t="shared" si="89"/>
        <v>-4.0000000000000002E-4</v>
      </c>
      <c r="Q35" s="2627">
        <f t="shared" si="89"/>
        <v>4.5999999999999999E-3</v>
      </c>
      <c r="R35" s="2628"/>
      <c r="S35" s="2634">
        <f>B35/B36-1</f>
        <v>6.9183549807361189E-4</v>
      </c>
      <c r="T35" s="2635">
        <f>C35/C36-1</f>
        <v>0</v>
      </c>
      <c r="U35" s="2635">
        <f>E35/E36-1</f>
        <v>-9.0449527636460303E-4</v>
      </c>
      <c r="V35" s="2635">
        <f>F35/F36-1</f>
        <v>5.2825485432512753E-3</v>
      </c>
      <c r="X35" s="2636"/>
      <c r="Y35" s="2636"/>
      <c r="Z35" s="2636"/>
    </row>
    <row r="36" spans="1:26" ht="13.5" thickBot="1">
      <c r="A36" s="2618" t="s">
        <v>2590</v>
      </c>
      <c r="B36" s="2623">
        <v>275</v>
      </c>
      <c r="C36" s="2623">
        <v>232</v>
      </c>
      <c r="D36" s="2623">
        <f t="shared" si="87"/>
        <v>232</v>
      </c>
      <c r="E36" s="2623">
        <v>376</v>
      </c>
      <c r="F36" s="2624">
        <v>213</v>
      </c>
      <c r="G36" s="4082">
        <v>2011</v>
      </c>
      <c r="H36" s="2637">
        <v>4</v>
      </c>
      <c r="I36" s="2637">
        <v>-0.2</v>
      </c>
      <c r="J36" s="2637">
        <v>0.04</v>
      </c>
      <c r="K36" s="2637">
        <v>-0.34</v>
      </c>
      <c r="L36" s="2638">
        <v>0.46</v>
      </c>
      <c r="N36" s="2639">
        <f t="shared" si="89"/>
        <v>-2E-3</v>
      </c>
      <c r="O36" s="2640">
        <f t="shared" si="89"/>
        <v>4.0000000000000002E-4</v>
      </c>
      <c r="P36" s="2640">
        <f t="shared" si="89"/>
        <v>-3.4000000000000002E-3</v>
      </c>
      <c r="Q36" s="2640">
        <f t="shared" si="89"/>
        <v>4.5999999999999999E-3</v>
      </c>
      <c r="R36" s="2628"/>
      <c r="S36" s="2629"/>
      <c r="T36" s="2630"/>
      <c r="U36" s="2630"/>
      <c r="V36" s="2630"/>
      <c r="X36" s="2630"/>
      <c r="Y36" s="2630"/>
      <c r="Z36" s="2630"/>
    </row>
    <row r="37" spans="1:26">
      <c r="A37" s="2618" t="s">
        <v>2591</v>
      </c>
      <c r="B37" s="2631">
        <f t="shared" ref="B37:C39" si="99">B36/(1+N36)</f>
        <v>275.55110220440883</v>
      </c>
      <c r="C37" s="2631">
        <f t="shared" si="99"/>
        <v>231.90723710515795</v>
      </c>
      <c r="D37" s="2631">
        <f t="shared" si="87"/>
        <v>231.90723710515795</v>
      </c>
      <c r="E37" s="2631">
        <f t="shared" ref="E37:F39" si="100">E36/(1+P36)</f>
        <v>377.28276138872161</v>
      </c>
      <c r="F37" s="2631">
        <f t="shared" si="100"/>
        <v>212.02468644236512</v>
      </c>
      <c r="G37" s="4083">
        <v>2011</v>
      </c>
      <c r="H37" s="2642">
        <v>3</v>
      </c>
      <c r="I37" s="2642">
        <v>0.13</v>
      </c>
      <c r="J37" s="2642">
        <v>0.75</v>
      </c>
      <c r="K37" s="2642">
        <v>-0.08</v>
      </c>
      <c r="L37" s="2643">
        <v>0.53</v>
      </c>
      <c r="N37" s="2626">
        <f t="shared" si="89"/>
        <v>1.2999999999999999E-3</v>
      </c>
      <c r="O37" s="2644">
        <f t="shared" si="89"/>
        <v>7.4999999999999997E-3</v>
      </c>
      <c r="P37" s="2644">
        <f t="shared" si="89"/>
        <v>-8.0000000000000004E-4</v>
      </c>
      <c r="Q37" s="2644">
        <f t="shared" si="89"/>
        <v>5.3E-3</v>
      </c>
      <c r="R37" s="2628"/>
      <c r="S37" s="2626"/>
      <c r="T37" s="2627"/>
      <c r="U37" s="2627"/>
      <c r="V37" s="2627"/>
    </row>
    <row r="38" spans="1:26">
      <c r="A38" s="2618" t="s">
        <v>2592</v>
      </c>
      <c r="B38" s="2631">
        <f t="shared" si="99"/>
        <v>275.19335084830601</v>
      </c>
      <c r="C38" s="2631">
        <f t="shared" si="99"/>
        <v>230.18088050139744</v>
      </c>
      <c r="D38" s="2631">
        <f t="shared" si="87"/>
        <v>230.18088050139744</v>
      </c>
      <c r="E38" s="2631">
        <f t="shared" si="100"/>
        <v>377.58482925212331</v>
      </c>
      <c r="F38" s="2631">
        <f t="shared" si="100"/>
        <v>210.90687997847917</v>
      </c>
      <c r="G38" s="4083">
        <v>2011</v>
      </c>
      <c r="H38" s="2622">
        <v>2</v>
      </c>
      <c r="I38" s="2622">
        <v>-0.4</v>
      </c>
      <c r="J38" s="2622">
        <v>0.17</v>
      </c>
      <c r="K38" s="2622">
        <v>-0.57999999999999996</v>
      </c>
      <c r="L38" s="2633">
        <v>-0.2</v>
      </c>
      <c r="N38" s="2626">
        <f t="shared" si="89"/>
        <v>-4.0000000000000001E-3</v>
      </c>
      <c r="O38" s="2644">
        <f t="shared" si="89"/>
        <v>1.7000000000000001E-3</v>
      </c>
      <c r="P38" s="2644">
        <f t="shared" si="89"/>
        <v>-5.7999999999999996E-3</v>
      </c>
      <c r="Q38" s="2644">
        <f t="shared" si="89"/>
        <v>-2E-3</v>
      </c>
      <c r="R38" s="2628"/>
      <c r="S38" s="2626"/>
      <c r="T38" s="2627"/>
      <c r="U38" s="2627"/>
      <c r="V38" s="2627"/>
    </row>
    <row r="39" spans="1:26" ht="13.5" thickBot="1">
      <c r="A39" s="2618" t="s">
        <v>2593</v>
      </c>
      <c r="B39" s="2631">
        <f t="shared" si="99"/>
        <v>276.29854502841971</v>
      </c>
      <c r="C39" s="2631">
        <f t="shared" si="99"/>
        <v>229.79023709833027</v>
      </c>
      <c r="D39" s="2631">
        <f t="shared" si="87"/>
        <v>229.79023709833027</v>
      </c>
      <c r="E39" s="2631">
        <f t="shared" si="100"/>
        <v>379.78759731655936</v>
      </c>
      <c r="F39" s="2631">
        <f t="shared" si="100"/>
        <v>211.32953905659235</v>
      </c>
      <c r="G39" s="4084">
        <v>2011</v>
      </c>
      <c r="H39" s="2621">
        <v>1</v>
      </c>
      <c r="I39" s="2621">
        <v>2.65</v>
      </c>
      <c r="J39" s="2621">
        <v>3.76</v>
      </c>
      <c r="K39" s="2621">
        <v>1.89</v>
      </c>
      <c r="L39" s="2632">
        <v>7.95</v>
      </c>
      <c r="N39" s="2634">
        <f t="shared" si="89"/>
        <v>2.6499999999999999E-2</v>
      </c>
      <c r="O39" s="2635">
        <f t="shared" si="89"/>
        <v>3.7599999999999995E-2</v>
      </c>
      <c r="P39" s="2635">
        <f t="shared" si="89"/>
        <v>1.89E-2</v>
      </c>
      <c r="Q39" s="2635">
        <f t="shared" si="89"/>
        <v>7.9500000000000001E-2</v>
      </c>
      <c r="R39" s="2628"/>
      <c r="S39" s="2634">
        <f>B39/B40-1</f>
        <v>2.713213765211786E-2</v>
      </c>
      <c r="T39" s="2635">
        <f>C39/C40-1</f>
        <v>3.9774828499231862E-2</v>
      </c>
      <c r="U39" s="2635">
        <f>E39/E40-1</f>
        <v>1.8197311840641772E-2</v>
      </c>
      <c r="V39" s="2635">
        <f>F39/F40-1</f>
        <v>7.8211933962205826E-2</v>
      </c>
      <c r="X39" s="2636"/>
      <c r="Y39" s="2636"/>
      <c r="Z39" s="2636"/>
    </row>
    <row r="40" spans="1:26" ht="13.5" thickBot="1">
      <c r="A40" s="2618" t="s">
        <v>2594</v>
      </c>
      <c r="B40" s="2623">
        <v>269</v>
      </c>
      <c r="C40" s="2623">
        <v>221</v>
      </c>
      <c r="D40" s="2623">
        <f t="shared" si="87"/>
        <v>221</v>
      </c>
      <c r="E40" s="2623">
        <v>373</v>
      </c>
      <c r="F40" s="2624">
        <v>196</v>
      </c>
      <c r="G40" s="4082">
        <v>2010</v>
      </c>
      <c r="H40" s="2637">
        <v>4</v>
      </c>
      <c r="I40" s="2637">
        <v>5.72</v>
      </c>
      <c r="J40" s="2637">
        <v>6.57</v>
      </c>
      <c r="K40" s="2637">
        <v>5.72</v>
      </c>
      <c r="L40" s="2638">
        <v>2.72</v>
      </c>
      <c r="N40" s="2626">
        <f t="shared" si="89"/>
        <v>5.7200000000000001E-2</v>
      </c>
      <c r="O40" s="2627">
        <f t="shared" si="89"/>
        <v>6.5700000000000008E-2</v>
      </c>
      <c r="P40" s="2627">
        <f t="shared" si="89"/>
        <v>5.7200000000000001E-2</v>
      </c>
      <c r="Q40" s="2627">
        <f t="shared" si="89"/>
        <v>2.7200000000000002E-2</v>
      </c>
      <c r="R40" s="2628"/>
      <c r="S40" s="2629"/>
      <c r="T40" s="2630"/>
      <c r="U40" s="2630"/>
      <c r="V40" s="2630"/>
      <c r="X40" s="2630"/>
      <c r="Y40" s="2630"/>
      <c r="Z40" s="2630"/>
    </row>
    <row r="41" spans="1:26">
      <c r="A41" s="2618" t="s">
        <v>2595</v>
      </c>
      <c r="B41" s="2631">
        <f t="shared" ref="B41:C43" si="101">B40/(1+N40)</f>
        <v>254.44570563753314</v>
      </c>
      <c r="C41" s="2631">
        <f t="shared" si="101"/>
        <v>207.37543398705074</v>
      </c>
      <c r="D41" s="2631">
        <f t="shared" si="87"/>
        <v>207.37543398705074</v>
      </c>
      <c r="E41" s="2631">
        <f t="shared" ref="E41:F43" si="102">E40/(1+P40)</f>
        <v>352.81876655315932</v>
      </c>
      <c r="F41" s="2631">
        <f t="shared" si="102"/>
        <v>190.809968847352</v>
      </c>
      <c r="G41" s="4083">
        <v>2010</v>
      </c>
      <c r="H41" s="2642">
        <v>3</v>
      </c>
      <c r="I41" s="2642">
        <v>4.7300000000000004</v>
      </c>
      <c r="J41" s="2642">
        <v>3.9</v>
      </c>
      <c r="K41" s="2642">
        <v>5.03</v>
      </c>
      <c r="L41" s="2643">
        <v>4.21</v>
      </c>
      <c r="N41" s="2626">
        <f t="shared" si="89"/>
        <v>4.7300000000000002E-2</v>
      </c>
      <c r="O41" s="2627">
        <f t="shared" si="89"/>
        <v>3.9E-2</v>
      </c>
      <c r="P41" s="2627">
        <f t="shared" si="89"/>
        <v>5.0300000000000004E-2</v>
      </c>
      <c r="Q41" s="2627">
        <f t="shared" si="89"/>
        <v>4.2099999999999999E-2</v>
      </c>
      <c r="R41" s="2628"/>
      <c r="S41" s="2626"/>
      <c r="T41" s="2627"/>
      <c r="U41" s="2627"/>
      <c r="V41" s="2627"/>
    </row>
    <row r="42" spans="1:26">
      <c r="A42" s="2618" t="s">
        <v>2596</v>
      </c>
      <c r="B42" s="2631">
        <f t="shared" si="101"/>
        <v>242.95398227588385</v>
      </c>
      <c r="C42" s="2631">
        <f t="shared" si="101"/>
        <v>199.59137053614126</v>
      </c>
      <c r="D42" s="2631">
        <f t="shared" si="87"/>
        <v>199.59137053614126</v>
      </c>
      <c r="E42" s="2631">
        <f t="shared" si="102"/>
        <v>335.92189522342125</v>
      </c>
      <c r="F42" s="2631">
        <f t="shared" si="102"/>
        <v>183.10139991109489</v>
      </c>
      <c r="G42" s="4083">
        <v>2010</v>
      </c>
      <c r="H42" s="2622">
        <v>2</v>
      </c>
      <c r="I42" s="2622">
        <v>4.6900000000000004</v>
      </c>
      <c r="J42" s="2622">
        <v>3.55</v>
      </c>
      <c r="K42" s="2622">
        <v>5.07</v>
      </c>
      <c r="L42" s="2633">
        <v>4.2300000000000004</v>
      </c>
      <c r="N42" s="2626">
        <f t="shared" si="89"/>
        <v>4.6900000000000004E-2</v>
      </c>
      <c r="O42" s="2627">
        <f t="shared" si="89"/>
        <v>3.5499999999999997E-2</v>
      </c>
      <c r="P42" s="2627">
        <f t="shared" si="89"/>
        <v>5.0700000000000002E-2</v>
      </c>
      <c r="Q42" s="2627">
        <f t="shared" si="89"/>
        <v>4.2300000000000004E-2</v>
      </c>
      <c r="R42" s="2628"/>
      <c r="S42" s="2626"/>
      <c r="T42" s="2627"/>
      <c r="U42" s="2627"/>
      <c r="V42" s="2627"/>
    </row>
    <row r="43" spans="1:26" ht="13.5" thickBot="1">
      <c r="A43" s="2618" t="s">
        <v>2597</v>
      </c>
      <c r="B43" s="2631">
        <f t="shared" si="101"/>
        <v>232.06990378821649</v>
      </c>
      <c r="C43" s="2631">
        <f t="shared" si="101"/>
        <v>192.74878854286936</v>
      </c>
      <c r="D43" s="2631">
        <f t="shared" si="87"/>
        <v>192.74878854286936</v>
      </c>
      <c r="E43" s="2631">
        <f t="shared" si="102"/>
        <v>319.71247284992984</v>
      </c>
      <c r="F43" s="2631">
        <f t="shared" si="102"/>
        <v>175.67053622862409</v>
      </c>
      <c r="G43" s="4084">
        <v>2010</v>
      </c>
      <c r="H43" s="2621">
        <v>1</v>
      </c>
      <c r="I43" s="2621">
        <v>5.4</v>
      </c>
      <c r="J43" s="2621">
        <v>3.2</v>
      </c>
      <c r="K43" s="2621">
        <v>6.16</v>
      </c>
      <c r="L43" s="2632">
        <v>4.51</v>
      </c>
      <c r="N43" s="2626">
        <f t="shared" si="89"/>
        <v>5.4000000000000006E-2</v>
      </c>
      <c r="O43" s="2627">
        <f t="shared" si="89"/>
        <v>3.2000000000000001E-2</v>
      </c>
      <c r="P43" s="2627">
        <f t="shared" si="89"/>
        <v>6.1600000000000002E-2</v>
      </c>
      <c r="Q43" s="2627">
        <f t="shared" si="89"/>
        <v>4.5100000000000001E-2</v>
      </c>
      <c r="R43" s="2628"/>
      <c r="S43" s="2634">
        <f>B43/B44-1</f>
        <v>5.4863199037347599E-2</v>
      </c>
      <c r="T43" s="2635">
        <f>C43/C44-1</f>
        <v>3.0742184721226584E-2</v>
      </c>
      <c r="U43" s="2635">
        <f>E43/E44-1</f>
        <v>6.2167683886810154E-2</v>
      </c>
      <c r="V43" s="2635">
        <f>F43/F44-1</f>
        <v>4.5657953741810031E-2</v>
      </c>
      <c r="X43" s="2636"/>
      <c r="Y43" s="2636"/>
      <c r="Z43" s="2636"/>
    </row>
    <row r="44" spans="1:26" ht="13.5" thickBot="1">
      <c r="A44" s="2618" t="s">
        <v>2598</v>
      </c>
      <c r="B44" s="2623">
        <v>220</v>
      </c>
      <c r="C44" s="2623">
        <v>187</v>
      </c>
      <c r="D44" s="2623">
        <f t="shared" si="87"/>
        <v>187</v>
      </c>
      <c r="E44" s="2623">
        <v>301</v>
      </c>
      <c r="F44" s="2624">
        <v>168</v>
      </c>
      <c r="G44" s="4082">
        <v>2009</v>
      </c>
      <c r="H44" s="2637">
        <v>4</v>
      </c>
      <c r="I44" s="2637">
        <v>2.2999999999999998</v>
      </c>
      <c r="J44" s="2637">
        <v>1.04</v>
      </c>
      <c r="K44" s="2637">
        <v>2.84</v>
      </c>
      <c r="L44" s="2638">
        <v>0.67</v>
      </c>
      <c r="N44" s="2639">
        <f t="shared" si="89"/>
        <v>2.3E-2</v>
      </c>
      <c r="O44" s="2640">
        <f t="shared" si="89"/>
        <v>1.04E-2</v>
      </c>
      <c r="P44" s="2640">
        <f t="shared" si="89"/>
        <v>2.8399999999999998E-2</v>
      </c>
      <c r="Q44" s="2640">
        <f t="shared" si="89"/>
        <v>6.7000000000000002E-3</v>
      </c>
      <c r="R44" s="2628"/>
      <c r="S44" s="2629"/>
      <c r="T44" s="2630"/>
      <c r="U44" s="2630"/>
      <c r="V44" s="2630"/>
      <c r="X44" s="2630"/>
      <c r="Y44" s="2630"/>
      <c r="Z44" s="2630"/>
    </row>
    <row r="45" spans="1:26">
      <c r="A45" s="2618" t="s">
        <v>2599</v>
      </c>
      <c r="B45" s="2631">
        <f t="shared" ref="B45:C47" si="103">B44/(1+N44)</f>
        <v>215.05376344086022</v>
      </c>
      <c r="C45" s="2631">
        <f t="shared" si="103"/>
        <v>185.0752177355503</v>
      </c>
      <c r="D45" s="2631">
        <f t="shared" si="87"/>
        <v>185.0752177355503</v>
      </c>
      <c r="E45" s="2631">
        <f t="shared" ref="E45:F47" si="104">E44/(1+P44)</f>
        <v>292.68767016725008</v>
      </c>
      <c r="F45" s="2631">
        <f t="shared" si="104"/>
        <v>166.88189132810174</v>
      </c>
      <c r="G45" s="4083">
        <v>2009</v>
      </c>
      <c r="H45" s="2642">
        <v>3</v>
      </c>
      <c r="I45" s="2642">
        <v>2.1</v>
      </c>
      <c r="J45" s="2642">
        <v>1.86</v>
      </c>
      <c r="K45" s="2642">
        <v>2.29</v>
      </c>
      <c r="L45" s="2643">
        <v>0.85</v>
      </c>
      <c r="N45" s="2626">
        <f t="shared" si="89"/>
        <v>2.1000000000000001E-2</v>
      </c>
      <c r="O45" s="2644">
        <f t="shared" si="89"/>
        <v>1.8600000000000002E-2</v>
      </c>
      <c r="P45" s="2644">
        <f t="shared" si="89"/>
        <v>2.29E-2</v>
      </c>
      <c r="Q45" s="2644">
        <f t="shared" si="89"/>
        <v>8.5000000000000006E-3</v>
      </c>
      <c r="R45" s="2628"/>
      <c r="S45" s="2626"/>
      <c r="T45" s="2627"/>
      <c r="U45" s="2627"/>
      <c r="V45" s="2627"/>
    </row>
    <row r="46" spans="1:26">
      <c r="A46" s="2618" t="s">
        <v>2600</v>
      </c>
      <c r="B46" s="2631">
        <f t="shared" si="103"/>
        <v>210.630522469011</v>
      </c>
      <c r="C46" s="2631">
        <f t="shared" si="103"/>
        <v>181.69567812247232</v>
      </c>
      <c r="D46" s="2631">
        <f t="shared" si="87"/>
        <v>181.69567812247232</v>
      </c>
      <c r="E46" s="2631">
        <f t="shared" si="104"/>
        <v>286.13517466736738</v>
      </c>
      <c r="F46" s="2631">
        <f t="shared" si="104"/>
        <v>165.47535084591149</v>
      </c>
      <c r="G46" s="4083">
        <v>2009</v>
      </c>
      <c r="H46" s="2622">
        <v>2</v>
      </c>
      <c r="I46" s="2622">
        <v>0.86</v>
      </c>
      <c r="J46" s="2622">
        <v>-1.1299999999999999</v>
      </c>
      <c r="K46" s="2622">
        <v>1.79</v>
      </c>
      <c r="L46" s="2633">
        <v>-2.0699999999999998</v>
      </c>
      <c r="N46" s="2626">
        <f t="shared" si="89"/>
        <v>8.6E-3</v>
      </c>
      <c r="O46" s="2644">
        <f t="shared" si="89"/>
        <v>-1.1299999999999999E-2</v>
      </c>
      <c r="P46" s="2644">
        <f t="shared" si="89"/>
        <v>1.7899999999999999E-2</v>
      </c>
      <c r="Q46" s="2644">
        <f t="shared" si="89"/>
        <v>-2.07E-2</v>
      </c>
      <c r="R46" s="2628"/>
      <c r="S46" s="2626"/>
      <c r="T46" s="2627"/>
      <c r="U46" s="2627"/>
      <c r="V46" s="2627"/>
    </row>
    <row r="47" spans="1:26">
      <c r="A47" s="2618" t="s">
        <v>2601</v>
      </c>
      <c r="B47" s="2631">
        <f t="shared" si="103"/>
        <v>208.83454537875372</v>
      </c>
      <c r="C47" s="2631">
        <f t="shared" si="103"/>
        <v>183.77230517090351</v>
      </c>
      <c r="D47" s="2631">
        <f t="shared" si="87"/>
        <v>183.77230517090351</v>
      </c>
      <c r="E47" s="2631">
        <f t="shared" si="104"/>
        <v>281.10342338870947</v>
      </c>
      <c r="F47" s="2631">
        <f t="shared" si="104"/>
        <v>168.97309388942256</v>
      </c>
      <c r="G47" s="4084">
        <v>2009</v>
      </c>
      <c r="H47" s="2621">
        <v>1</v>
      </c>
      <c r="I47" s="2621">
        <v>-2.64</v>
      </c>
      <c r="J47" s="2621">
        <v>-2.5299999999999998</v>
      </c>
      <c r="K47" s="2621">
        <v>-3.02</v>
      </c>
      <c r="L47" s="2632">
        <v>1.52</v>
      </c>
      <c r="N47" s="2634">
        <f t="shared" si="89"/>
        <v>-2.64E-2</v>
      </c>
      <c r="O47" s="2635">
        <f t="shared" si="89"/>
        <v>-2.53E-2</v>
      </c>
      <c r="P47" s="2635">
        <f t="shared" si="89"/>
        <v>-3.0200000000000001E-2</v>
      </c>
      <c r="Q47" s="2635">
        <f t="shared" si="89"/>
        <v>1.52E-2</v>
      </c>
      <c r="R47" s="2628"/>
      <c r="S47" s="2634">
        <f>B47/B48-1</f>
        <v>-2.4137638417038754E-2</v>
      </c>
      <c r="T47" s="2635">
        <f>C47/C48-1</f>
        <v>-2.248773845264096E-2</v>
      </c>
      <c r="U47" s="2635">
        <f>E47/E48-1</f>
        <v>-2.7323794502735366E-2</v>
      </c>
      <c r="V47" s="2635">
        <f>F47/F48-1</f>
        <v>1.7910204153148035E-2</v>
      </c>
      <c r="X47" s="2636"/>
      <c r="Y47" s="2636"/>
      <c r="Z47" s="2636"/>
    </row>
    <row r="48" spans="1:26" ht="13.5" thickBot="1">
      <c r="A48" s="2618" t="s">
        <v>2602</v>
      </c>
      <c r="B48" s="2661">
        <v>214</v>
      </c>
      <c r="C48" s="2661">
        <v>188</v>
      </c>
      <c r="D48" s="2661">
        <f t="shared" si="87"/>
        <v>188</v>
      </c>
      <c r="E48" s="2661">
        <v>289</v>
      </c>
      <c r="F48" s="2662">
        <v>166</v>
      </c>
      <c r="G48" s="4082">
        <v>2008</v>
      </c>
      <c r="H48" s="2637">
        <v>4</v>
      </c>
      <c r="I48" s="2637">
        <v>1.73</v>
      </c>
      <c r="J48" s="2637">
        <v>0.03</v>
      </c>
      <c r="K48" s="2637">
        <v>2.59</v>
      </c>
      <c r="L48" s="2638">
        <v>-1.66</v>
      </c>
      <c r="N48" s="2626">
        <f t="shared" si="89"/>
        <v>1.7299999999999999E-2</v>
      </c>
      <c r="O48" s="2627">
        <f t="shared" si="89"/>
        <v>2.9999999999999997E-4</v>
      </c>
      <c r="P48" s="2627">
        <f t="shared" si="89"/>
        <v>2.5899999999999999E-2</v>
      </c>
      <c r="Q48" s="2627">
        <f t="shared" si="89"/>
        <v>-1.66E-2</v>
      </c>
      <c r="R48" s="2628"/>
      <c r="S48" s="2629"/>
      <c r="T48" s="2630"/>
      <c r="U48" s="2630"/>
      <c r="V48" s="2630"/>
      <c r="X48" s="2630"/>
      <c r="Y48" s="2630"/>
      <c r="Z48" s="2630"/>
    </row>
    <row r="49" spans="1:26">
      <c r="A49" s="2618" t="s">
        <v>2603</v>
      </c>
      <c r="B49" s="2631">
        <f t="shared" ref="B49:C51" si="105">B48/(1+N48)</f>
        <v>210.36075887152265</v>
      </c>
      <c r="C49" s="2631">
        <f t="shared" si="105"/>
        <v>187.94361691492554</v>
      </c>
      <c r="D49" s="2631">
        <f t="shared" si="87"/>
        <v>187.94361691492554</v>
      </c>
      <c r="E49" s="2631">
        <f t="shared" ref="E49:F51" si="106">E48/(1+P48)</f>
        <v>281.70386977288234</v>
      </c>
      <c r="F49" s="2631">
        <f t="shared" si="106"/>
        <v>168.80211511083994</v>
      </c>
      <c r="G49" s="4083">
        <v>2008</v>
      </c>
      <c r="H49" s="2642">
        <v>3</v>
      </c>
      <c r="I49" s="2642">
        <v>1.96</v>
      </c>
      <c r="J49" s="2642">
        <v>2.36</v>
      </c>
      <c r="K49" s="2642">
        <v>1.82</v>
      </c>
      <c r="L49" s="2643">
        <v>2.2200000000000002</v>
      </c>
      <c r="N49" s="2626">
        <f t="shared" si="89"/>
        <v>1.9599999999999999E-2</v>
      </c>
      <c r="O49" s="2627">
        <f t="shared" si="89"/>
        <v>2.3599999999999999E-2</v>
      </c>
      <c r="P49" s="2627">
        <f t="shared" si="89"/>
        <v>1.8200000000000001E-2</v>
      </c>
      <c r="Q49" s="2627">
        <f t="shared" si="89"/>
        <v>2.2200000000000001E-2</v>
      </c>
      <c r="R49" s="2628"/>
      <c r="S49" s="2626"/>
      <c r="T49" s="2627"/>
      <c r="U49" s="2627"/>
      <c r="V49" s="2627"/>
    </row>
    <row r="50" spans="1:26">
      <c r="A50" s="2618" t="s">
        <v>2604</v>
      </c>
      <c r="B50" s="2631">
        <f t="shared" si="105"/>
        <v>206.31694671589116</v>
      </c>
      <c r="C50" s="2631">
        <f t="shared" si="105"/>
        <v>183.61041121036101</v>
      </c>
      <c r="D50" s="2631">
        <f t="shared" si="87"/>
        <v>183.61041121036101</v>
      </c>
      <c r="E50" s="2631">
        <f t="shared" si="106"/>
        <v>276.66850301795557</v>
      </c>
      <c r="F50" s="2631">
        <f t="shared" si="106"/>
        <v>165.1360938278614</v>
      </c>
      <c r="G50" s="4083">
        <v>2008</v>
      </c>
      <c r="H50" s="2622">
        <v>2</v>
      </c>
      <c r="I50" s="2622">
        <v>4.93</v>
      </c>
      <c r="J50" s="2622">
        <v>7.38</v>
      </c>
      <c r="K50" s="2622">
        <v>3.98</v>
      </c>
      <c r="L50" s="2633">
        <v>6.86</v>
      </c>
      <c r="N50" s="2626">
        <f t="shared" si="89"/>
        <v>4.9299999999999997E-2</v>
      </c>
      <c r="O50" s="2627">
        <f t="shared" si="89"/>
        <v>7.3800000000000004E-2</v>
      </c>
      <c r="P50" s="2627">
        <f t="shared" si="89"/>
        <v>3.9800000000000002E-2</v>
      </c>
      <c r="Q50" s="2627">
        <f t="shared" si="89"/>
        <v>6.8600000000000008E-2</v>
      </c>
      <c r="R50" s="2628"/>
      <c r="S50" s="2626"/>
      <c r="T50" s="2627"/>
      <c r="U50" s="2627"/>
      <c r="V50" s="2627"/>
    </row>
    <row r="51" spans="1:26" s="2667" customFormat="1" ht="13.5" thickBot="1">
      <c r="A51" s="2618" t="s">
        <v>2605</v>
      </c>
      <c r="B51" s="2664">
        <f t="shared" si="105"/>
        <v>196.62341248059772</v>
      </c>
      <c r="C51" s="2664">
        <f t="shared" si="105"/>
        <v>170.99125648199012</v>
      </c>
      <c r="D51" s="2664">
        <f t="shared" si="87"/>
        <v>170.99125648199012</v>
      </c>
      <c r="E51" s="2664">
        <f t="shared" si="106"/>
        <v>266.07857570490052</v>
      </c>
      <c r="F51" s="2664">
        <f t="shared" si="106"/>
        <v>154.53499328828505</v>
      </c>
      <c r="G51" s="4084">
        <v>2008</v>
      </c>
      <c r="H51" s="2665">
        <v>1</v>
      </c>
      <c r="I51" s="2665">
        <v>4.1399999999999997</v>
      </c>
      <c r="J51" s="2665">
        <v>3.45</v>
      </c>
      <c r="K51" s="2665">
        <v>4.95</v>
      </c>
      <c r="L51" s="2666">
        <v>4.82</v>
      </c>
      <c r="N51" s="2668">
        <f t="shared" si="89"/>
        <v>4.1399999999999999E-2</v>
      </c>
      <c r="O51" s="2669">
        <f t="shared" si="89"/>
        <v>3.4500000000000003E-2</v>
      </c>
      <c r="P51" s="2669">
        <f t="shared" si="89"/>
        <v>4.9500000000000002E-2</v>
      </c>
      <c r="Q51" s="2669">
        <f t="shared" si="89"/>
        <v>4.82E-2</v>
      </c>
      <c r="R51" s="2670"/>
      <c r="S51" s="2668">
        <f>B51/B52-1</f>
        <v>4.5869215322328349E-2</v>
      </c>
      <c r="T51" s="2669">
        <f>C51/C52-1</f>
        <v>3.6310645345394743E-2</v>
      </c>
      <c r="U51" s="2669">
        <f>E51/E52-1</f>
        <v>4.7553447657088688E-2</v>
      </c>
      <c r="V51" s="2669">
        <f>F51/F52-1</f>
        <v>4.4155360055980086E-2</v>
      </c>
      <c r="X51" s="2671"/>
      <c r="Y51" s="2671"/>
      <c r="Z51" s="2671"/>
    </row>
    <row r="52" spans="1:26" ht="13.5" thickBot="1">
      <c r="A52" s="2618" t="s">
        <v>2606</v>
      </c>
      <c r="B52" s="2623">
        <v>188</v>
      </c>
      <c r="C52" s="2623">
        <v>165</v>
      </c>
      <c r="D52" s="2623">
        <f t="shared" si="87"/>
        <v>165</v>
      </c>
      <c r="E52" s="2623">
        <v>254</v>
      </c>
      <c r="F52" s="2624">
        <v>148</v>
      </c>
      <c r="G52" s="4082">
        <v>2007</v>
      </c>
      <c r="H52" s="2672">
        <v>4</v>
      </c>
      <c r="I52" s="2672">
        <v>5.51</v>
      </c>
      <c r="J52" s="2672">
        <v>4.8899999999999997</v>
      </c>
      <c r="K52" s="2672">
        <v>6.43</v>
      </c>
      <c r="L52" s="2673">
        <v>5.36</v>
      </c>
      <c r="N52" s="2674">
        <f t="shared" ref="N52:O55" si="107">B52/B53-1</f>
        <v>4.1339718365245526E-2</v>
      </c>
      <c r="O52" s="2675">
        <f t="shared" si="107"/>
        <v>4.0324492593776018E-2</v>
      </c>
      <c r="P52" s="2675">
        <f t="shared" ref="P52:Q55" si="108">E52/E53-1</f>
        <v>6.1625555347990968E-2</v>
      </c>
      <c r="Q52" s="2675">
        <f t="shared" si="108"/>
        <v>4.6757569250590603E-2</v>
      </c>
      <c r="R52" s="2628"/>
      <c r="S52" s="2629"/>
      <c r="T52" s="2630"/>
      <c r="U52" s="2630"/>
      <c r="V52" s="2630"/>
      <c r="X52" s="2630"/>
      <c r="Y52" s="2630"/>
      <c r="Z52" s="2630"/>
    </row>
    <row r="53" spans="1:26">
      <c r="A53" s="2618" t="s">
        <v>2607</v>
      </c>
      <c r="B53" s="2631">
        <f t="shared" ref="B53:C55" si="109">B54+(B$52-B$56)*I53/SUM(I$52:I$55)</f>
        <v>180.5366651097618</v>
      </c>
      <c r="C53" s="2631">
        <f t="shared" si="109"/>
        <v>158.60435967302453</v>
      </c>
      <c r="D53" s="2631">
        <f t="shared" si="87"/>
        <v>158.60435967302453</v>
      </c>
      <c r="E53" s="2631">
        <f t="shared" ref="E53:F55" si="110">E54+(E$52-E$56)*K53/SUM(K$52:K$55)</f>
        <v>239.25573260785075</v>
      </c>
      <c r="F53" s="2631">
        <f t="shared" si="110"/>
        <v>141.38899430740037</v>
      </c>
      <c r="G53" s="4083">
        <v>2007</v>
      </c>
      <c r="H53" s="2642">
        <v>3</v>
      </c>
      <c r="I53" s="2642">
        <v>8.65</v>
      </c>
      <c r="J53" s="2642">
        <v>8.06</v>
      </c>
      <c r="K53" s="2642">
        <v>9.94</v>
      </c>
      <c r="L53" s="2643">
        <v>5.8</v>
      </c>
      <c r="N53" s="2674">
        <f t="shared" si="107"/>
        <v>6.940217571740015E-2</v>
      </c>
      <c r="O53" s="2675">
        <f t="shared" si="107"/>
        <v>7.1197482471153428E-2</v>
      </c>
      <c r="P53" s="2675">
        <f t="shared" si="108"/>
        <v>0.10529679922579582</v>
      </c>
      <c r="Q53" s="2675">
        <f t="shared" si="108"/>
        <v>5.3292245059512133E-2</v>
      </c>
      <c r="R53" s="2628"/>
      <c r="S53" s="2626"/>
      <c r="T53" s="2627"/>
      <c r="U53" s="2627"/>
      <c r="V53" s="2627"/>
      <c r="X53" s="2676"/>
      <c r="Y53" s="2676"/>
      <c r="Z53" s="2676"/>
    </row>
    <row r="54" spans="1:26">
      <c r="A54" s="2618" t="s">
        <v>2608</v>
      </c>
      <c r="B54" s="2631">
        <f t="shared" si="109"/>
        <v>168.82017748715555</v>
      </c>
      <c r="C54" s="2631">
        <f t="shared" si="109"/>
        <v>148.06267029972753</v>
      </c>
      <c r="D54" s="2631">
        <f t="shared" si="87"/>
        <v>148.06267029972753</v>
      </c>
      <c r="E54" s="2631">
        <f t="shared" si="110"/>
        <v>216.46288379323747</v>
      </c>
      <c r="F54" s="2631">
        <f t="shared" si="110"/>
        <v>134.23529411764704</v>
      </c>
      <c r="G54" s="4083">
        <v>2007</v>
      </c>
      <c r="H54" s="2622">
        <v>2</v>
      </c>
      <c r="I54" s="2622">
        <v>3.67</v>
      </c>
      <c r="J54" s="2622">
        <v>2.3199999999999998</v>
      </c>
      <c r="K54" s="2622">
        <v>5.0199999999999996</v>
      </c>
      <c r="L54" s="2633">
        <v>6.71</v>
      </c>
      <c r="N54" s="2674">
        <f t="shared" si="107"/>
        <v>3.0339138143848032E-2</v>
      </c>
      <c r="O54" s="2675">
        <f t="shared" si="107"/>
        <v>2.0922341588790472E-2</v>
      </c>
      <c r="P54" s="2675">
        <f t="shared" si="108"/>
        <v>5.6164796592717003E-2</v>
      </c>
      <c r="Q54" s="2675">
        <f t="shared" si="108"/>
        <v>6.5704536723887319E-2</v>
      </c>
      <c r="R54" s="2628"/>
      <c r="S54" s="2626"/>
      <c r="T54" s="2627"/>
      <c r="U54" s="2627"/>
      <c r="V54" s="2627"/>
      <c r="X54" s="2676"/>
      <c r="Y54" s="2676"/>
      <c r="Z54" s="2676"/>
    </row>
    <row r="55" spans="1:26">
      <c r="A55" s="2618" t="s">
        <v>2609</v>
      </c>
      <c r="B55" s="2631">
        <f t="shared" si="109"/>
        <v>163.84913591779542</v>
      </c>
      <c r="C55" s="2631">
        <f t="shared" si="109"/>
        <v>145.0283378746594</v>
      </c>
      <c r="D55" s="2631">
        <f t="shared" si="87"/>
        <v>145.0283378746594</v>
      </c>
      <c r="E55" s="2631">
        <f t="shared" si="110"/>
        <v>204.95180722891567</v>
      </c>
      <c r="F55" s="2631">
        <f t="shared" si="110"/>
        <v>125.95920303605313</v>
      </c>
      <c r="G55" s="4084">
        <v>2007</v>
      </c>
      <c r="H55" s="2621">
        <v>1</v>
      </c>
      <c r="I55" s="2621">
        <v>3.58</v>
      </c>
      <c r="J55" s="2621">
        <v>3.08</v>
      </c>
      <c r="K55" s="2621">
        <v>4.34</v>
      </c>
      <c r="L55" s="2632">
        <v>3.21</v>
      </c>
      <c r="N55" s="2677">
        <f t="shared" si="107"/>
        <v>3.0497710174814063E-2</v>
      </c>
      <c r="O55" s="2678">
        <f t="shared" si="107"/>
        <v>2.8569772160704998E-2</v>
      </c>
      <c r="P55" s="2678">
        <f t="shared" si="108"/>
        <v>5.1034908866234296E-2</v>
      </c>
      <c r="Q55" s="2678">
        <f t="shared" si="108"/>
        <v>3.245248390207478E-2</v>
      </c>
      <c r="R55" s="2628"/>
      <c r="S55" s="2634">
        <f>B55/B56-1</f>
        <v>3.0497710174814063E-2</v>
      </c>
      <c r="T55" s="2635">
        <f>C55/C56-1</f>
        <v>2.8569772160704998E-2</v>
      </c>
      <c r="U55" s="2635">
        <f>E55/E56-1</f>
        <v>5.1034908866234296E-2</v>
      </c>
      <c r="V55" s="2635">
        <f>F55/F56-1</f>
        <v>3.245248390207478E-2</v>
      </c>
      <c r="X55" s="2676"/>
      <c r="Y55" s="2676"/>
      <c r="Z55" s="2676"/>
    </row>
    <row r="56" spans="1:26" ht="13.5" thickBot="1">
      <c r="A56" s="2618" t="s">
        <v>2610</v>
      </c>
      <c r="B56" s="2645">
        <v>159</v>
      </c>
      <c r="C56" s="2645">
        <v>141</v>
      </c>
      <c r="D56" s="2645">
        <f t="shared" si="87"/>
        <v>141</v>
      </c>
      <c r="E56" s="2645">
        <v>195</v>
      </c>
      <c r="F56" s="2646">
        <v>122</v>
      </c>
      <c r="G56" s="4082">
        <v>2006</v>
      </c>
      <c r="H56" s="2637">
        <v>4</v>
      </c>
      <c r="I56" s="2637">
        <v>3.79</v>
      </c>
      <c r="J56" s="2637">
        <v>2.21</v>
      </c>
      <c r="K56" s="2637">
        <v>5.65</v>
      </c>
      <c r="L56" s="2638">
        <v>5.41</v>
      </c>
      <c r="N56" s="2674">
        <f t="shared" ref="N56:O59" si="111">I56/SUM(I$56:I$59)*(B$56/B$60-1)</f>
        <v>7.245466462748526E-2</v>
      </c>
      <c r="O56" s="2675">
        <f t="shared" si="111"/>
        <v>2.3237230038062766E-2</v>
      </c>
      <c r="P56" s="2675">
        <f t="shared" ref="P56:Q59" si="112">K56/SUM(K$56:K$59)*(E$56/E$60-1)</f>
        <v>0.16146893866323722</v>
      </c>
      <c r="Q56" s="2675">
        <f t="shared" si="112"/>
        <v>5.0755230321793784E-2</v>
      </c>
      <c r="R56" s="2628"/>
      <c r="S56" s="2629"/>
      <c r="T56" s="2630"/>
      <c r="U56" s="2630"/>
      <c r="V56" s="2630"/>
      <c r="X56" s="2676"/>
      <c r="Y56" s="2676"/>
      <c r="Z56" s="2676"/>
    </row>
    <row r="57" spans="1:26">
      <c r="A57" s="2618" t="s">
        <v>2611</v>
      </c>
      <c r="B57" s="2631">
        <f t="shared" ref="B57:C59" si="113">B58+(B$56-B$60)*I57/SUM(I$56:I$59)</f>
        <v>149.00125628140702</v>
      </c>
      <c r="C57" s="2631">
        <f t="shared" si="113"/>
        <v>137.95592286501378</v>
      </c>
      <c r="D57" s="2631">
        <f t="shared" si="87"/>
        <v>137.95592286501378</v>
      </c>
      <c r="E57" s="2631">
        <f t="shared" ref="E57:F59" si="114">E58+(E$56-E$60)*K57/SUM(K$56:K$59)</f>
        <v>169.97231450719823</v>
      </c>
      <c r="F57" s="2631">
        <f t="shared" si="114"/>
        <v>116.21390374331551</v>
      </c>
      <c r="G57" s="4083">
        <v>2006</v>
      </c>
      <c r="H57" s="2642">
        <v>3</v>
      </c>
      <c r="I57" s="2642">
        <v>0.92</v>
      </c>
      <c r="J57" s="2642">
        <v>1.08</v>
      </c>
      <c r="K57" s="2642">
        <v>0.73</v>
      </c>
      <c r="L57" s="2643">
        <v>1.08</v>
      </c>
      <c r="N57" s="2674">
        <f t="shared" si="111"/>
        <v>1.7587939698492462E-2</v>
      </c>
      <c r="O57" s="2675">
        <f t="shared" si="111"/>
        <v>1.1355750425840628E-2</v>
      </c>
      <c r="P57" s="2675">
        <f t="shared" si="112"/>
        <v>2.0862358446754544E-2</v>
      </c>
      <c r="Q57" s="2675">
        <f t="shared" si="112"/>
        <v>1.0132282578103011E-2</v>
      </c>
      <c r="R57" s="2628"/>
      <c r="S57" s="2626"/>
      <c r="T57" s="2627"/>
      <c r="U57" s="2627"/>
      <c r="V57" s="2627"/>
      <c r="X57" s="2676"/>
      <c r="Y57" s="2676"/>
      <c r="Z57" s="2676"/>
    </row>
    <row r="58" spans="1:26">
      <c r="A58" s="2618" t="s">
        <v>2612</v>
      </c>
      <c r="B58" s="2631">
        <f t="shared" si="113"/>
        <v>146.57412060301507</v>
      </c>
      <c r="C58" s="2631">
        <f t="shared" si="113"/>
        <v>136.46831955922866</v>
      </c>
      <c r="D58" s="2631">
        <f t="shared" si="87"/>
        <v>136.46831955922866</v>
      </c>
      <c r="E58" s="2631">
        <f t="shared" si="114"/>
        <v>166.73864894795128</v>
      </c>
      <c r="F58" s="2631">
        <f t="shared" si="114"/>
        <v>115.05882352941177</v>
      </c>
      <c r="G58" s="4083">
        <v>2006</v>
      </c>
      <c r="H58" s="2622">
        <v>2</v>
      </c>
      <c r="I58" s="2622">
        <v>0.96</v>
      </c>
      <c r="J58" s="2622">
        <v>0.25</v>
      </c>
      <c r="K58" s="2622">
        <v>1.9</v>
      </c>
      <c r="L58" s="2633">
        <v>0.95</v>
      </c>
      <c r="N58" s="2674">
        <f t="shared" si="111"/>
        <v>1.8352632728861701E-2</v>
      </c>
      <c r="O58" s="2675">
        <f t="shared" si="111"/>
        <v>2.6286459319075526E-3</v>
      </c>
      <c r="P58" s="2675">
        <f t="shared" si="112"/>
        <v>5.4299289107991269E-2</v>
      </c>
      <c r="Q58" s="2675">
        <f t="shared" si="112"/>
        <v>8.9126559714794995E-3</v>
      </c>
      <c r="R58" s="2628"/>
      <c r="S58" s="2626"/>
      <c r="T58" s="2627"/>
      <c r="U58" s="2627"/>
      <c r="V58" s="2627"/>
      <c r="X58" s="2676"/>
      <c r="Y58" s="2676"/>
      <c r="Z58" s="2676"/>
    </row>
    <row r="59" spans="1:26">
      <c r="A59" s="2618" t="s">
        <v>2613</v>
      </c>
      <c r="B59" s="2631">
        <f t="shared" si="113"/>
        <v>144.04145728643215</v>
      </c>
      <c r="C59" s="2631">
        <f t="shared" si="113"/>
        <v>136.12396694214877</v>
      </c>
      <c r="D59" s="2631">
        <f t="shared" si="87"/>
        <v>136.12396694214877</v>
      </c>
      <c r="E59" s="2631">
        <f t="shared" si="114"/>
        <v>158.32225913621264</v>
      </c>
      <c r="F59" s="2631">
        <f t="shared" si="114"/>
        <v>114.04278074866311</v>
      </c>
      <c r="G59" s="4084">
        <v>2006</v>
      </c>
      <c r="H59" s="2621">
        <v>1</v>
      </c>
      <c r="I59" s="2621">
        <v>2.29</v>
      </c>
      <c r="J59" s="2621">
        <v>3.72</v>
      </c>
      <c r="K59" s="2621">
        <v>0.75</v>
      </c>
      <c r="L59" s="2632">
        <v>0.04</v>
      </c>
      <c r="N59" s="2677">
        <f t="shared" si="111"/>
        <v>4.3778675988638847E-2</v>
      </c>
      <c r="O59" s="2678">
        <f t="shared" si="111"/>
        <v>3.9114251466784385E-2</v>
      </c>
      <c r="P59" s="2678">
        <f t="shared" si="112"/>
        <v>2.1433929911049188E-2</v>
      </c>
      <c r="Q59" s="2678">
        <f t="shared" si="112"/>
        <v>3.7526972511492629E-4</v>
      </c>
      <c r="R59" s="2628"/>
      <c r="S59" s="2634">
        <f>B59/B60-1</f>
        <v>4.3778675988638716E-2</v>
      </c>
      <c r="T59" s="2635">
        <f>C59/C60-1</f>
        <v>3.91142514667846E-2</v>
      </c>
      <c r="U59" s="2635">
        <f>E59/E60-1</f>
        <v>2.143392991104931E-2</v>
      </c>
      <c r="V59" s="2635">
        <f>F59/F60-1</f>
        <v>3.7526972511492396E-4</v>
      </c>
      <c r="X59" s="2676"/>
      <c r="Y59" s="2676"/>
      <c r="Z59" s="2676"/>
    </row>
    <row r="60" spans="1:26" ht="13.5" thickBot="1">
      <c r="A60" s="2618" t="s">
        <v>2614</v>
      </c>
      <c r="B60" s="2645">
        <v>138</v>
      </c>
      <c r="C60" s="2645">
        <v>131</v>
      </c>
      <c r="D60" s="2645">
        <f t="shared" si="87"/>
        <v>131</v>
      </c>
      <c r="E60" s="2645">
        <v>155</v>
      </c>
      <c r="F60" s="2646">
        <v>114</v>
      </c>
      <c r="G60" s="4082">
        <v>2005</v>
      </c>
      <c r="H60" s="2637">
        <v>4</v>
      </c>
      <c r="I60" s="2637">
        <v>3.29</v>
      </c>
      <c r="J60" s="2637">
        <v>1.44</v>
      </c>
      <c r="K60" s="2637">
        <v>0.66</v>
      </c>
      <c r="L60" s="2638">
        <v>7.78</v>
      </c>
      <c r="N60" s="2674">
        <f t="shared" ref="N60:O63" si="115">I60/SUM(I$60:I$63)*(B$60/B$64-1)</f>
        <v>9.9404603216919935E-2</v>
      </c>
      <c r="O60" s="2675">
        <f t="shared" si="115"/>
        <v>4.7636550760861554E-2</v>
      </c>
      <c r="P60" s="2675">
        <f t="shared" ref="P60:Q63" si="116">K60/SUM(K$60:K$63)*(E$60/E$64-1)</f>
        <v>8.3756345177664976E-2</v>
      </c>
      <c r="Q60" s="2675">
        <f t="shared" si="116"/>
        <v>5.2148766661559584E-2</v>
      </c>
      <c r="R60" s="2628"/>
      <c r="S60" s="2629"/>
      <c r="T60" s="2630"/>
      <c r="U60" s="2630"/>
      <c r="V60" s="2630"/>
      <c r="X60" s="2676"/>
      <c r="Y60" s="2676"/>
      <c r="Z60" s="2676"/>
    </row>
    <row r="61" spans="1:26">
      <c r="A61" s="2618" t="s">
        <v>2615</v>
      </c>
      <c r="B61" s="2631">
        <f t="shared" ref="B61:C63" si="117">B62+(B$60-B$64)*I61/SUM(I$60:I$63)</f>
        <v>125.9720430107527</v>
      </c>
      <c r="C61" s="2631">
        <f t="shared" si="117"/>
        <v>125.1883408071749</v>
      </c>
      <c r="D61" s="2631">
        <f t="shared" si="87"/>
        <v>125.1883408071749</v>
      </c>
      <c r="E61" s="2631">
        <f t="shared" ref="E61:F63" si="118">E62+(E$60-E$64)*K61/SUM(K$60:K$63)</f>
        <v>144.61421319796952</v>
      </c>
      <c r="F61" s="2631">
        <f t="shared" si="118"/>
        <v>108.42008196721311</v>
      </c>
      <c r="G61" s="4083">
        <v>2005</v>
      </c>
      <c r="H61" s="2642">
        <v>3</v>
      </c>
      <c r="I61" s="2642">
        <v>0.46</v>
      </c>
      <c r="J61" s="2642">
        <v>0.32</v>
      </c>
      <c r="K61" s="2642">
        <v>0.42</v>
      </c>
      <c r="L61" s="2643">
        <v>0.64</v>
      </c>
      <c r="N61" s="2674">
        <f t="shared" si="115"/>
        <v>1.3898515951301874E-2</v>
      </c>
      <c r="O61" s="2675">
        <f t="shared" si="115"/>
        <v>1.0585900169080346E-2</v>
      </c>
      <c r="P61" s="2675">
        <f t="shared" si="116"/>
        <v>5.3299492385786795E-2</v>
      </c>
      <c r="Q61" s="2675">
        <f t="shared" si="116"/>
        <v>4.2898728359123568E-3</v>
      </c>
      <c r="R61" s="2628"/>
      <c r="S61" s="2626"/>
      <c r="T61" s="2627"/>
      <c r="U61" s="2627"/>
      <c r="V61" s="2627"/>
      <c r="X61" s="2676"/>
      <c r="Y61" s="2676"/>
      <c r="Z61" s="2676"/>
    </row>
    <row r="62" spans="1:26">
      <c r="A62" s="2618" t="s">
        <v>2616</v>
      </c>
      <c r="B62" s="2631">
        <f t="shared" si="117"/>
        <v>124.29032258064517</v>
      </c>
      <c r="C62" s="2631">
        <f t="shared" si="117"/>
        <v>123.8968609865471</v>
      </c>
      <c r="D62" s="2631">
        <f t="shared" si="87"/>
        <v>123.8968609865471</v>
      </c>
      <c r="E62" s="2631">
        <f t="shared" si="118"/>
        <v>138.00507614213197</v>
      </c>
      <c r="F62" s="2631">
        <f t="shared" si="118"/>
        <v>107.96106557377048</v>
      </c>
      <c r="G62" s="4083">
        <v>2005</v>
      </c>
      <c r="H62" s="2622">
        <v>2</v>
      </c>
      <c r="I62" s="2622">
        <v>0.47</v>
      </c>
      <c r="J62" s="2622">
        <v>0.1</v>
      </c>
      <c r="K62" s="2622">
        <v>0.52</v>
      </c>
      <c r="L62" s="2633">
        <v>0.79</v>
      </c>
      <c r="N62" s="2674">
        <f t="shared" si="115"/>
        <v>1.420065760241713E-2</v>
      </c>
      <c r="O62" s="2675">
        <f t="shared" si="115"/>
        <v>3.3080938028376083E-3</v>
      </c>
      <c r="P62" s="2675">
        <f t="shared" si="116"/>
        <v>6.598984771573603E-2</v>
      </c>
      <c r="Q62" s="2675">
        <f t="shared" si="116"/>
        <v>5.2953117818293153E-3</v>
      </c>
      <c r="R62" s="2628"/>
      <c r="S62" s="2626"/>
      <c r="T62" s="2627"/>
      <c r="U62" s="2627"/>
      <c r="V62" s="2627"/>
      <c r="X62" s="2676"/>
      <c r="Y62" s="2676"/>
      <c r="Z62" s="2676"/>
    </row>
    <row r="63" spans="1:26">
      <c r="A63" s="2618" t="s">
        <v>2617</v>
      </c>
      <c r="B63" s="2631">
        <f t="shared" si="117"/>
        <v>122.57204301075269</v>
      </c>
      <c r="C63" s="2631">
        <f t="shared" si="117"/>
        <v>123.4932735426009</v>
      </c>
      <c r="D63" s="2631">
        <f t="shared" si="87"/>
        <v>123.4932735426009</v>
      </c>
      <c r="E63" s="2631">
        <f t="shared" si="118"/>
        <v>129.82233502538071</v>
      </c>
      <c r="F63" s="2631">
        <f t="shared" si="118"/>
        <v>107.39446721311475</v>
      </c>
      <c r="G63" s="4084">
        <v>2005</v>
      </c>
      <c r="H63" s="2621">
        <v>1</v>
      </c>
      <c r="I63" s="2621">
        <v>0.43</v>
      </c>
      <c r="J63" s="2621">
        <v>0.37</v>
      </c>
      <c r="K63" s="2621">
        <v>0.37</v>
      </c>
      <c r="L63" s="2632">
        <v>0.55000000000000004</v>
      </c>
      <c r="N63" s="2677">
        <f t="shared" si="115"/>
        <v>1.2992090997956099E-2</v>
      </c>
      <c r="O63" s="2678">
        <f t="shared" si="115"/>
        <v>1.2239947070499151E-2</v>
      </c>
      <c r="P63" s="2678">
        <f t="shared" si="116"/>
        <v>4.6954314720812178E-2</v>
      </c>
      <c r="Q63" s="2678">
        <f t="shared" si="116"/>
        <v>3.6866094683621815E-3</v>
      </c>
      <c r="R63" s="2628"/>
      <c r="S63" s="2634">
        <f>B63/B64-1</f>
        <v>1.2992090997956174E-2</v>
      </c>
      <c r="T63" s="2635">
        <f>C63/C64-1</f>
        <v>1.2239947070499246E-2</v>
      </c>
      <c r="U63" s="2635">
        <f>E63/E64-1</f>
        <v>4.695431472081224E-2</v>
      </c>
      <c r="V63" s="2635">
        <f>F63/F64-1</f>
        <v>3.6866094683620787E-3</v>
      </c>
      <c r="X63" s="2676"/>
      <c r="Y63" s="2676"/>
      <c r="Z63" s="2676"/>
    </row>
    <row r="64" spans="1:26" ht="13.5" thickBot="1">
      <c r="A64" s="2618" t="s">
        <v>2618</v>
      </c>
      <c r="B64" s="2661">
        <v>121</v>
      </c>
      <c r="C64" s="2661">
        <v>122</v>
      </c>
      <c r="D64" s="2661">
        <f t="shared" si="87"/>
        <v>122</v>
      </c>
      <c r="E64" s="2661">
        <v>124</v>
      </c>
      <c r="F64" s="2662">
        <v>107</v>
      </c>
      <c r="G64" s="4082">
        <v>2004</v>
      </c>
      <c r="H64" s="2637">
        <v>4</v>
      </c>
      <c r="I64" s="2637">
        <v>0.33</v>
      </c>
      <c r="J64" s="2637">
        <v>0.5</v>
      </c>
      <c r="K64" s="2637">
        <v>0.5</v>
      </c>
      <c r="L64" s="2638">
        <v>0</v>
      </c>
      <c r="N64" s="2674">
        <f t="shared" ref="N64:O67" si="119">I64/SUM(I$64:I$67)*(B$64/B$68-1)</f>
        <v>1.3391770148526898E-2</v>
      </c>
      <c r="O64" s="2675">
        <f t="shared" si="119"/>
        <v>1.063264221158958E-2</v>
      </c>
      <c r="P64" s="2675">
        <f t="shared" ref="P64:Q67" si="120">K64/SUM(K$64:K$67)*(E$64/E$68-1)</f>
        <v>2.2244466688911134E-2</v>
      </c>
      <c r="Q64" s="2675">
        <f t="shared" si="120"/>
        <v>0</v>
      </c>
      <c r="R64" s="2628"/>
      <c r="S64" s="2629"/>
      <c r="T64" s="2630"/>
      <c r="U64" s="2630"/>
      <c r="V64" s="2630"/>
      <c r="X64" s="2676"/>
      <c r="Y64" s="2676"/>
      <c r="Z64" s="2676"/>
    </row>
    <row r="65" spans="1:26">
      <c r="A65" s="2618" t="s">
        <v>2619</v>
      </c>
      <c r="B65" s="2631">
        <f t="shared" ref="B65:C67" si="121">B66+(B$64-B$68)*I65/SUM(I$64:I$67)</f>
        <v>119.51351351351352</v>
      </c>
      <c r="C65" s="2631">
        <f t="shared" si="121"/>
        <v>120.7878787878788</v>
      </c>
      <c r="D65" s="2631">
        <f t="shared" si="87"/>
        <v>120.7878787878788</v>
      </c>
      <c r="E65" s="2631">
        <f t="shared" ref="E65:F67" si="122">E66+(E$64-E$68)*K65/SUM(K$64:K$67)</f>
        <v>121.5975975975976</v>
      </c>
      <c r="F65" s="2631">
        <f t="shared" si="122"/>
        <v>107</v>
      </c>
      <c r="G65" s="4083">
        <v>2004</v>
      </c>
      <c r="H65" s="2642">
        <v>3</v>
      </c>
      <c r="I65" s="2642">
        <v>0.56000000000000005</v>
      </c>
      <c r="J65" s="2642">
        <v>0.8</v>
      </c>
      <c r="K65" s="2642">
        <v>0.83</v>
      </c>
      <c r="L65" s="2643">
        <v>0.06</v>
      </c>
      <c r="N65" s="2674">
        <f t="shared" si="119"/>
        <v>2.2725428130833527E-2</v>
      </c>
      <c r="O65" s="2675">
        <f t="shared" si="119"/>
        <v>1.7012227538543329E-2</v>
      </c>
      <c r="P65" s="2675">
        <f t="shared" si="120"/>
        <v>3.6925814703592477E-2</v>
      </c>
      <c r="Q65" s="2675">
        <f t="shared" si="120"/>
        <v>2.8846153846153744E-2</v>
      </c>
      <c r="R65" s="2628"/>
      <c r="S65" s="2626"/>
      <c r="T65" s="2627"/>
      <c r="U65" s="2627"/>
      <c r="V65" s="2627"/>
      <c r="X65" s="2676"/>
      <c r="Y65" s="2676"/>
      <c r="Z65" s="2676"/>
    </row>
    <row r="66" spans="1:26">
      <c r="A66" s="2618" t="s">
        <v>2620</v>
      </c>
      <c r="B66" s="2631">
        <f t="shared" si="121"/>
        <v>116.99099099099099</v>
      </c>
      <c r="C66" s="2631">
        <f t="shared" si="121"/>
        <v>118.84848484848486</v>
      </c>
      <c r="D66" s="2631">
        <f t="shared" si="87"/>
        <v>118.84848484848486</v>
      </c>
      <c r="E66" s="2631">
        <f t="shared" si="122"/>
        <v>117.60960960960961</v>
      </c>
      <c r="F66" s="2631">
        <f t="shared" si="122"/>
        <v>104</v>
      </c>
      <c r="G66" s="4083">
        <v>2004</v>
      </c>
      <c r="H66" s="2622">
        <v>2</v>
      </c>
      <c r="I66" s="2622">
        <v>1</v>
      </c>
      <c r="J66" s="2622">
        <v>1.5</v>
      </c>
      <c r="K66" s="2622">
        <v>1.5</v>
      </c>
      <c r="L66" s="2633">
        <v>0</v>
      </c>
      <c r="N66" s="2674">
        <f t="shared" si="119"/>
        <v>4.0581121662202721E-2</v>
      </c>
      <c r="O66" s="2675">
        <f t="shared" si="119"/>
        <v>3.1897926634768738E-2</v>
      </c>
      <c r="P66" s="2675">
        <f t="shared" si="120"/>
        <v>6.6733400066733395E-2</v>
      </c>
      <c r="Q66" s="2675">
        <f t="shared" si="120"/>
        <v>0</v>
      </c>
      <c r="R66" s="2628"/>
      <c r="S66" s="2626"/>
      <c r="T66" s="2627"/>
      <c r="U66" s="2627"/>
      <c r="V66" s="2627"/>
      <c r="X66" s="2676"/>
      <c r="Y66" s="2676"/>
      <c r="Z66" s="2676"/>
    </row>
    <row r="67" spans="1:26" s="2667" customFormat="1" ht="13.5" thickBot="1">
      <c r="A67" s="2618" t="s">
        <v>2621</v>
      </c>
      <c r="B67" s="2664">
        <f t="shared" si="121"/>
        <v>112.48648648648648</v>
      </c>
      <c r="C67" s="2664">
        <f t="shared" si="121"/>
        <v>115.21212121212122</v>
      </c>
      <c r="D67" s="2664">
        <f t="shared" si="87"/>
        <v>115.21212121212122</v>
      </c>
      <c r="E67" s="2664">
        <f t="shared" si="122"/>
        <v>110.4024024024024</v>
      </c>
      <c r="F67" s="2664">
        <f t="shared" si="122"/>
        <v>104</v>
      </c>
      <c r="G67" s="4084">
        <v>2004</v>
      </c>
      <c r="H67" s="2665">
        <v>1</v>
      </c>
      <c r="I67" s="2665">
        <v>0.33</v>
      </c>
      <c r="J67" s="2665">
        <v>0.5</v>
      </c>
      <c r="K67" s="2665">
        <v>0.5</v>
      </c>
      <c r="L67" s="2666">
        <v>0</v>
      </c>
      <c r="N67" s="2679">
        <f t="shared" si="119"/>
        <v>1.3391770148526898E-2</v>
      </c>
      <c r="O67" s="2680">
        <f t="shared" si="119"/>
        <v>1.063264221158958E-2</v>
      </c>
      <c r="P67" s="2680">
        <f t="shared" si="120"/>
        <v>2.2244466688911134E-2</v>
      </c>
      <c r="Q67" s="2680">
        <f t="shared" si="120"/>
        <v>0</v>
      </c>
      <c r="R67" s="2670"/>
      <c r="S67" s="2668">
        <f>B67/B68-1</f>
        <v>1.3391770148526883E-2</v>
      </c>
      <c r="T67" s="2669">
        <f>C67/C68-1</f>
        <v>1.063264221158966E-2</v>
      </c>
      <c r="U67" s="2669">
        <f>E67/E68-1</f>
        <v>2.2244466688911224E-2</v>
      </c>
      <c r="V67" s="2669">
        <f>F67/F68-1</f>
        <v>0</v>
      </c>
      <c r="X67" s="2681"/>
      <c r="Y67" s="2681"/>
      <c r="Z67" s="2681"/>
    </row>
    <row r="68" spans="1:26" ht="13.5" thickBot="1">
      <c r="A68" s="2618" t="s">
        <v>2622</v>
      </c>
      <c r="B68" s="2682">
        <v>111</v>
      </c>
      <c r="C68" s="2682">
        <v>114</v>
      </c>
      <c r="D68" s="2682">
        <f t="shared" si="87"/>
        <v>114</v>
      </c>
      <c r="E68" s="2682">
        <v>108</v>
      </c>
      <c r="F68" s="2683">
        <v>104</v>
      </c>
      <c r="G68" s="4082">
        <v>2003</v>
      </c>
      <c r="H68" s="2672">
        <v>4</v>
      </c>
      <c r="I68" s="2684"/>
      <c r="J68" s="2684"/>
      <c r="K68" s="2684"/>
      <c r="L68" s="2684"/>
      <c r="N68" s="2685"/>
      <c r="O68" s="2684"/>
      <c r="P68" s="2684"/>
      <c r="Q68" s="2684"/>
      <c r="S68" s="2685"/>
      <c r="T68" s="2684"/>
      <c r="U68" s="2684"/>
      <c r="V68" s="2684"/>
      <c r="X68" s="2676"/>
      <c r="Y68" s="2676"/>
      <c r="Z68" s="2676"/>
    </row>
    <row r="69" spans="1:26">
      <c r="A69" s="2618" t="s">
        <v>2623</v>
      </c>
      <c r="B69" s="2686">
        <f t="shared" ref="B69:C71" si="123">B70+(B$68-B$72)/4</f>
        <v>109.75</v>
      </c>
      <c r="C69" s="2686">
        <f t="shared" si="123"/>
        <v>112.25</v>
      </c>
      <c r="D69" s="2686">
        <f t="shared" si="87"/>
        <v>112.25</v>
      </c>
      <c r="E69" s="2686">
        <f t="shared" ref="E69:F71" si="124">E70+(E$68-E$72)/4</f>
        <v>107.25</v>
      </c>
      <c r="F69" s="2686">
        <f t="shared" si="124"/>
        <v>103.5</v>
      </c>
      <c r="G69" s="4083">
        <v>2003</v>
      </c>
      <c r="H69" s="2642">
        <v>3</v>
      </c>
      <c r="I69" s="2684"/>
      <c r="J69" s="2684"/>
      <c r="K69" s="2684"/>
      <c r="L69" s="2684"/>
      <c r="X69" s="2676"/>
      <c r="Y69" s="2676"/>
      <c r="Z69" s="2676"/>
    </row>
    <row r="70" spans="1:26">
      <c r="A70" s="2618" t="s">
        <v>2624</v>
      </c>
      <c r="B70" s="2686">
        <f t="shared" si="123"/>
        <v>108.5</v>
      </c>
      <c r="C70" s="2686">
        <f t="shared" si="123"/>
        <v>110.5</v>
      </c>
      <c r="D70" s="2686">
        <f t="shared" si="87"/>
        <v>110.5</v>
      </c>
      <c r="E70" s="2686">
        <f t="shared" si="124"/>
        <v>106.5</v>
      </c>
      <c r="F70" s="2686">
        <f t="shared" si="124"/>
        <v>103</v>
      </c>
      <c r="G70" s="4083">
        <v>2003</v>
      </c>
      <c r="H70" s="2622">
        <v>2</v>
      </c>
      <c r="I70" s="2684"/>
      <c r="J70" s="2684"/>
      <c r="K70" s="2684"/>
      <c r="L70" s="2684"/>
      <c r="X70" s="2676"/>
      <c r="Y70" s="2676"/>
      <c r="Z70" s="2676"/>
    </row>
    <row r="71" spans="1:26" ht="13.5" thickBot="1">
      <c r="A71" s="2618" t="s">
        <v>2625</v>
      </c>
      <c r="B71" s="2686">
        <f t="shared" si="123"/>
        <v>107.25</v>
      </c>
      <c r="C71" s="2686">
        <f t="shared" si="123"/>
        <v>108.75</v>
      </c>
      <c r="D71" s="2686">
        <f t="shared" si="87"/>
        <v>108.75</v>
      </c>
      <c r="E71" s="2686">
        <f t="shared" si="124"/>
        <v>105.75</v>
      </c>
      <c r="F71" s="2686">
        <f t="shared" si="124"/>
        <v>102.5</v>
      </c>
      <c r="G71" s="4084">
        <v>2003</v>
      </c>
      <c r="H71" s="2687">
        <v>1</v>
      </c>
      <c r="I71" s="2684"/>
      <c r="J71" s="2684"/>
      <c r="K71" s="2684"/>
      <c r="L71" s="2684"/>
      <c r="S71" s="2626"/>
      <c r="T71" s="2627"/>
      <c r="U71" s="2627"/>
      <c r="X71" s="2676"/>
      <c r="Y71" s="2676"/>
      <c r="Z71" s="2676"/>
    </row>
    <row r="72" spans="1:26" ht="13.5" thickBot="1">
      <c r="A72" s="2618" t="s">
        <v>2626</v>
      </c>
      <c r="B72" s="2688">
        <v>106</v>
      </c>
      <c r="C72" s="2688">
        <v>107</v>
      </c>
      <c r="D72" s="2688">
        <f t="shared" si="87"/>
        <v>107</v>
      </c>
      <c r="E72" s="2688">
        <v>105</v>
      </c>
      <c r="F72" s="2689">
        <v>102</v>
      </c>
      <c r="G72" s="4082">
        <v>2002</v>
      </c>
      <c r="H72" s="2637">
        <v>4</v>
      </c>
      <c r="I72" s="2684"/>
      <c r="J72" s="2684"/>
      <c r="K72" s="2684"/>
      <c r="L72" s="2684"/>
      <c r="N72" s="2685"/>
      <c r="O72" s="2684"/>
      <c r="P72" s="2684"/>
      <c r="Q72" s="2684"/>
      <c r="S72" s="2685"/>
      <c r="T72" s="2684"/>
      <c r="U72" s="2684"/>
      <c r="V72" s="2684"/>
      <c r="X72" s="2676"/>
      <c r="Y72" s="2676"/>
      <c r="Z72" s="2676"/>
    </row>
    <row r="73" spans="1:26">
      <c r="A73" s="2618" t="s">
        <v>2627</v>
      </c>
      <c r="B73" s="2686">
        <f t="shared" ref="B73:C75" si="125">B74+(B$72-B$76)/4</f>
        <v>105</v>
      </c>
      <c r="C73" s="2686">
        <f t="shared" si="125"/>
        <v>106</v>
      </c>
      <c r="D73" s="2686">
        <f t="shared" si="87"/>
        <v>106</v>
      </c>
      <c r="E73" s="2686">
        <f t="shared" ref="E73:F75" si="126">E74+(E$72-E$76)/4</f>
        <v>104.5</v>
      </c>
      <c r="F73" s="2686">
        <f t="shared" si="126"/>
        <v>101.5</v>
      </c>
      <c r="G73" s="4083">
        <v>2002</v>
      </c>
      <c r="H73" s="2642">
        <v>3</v>
      </c>
      <c r="I73" s="2684"/>
      <c r="J73" s="2684"/>
      <c r="K73" s="2684"/>
      <c r="L73" s="2684"/>
      <c r="X73" s="2676"/>
      <c r="Y73" s="2676"/>
      <c r="Z73" s="2676"/>
    </row>
    <row r="74" spans="1:26">
      <c r="A74" s="2618" t="s">
        <v>2628</v>
      </c>
      <c r="B74" s="2686">
        <f t="shared" si="125"/>
        <v>104</v>
      </c>
      <c r="C74" s="2686">
        <f t="shared" si="125"/>
        <v>105</v>
      </c>
      <c r="D74" s="2686">
        <f t="shared" si="87"/>
        <v>105</v>
      </c>
      <c r="E74" s="2686">
        <f t="shared" si="126"/>
        <v>104</v>
      </c>
      <c r="F74" s="2686">
        <f t="shared" si="126"/>
        <v>101</v>
      </c>
      <c r="G74" s="4083">
        <v>2002</v>
      </c>
      <c r="H74" s="2622">
        <v>2</v>
      </c>
      <c r="I74" s="2684"/>
      <c r="J74" s="2684"/>
      <c r="K74" s="2684"/>
      <c r="L74" s="2684"/>
      <c r="X74" s="2676"/>
      <c r="Y74" s="2676"/>
      <c r="Z74" s="2676"/>
    </row>
    <row r="75" spans="1:26" s="2653" customFormat="1" ht="13.5" thickBot="1">
      <c r="A75" s="2649" t="s">
        <v>2629</v>
      </c>
      <c r="B75" s="2690">
        <f t="shared" si="125"/>
        <v>103</v>
      </c>
      <c r="C75" s="2690">
        <f t="shared" si="125"/>
        <v>104</v>
      </c>
      <c r="D75" s="2690">
        <f t="shared" si="87"/>
        <v>104</v>
      </c>
      <c r="E75" s="2690">
        <f t="shared" si="126"/>
        <v>103.5</v>
      </c>
      <c r="F75" s="2690">
        <f t="shared" si="126"/>
        <v>100.5</v>
      </c>
      <c r="G75" s="4084">
        <v>2002</v>
      </c>
      <c r="H75" s="2691">
        <v>1</v>
      </c>
      <c r="I75" s="2692"/>
      <c r="J75" s="2692"/>
      <c r="K75" s="2692"/>
      <c r="L75" s="2692"/>
      <c r="N75" s="2693"/>
      <c r="S75" s="2693"/>
      <c r="X75" s="2694"/>
      <c r="Y75" s="2694"/>
      <c r="Z75" s="2694"/>
    </row>
    <row r="76" spans="1:26" ht="13.5" thickBot="1">
      <c r="B76" s="2695">
        <v>102</v>
      </c>
      <c r="C76" s="2696">
        <v>103</v>
      </c>
      <c r="D76" s="2696">
        <f t="shared" si="87"/>
        <v>103</v>
      </c>
      <c r="E76" s="2696">
        <v>103</v>
      </c>
      <c r="F76" s="2697">
        <v>100</v>
      </c>
      <c r="I76" s="2684"/>
      <c r="J76" s="2684"/>
      <c r="K76" s="2684"/>
      <c r="L76" s="2684"/>
      <c r="N76" s="2685"/>
      <c r="O76" s="2684"/>
      <c r="P76" s="2684"/>
      <c r="Q76" s="2684"/>
      <c r="S76" s="2685"/>
      <c r="T76" s="2684"/>
      <c r="U76" s="2684"/>
      <c r="V76" s="2684"/>
      <c r="X76" s="2630"/>
      <c r="Y76" s="2630"/>
      <c r="Z76" s="2630"/>
    </row>
    <row r="78" spans="1:26" s="2699" customFormat="1">
      <c r="A78" s="2698" t="s">
        <v>2630</v>
      </c>
      <c r="G78" s="2700"/>
      <c r="N78" s="2700"/>
      <c r="S78" s="2700"/>
    </row>
    <row r="79" spans="1:26" s="2699" customFormat="1">
      <c r="A79" s="2699" t="s">
        <v>2631</v>
      </c>
      <c r="G79" s="2700"/>
      <c r="N79" s="2700"/>
      <c r="S79" s="2700"/>
    </row>
    <row r="80" spans="1:26" s="2699" customFormat="1">
      <c r="A80" s="2699" t="s">
        <v>2632</v>
      </c>
      <c r="G80" s="2700"/>
      <c r="I80" s="2701"/>
      <c r="J80" s="2701"/>
      <c r="K80" s="2701"/>
      <c r="L80" s="2701"/>
      <c r="N80" s="2702"/>
      <c r="O80" s="2701"/>
      <c r="P80" s="2701"/>
      <c r="Q80" s="2701"/>
      <c r="S80" s="2702"/>
      <c r="T80" s="2701"/>
      <c r="U80" s="2701"/>
      <c r="V80" s="2701"/>
    </row>
    <row r="81" spans="1:22" s="2699" customFormat="1">
      <c r="A81" s="2699" t="s">
        <v>2633</v>
      </c>
      <c r="G81" s="2700"/>
      <c r="N81" s="2700"/>
      <c r="S81" s="2700"/>
    </row>
    <row r="88" spans="1:22" ht="13.5" thickBot="1"/>
    <row r="89" spans="1:22">
      <c r="G89" s="2625"/>
      <c r="S89" s="2703" t="s">
        <v>2634</v>
      </c>
      <c r="T89" s="2704" t="s">
        <v>2635</v>
      </c>
      <c r="U89" s="2704" t="s">
        <v>2636</v>
      </c>
      <c r="V89" s="2704" t="s">
        <v>2637</v>
      </c>
    </row>
    <row r="90" spans="1:22">
      <c r="G90" s="2625"/>
      <c r="N90" s="2629"/>
      <c r="O90" s="2630"/>
      <c r="P90" s="2630"/>
      <c r="Q90" s="2630"/>
      <c r="S90" s="2705">
        <v>2006</v>
      </c>
      <c r="T90" s="2706">
        <v>15.1</v>
      </c>
      <c r="U90" s="2706">
        <v>7.43</v>
      </c>
      <c r="V90" s="2706">
        <v>26.26</v>
      </c>
    </row>
    <row r="91" spans="1:22">
      <c r="G91" s="2625"/>
      <c r="N91" s="2629"/>
      <c r="O91" s="2630"/>
      <c r="P91" s="2630"/>
      <c r="Q91" s="2630"/>
      <c r="S91" s="2708">
        <v>2005</v>
      </c>
      <c r="T91" s="2707">
        <v>13.9</v>
      </c>
      <c r="U91" s="2707">
        <v>7.49</v>
      </c>
      <c r="V91" s="2707">
        <v>24.92</v>
      </c>
    </row>
    <row r="92" spans="1:22">
      <c r="G92" s="2625"/>
      <c r="N92" s="2629"/>
      <c r="O92" s="2630"/>
      <c r="P92" s="2630"/>
      <c r="Q92" s="2630"/>
      <c r="S92" s="2705">
        <v>2004</v>
      </c>
      <c r="T92" s="2706">
        <v>9.48</v>
      </c>
      <c r="U92" s="2706">
        <v>7.2</v>
      </c>
      <c r="V92" s="2706">
        <v>14.68</v>
      </c>
    </row>
    <row r="93" spans="1:22">
      <c r="G93" s="2625"/>
      <c r="N93" s="2629"/>
      <c r="O93" s="2630"/>
      <c r="P93" s="2630"/>
      <c r="Q93" s="2630"/>
      <c r="S93" s="2708">
        <v>2003</v>
      </c>
      <c r="T93" s="2707">
        <v>4.5</v>
      </c>
      <c r="U93" s="2707">
        <v>6.12</v>
      </c>
      <c r="V93" s="2707">
        <v>2.34</v>
      </c>
    </row>
    <row r="94" spans="1:22" ht="13.5" thickBot="1">
      <c r="G94" s="2625"/>
      <c r="N94" s="2629"/>
      <c r="O94" s="2630"/>
      <c r="P94" s="2630"/>
      <c r="Q94" s="2630"/>
      <c r="S94" s="2709">
        <v>2002</v>
      </c>
      <c r="T94" s="2710">
        <v>3.59</v>
      </c>
      <c r="U94" s="2710">
        <v>4.54</v>
      </c>
      <c r="V94" s="2710">
        <v>2.5499999999999998</v>
      </c>
    </row>
    <row r="95" spans="1:22">
      <c r="G95" s="2625"/>
      <c r="N95" s="2629"/>
      <c r="O95" s="2630"/>
      <c r="P95" s="2630"/>
      <c r="Q95" s="2630"/>
    </row>
    <row r="96" spans="1: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row r="110" spans="7:19">
      <c r="G110" s="2625"/>
      <c r="N110" s="2629"/>
      <c r="O110" s="2630"/>
      <c r="P110" s="2630"/>
      <c r="Q110" s="2630"/>
      <c r="S110" s="2625"/>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1" t="s">
        <v>2945</v>
      </c>
      <c r="B1" s="3053"/>
      <c r="C1" s="3053"/>
      <c r="D1" s="3053"/>
      <c r="E1" s="3053"/>
      <c r="F1" s="3053"/>
    </row>
    <row r="2" spans="1:6" ht="14.25">
      <c r="A2" s="3054" t="s">
        <v>2940</v>
      </c>
      <c r="B2" s="3055" t="e">
        <f ca="1">SUMIF(B7:B14,"&lt;&gt;#ref!",B7:B14)</f>
        <v>#DIV/0!</v>
      </c>
      <c r="C2" s="3054" t="s">
        <v>2941</v>
      </c>
      <c r="D2" s="3053"/>
      <c r="E2" s="3053"/>
      <c r="F2" s="3053"/>
    </row>
    <row r="3" spans="1:6" ht="14.25">
      <c r="A3" s="3054" t="s">
        <v>2973</v>
      </c>
      <c r="B3" s="3055" t="e">
        <f ca="1">ROUND(B2*10000/E3,0)</f>
        <v>#DIV/0!</v>
      </c>
      <c r="C3" s="3054" t="s">
        <v>2078</v>
      </c>
      <c r="D3" s="3054" t="s">
        <v>2942</v>
      </c>
      <c r="E3" s="3055">
        <f ca="1">SUMIF(E7:E14,"&lt;&gt;#ref!",E7:E14)</f>
        <v>0</v>
      </c>
      <c r="F3" s="3053"/>
    </row>
    <row r="4" spans="1:6" ht="14.25">
      <c r="A4" s="3054" t="s">
        <v>2949</v>
      </c>
      <c r="B4" s="3055" t="e">
        <f ca="1">ROUND(B2*10000/E4,0)</f>
        <v>#DIV/0!</v>
      </c>
      <c r="C4" s="3054" t="s">
        <v>2078</v>
      </c>
      <c r="D4" s="3054" t="s">
        <v>2950</v>
      </c>
      <c r="E4" s="3055">
        <f ca="1">SUMIF(F7:F14,"&lt;&gt;#ref!",F7:F14)</f>
        <v>0</v>
      </c>
      <c r="F4" s="3053"/>
    </row>
    <row r="5" spans="1:6" ht="14.25">
      <c r="A5" s="3056"/>
      <c r="B5" s="1865"/>
      <c r="C5" s="1865"/>
      <c r="D5" s="1865"/>
      <c r="E5" s="1865"/>
      <c r="F5" s="3053"/>
    </row>
    <row r="6" spans="1:6" ht="28.5">
      <c r="A6" s="3057" t="s">
        <v>2946</v>
      </c>
      <c r="B6" s="3054" t="s">
        <v>2943</v>
      </c>
      <c r="C6" s="3055"/>
      <c r="D6" s="1865"/>
      <c r="E6" s="3054" t="s">
        <v>2944</v>
      </c>
      <c r="F6" s="3054" t="s">
        <v>2948</v>
      </c>
    </row>
    <row r="7" spans="1:6" ht="14.25">
      <c r="A7" s="259" t="s">
        <v>2947</v>
      </c>
      <c r="B7" s="3058" t="e">
        <f ca="1">SUMIF(INDIRECT("'"&amp;A7&amp;"'"&amp;"!A:A"),"总价",INDIRECT("'"&amp;A7&amp;"'"&amp;"!B:B"))</f>
        <v>#DIV/0!</v>
      </c>
      <c r="C7" s="3054" t="s">
        <v>2941</v>
      </c>
      <c r="D7" s="1865"/>
      <c r="E7" s="3059">
        <f ca="1">SUMIF(INDIRECT("'"&amp;A7&amp;"'"&amp;"!C:C"),"建筑面积",INDIRECT("'"&amp;A7&amp;"'"&amp;"!D:D"))</f>
        <v>0</v>
      </c>
      <c r="F7" s="3059">
        <f ca="1">SUMIF(INDIRECT("'"&amp;A7&amp;"'"&amp;"!E:E"),"土地面积",INDIRECT("'"&amp;A7&amp;"'"&amp;"!F:F"))</f>
        <v>0</v>
      </c>
    </row>
    <row r="8" spans="1:6" ht="14.25">
      <c r="A8" s="259"/>
      <c r="B8" s="3058" t="e">
        <f t="shared" ref="B8:B14" ca="1" si="0">SUMIF(INDIRECT("'"&amp;A8&amp;"'"&amp;"!A:A"),"总价",INDIRECT("'"&amp;A8&amp;"'"&amp;"!B:B"))</f>
        <v>#REF!</v>
      </c>
      <c r="C8" s="3054" t="s">
        <v>2941</v>
      </c>
      <c r="D8" s="1865"/>
      <c r="E8" s="3059" t="e">
        <f t="shared" ref="E8:E14" ca="1" si="1">SUMIF(INDIRECT("'"&amp;A8&amp;"'"&amp;"!C:C"),"建筑面积",INDIRECT("'"&amp;A8&amp;"'"&amp;"!D:D"))</f>
        <v>#REF!</v>
      </c>
      <c r="F8" s="3059" t="e">
        <f t="shared" ref="F8:F14" ca="1" si="2">SUMIF(INDIRECT("'"&amp;A8&amp;"'"&amp;"!E:E"),"土地面积",INDIRECT("'"&amp;A8&amp;"'"&amp;"!F:F"))</f>
        <v>#REF!</v>
      </c>
    </row>
    <row r="9" spans="1:6" ht="14.25">
      <c r="A9" s="259"/>
      <c r="B9" s="3058" t="e">
        <f t="shared" ca="1" si="0"/>
        <v>#REF!</v>
      </c>
      <c r="C9" s="3054" t="s">
        <v>2941</v>
      </c>
      <c r="D9" s="1865"/>
      <c r="E9" s="3059" t="e">
        <f t="shared" ca="1" si="1"/>
        <v>#REF!</v>
      </c>
      <c r="F9" s="3059" t="e">
        <f t="shared" ca="1" si="2"/>
        <v>#REF!</v>
      </c>
    </row>
    <row r="10" spans="1:6" ht="14.25">
      <c r="A10" s="259"/>
      <c r="B10" s="3058" t="e">
        <f t="shared" ca="1" si="0"/>
        <v>#REF!</v>
      </c>
      <c r="C10" s="3054" t="s">
        <v>2941</v>
      </c>
      <c r="D10" s="1865"/>
      <c r="E10" s="3059" t="e">
        <f t="shared" ca="1" si="1"/>
        <v>#REF!</v>
      </c>
      <c r="F10" s="3059" t="e">
        <f t="shared" ca="1" si="2"/>
        <v>#REF!</v>
      </c>
    </row>
    <row r="11" spans="1:6" ht="14.25">
      <c r="A11" s="259"/>
      <c r="B11" s="3058" t="e">
        <f t="shared" ca="1" si="0"/>
        <v>#REF!</v>
      </c>
      <c r="C11" s="3054" t="s">
        <v>2941</v>
      </c>
      <c r="D11" s="1865"/>
      <c r="E11" s="3059" t="e">
        <f t="shared" ca="1" si="1"/>
        <v>#REF!</v>
      </c>
      <c r="F11" s="3059" t="e">
        <f t="shared" ca="1" si="2"/>
        <v>#REF!</v>
      </c>
    </row>
    <row r="12" spans="1:6" ht="14.25">
      <c r="A12" s="259"/>
      <c r="B12" s="3058" t="e">
        <f t="shared" ca="1" si="0"/>
        <v>#REF!</v>
      </c>
      <c r="C12" s="3054" t="s">
        <v>2941</v>
      </c>
      <c r="D12" s="1865"/>
      <c r="E12" s="3059" t="e">
        <f t="shared" ca="1" si="1"/>
        <v>#REF!</v>
      </c>
      <c r="F12" s="3059" t="e">
        <f t="shared" ca="1" si="2"/>
        <v>#REF!</v>
      </c>
    </row>
    <row r="13" spans="1:6" ht="14.25">
      <c r="A13" s="259"/>
      <c r="B13" s="3058" t="e">
        <f t="shared" ca="1" si="0"/>
        <v>#REF!</v>
      </c>
      <c r="C13" s="3054" t="s">
        <v>2941</v>
      </c>
      <c r="D13" s="1865"/>
      <c r="E13" s="3059" t="e">
        <f t="shared" ca="1" si="1"/>
        <v>#REF!</v>
      </c>
      <c r="F13" s="3059" t="e">
        <f t="shared" ca="1" si="2"/>
        <v>#REF!</v>
      </c>
    </row>
    <row r="14" spans="1:6" ht="14.25">
      <c r="A14" s="3052"/>
      <c r="B14" s="3058" t="e">
        <f t="shared" ca="1" si="0"/>
        <v>#REF!</v>
      </c>
      <c r="C14" s="3054" t="s">
        <v>2941</v>
      </c>
      <c r="D14" s="1865"/>
      <c r="E14" s="3059" t="e">
        <f t="shared" ca="1" si="1"/>
        <v>#REF!</v>
      </c>
      <c r="F14" s="305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1" t="s">
        <v>628</v>
      </c>
      <c r="B1" s="737"/>
      <c r="C1" s="772"/>
      <c r="D1" s="2034"/>
      <c r="E1" s="2350" t="s">
        <v>2374</v>
      </c>
      <c r="F1" s="2351">
        <f ca="1">J54</f>
        <v>-2</v>
      </c>
      <c r="G1" s="773">
        <f>MATCH(C1,'数据-取费表'!A6:A16,0)+5</f>
        <v>9</v>
      </c>
      <c r="H1" s="1345"/>
      <c r="I1" s="2035"/>
      <c r="J1" s="2035"/>
      <c r="K1" s="2036"/>
      <c r="L1" s="2035"/>
      <c r="M1" s="2035"/>
      <c r="N1" s="2037"/>
      <c r="O1" s="2037"/>
      <c r="P1" s="2037"/>
      <c r="Q1" s="2037"/>
      <c r="R1" s="2037"/>
      <c r="S1" s="2037"/>
      <c r="T1" s="2037"/>
      <c r="U1" s="2037"/>
      <c r="V1" s="2037"/>
      <c r="W1" s="2037"/>
      <c r="X1" s="2037"/>
      <c r="Y1" s="2037"/>
    </row>
    <row r="2" spans="1:25" ht="18" customHeight="1">
      <c r="A2" s="1628" t="s">
        <v>629</v>
      </c>
      <c r="B2" s="774">
        <f ca="1">IF(ISERROR(C45+J31),0,C45+J31)</f>
        <v>0</v>
      </c>
      <c r="C2" s="1346"/>
      <c r="D2" s="2039"/>
      <c r="E2" s="2040"/>
      <c r="F2" s="2040"/>
      <c r="G2" s="1575"/>
      <c r="H2" s="1358"/>
      <c r="I2" s="2041"/>
      <c r="J2" s="2041"/>
      <c r="K2" s="2042"/>
      <c r="L2" s="2041"/>
      <c r="M2" s="2041"/>
    </row>
    <row r="3" spans="1:25" ht="18" customHeight="1">
      <c r="A3" s="1629" t="s">
        <v>1686</v>
      </c>
      <c r="B3" s="1386">
        <f ca="1">ROUND(B2*10000/'数据-汇总表'!E3,0)</f>
        <v>0</v>
      </c>
      <c r="C3" s="1346"/>
      <c r="D3" s="2039"/>
      <c r="E3" s="2040"/>
      <c r="F3" s="2040"/>
      <c r="G3" s="1575"/>
      <c r="H3" s="775" t="s">
        <v>695</v>
      </c>
      <c r="I3" s="2041"/>
      <c r="J3" s="2041"/>
      <c r="K3" s="2042"/>
      <c r="L3" s="2041"/>
      <c r="M3" s="2041"/>
    </row>
    <row r="4" spans="1:25" ht="18" customHeight="1">
      <c r="A4" s="1630" t="s">
        <v>696</v>
      </c>
      <c r="B4" s="1347">
        <f ca="1">ROUND(B2*10000/'数据-汇总表'!D3,0)</f>
        <v>0</v>
      </c>
      <c r="C4" s="427"/>
      <c r="D4" s="2039"/>
      <c r="E4" s="2040"/>
      <c r="F4" s="2040"/>
      <c r="G4" s="1575"/>
      <c r="H4" s="775"/>
      <c r="I4" s="2041"/>
      <c r="J4" s="2041"/>
      <c r="K4" s="2042"/>
      <c r="L4" s="2041"/>
      <c r="M4" s="2041"/>
    </row>
    <row r="5" spans="1:25" ht="18" customHeight="1" thickBot="1">
      <c r="A5" s="1631"/>
      <c r="B5" s="429">
        <f ca="1">ROUND(B2/('数据-汇总表'!D3/666.67),0)</f>
        <v>0</v>
      </c>
      <c r="C5" s="430" t="s">
        <v>697</v>
      </c>
      <c r="D5" s="2039"/>
      <c r="E5" s="2040"/>
      <c r="F5" s="2040"/>
      <c r="G5" s="1575"/>
      <c r="H5" s="775"/>
      <c r="I5" s="2041"/>
      <c r="J5" s="2041"/>
      <c r="K5" s="2042"/>
      <c r="L5" s="2041"/>
      <c r="M5" s="2041"/>
    </row>
    <row r="6" spans="1:25" ht="18" customHeight="1">
      <c r="A6" s="1812" t="s">
        <v>698</v>
      </c>
      <c r="B6" s="1804" t="s">
        <v>699</v>
      </c>
      <c r="C6" s="1804" t="s">
        <v>632</v>
      </c>
      <c r="D6" s="1804" t="s">
        <v>633</v>
      </c>
      <c r="E6" s="778" t="s">
        <v>634</v>
      </c>
      <c r="F6" s="779"/>
      <c r="G6" s="1577"/>
      <c r="H6" s="1812" t="s">
        <v>630</v>
      </c>
      <c r="I6" s="1804" t="s">
        <v>631</v>
      </c>
      <c r="J6" s="1804" t="s">
        <v>632</v>
      </c>
      <c r="K6" s="1804" t="s">
        <v>633</v>
      </c>
      <c r="L6" s="778" t="s">
        <v>634</v>
      </c>
      <c r="M6" s="779"/>
    </row>
    <row r="7" spans="1:25" ht="18" customHeight="1">
      <c r="A7" s="780">
        <v>1</v>
      </c>
      <c r="B7" s="781" t="s">
        <v>2457</v>
      </c>
      <c r="C7" s="53">
        <f ca="1">C8+C12+C14</f>
        <v>0</v>
      </c>
      <c r="D7" s="2459" t="s">
        <v>2460</v>
      </c>
      <c r="E7" s="2453"/>
      <c r="F7" s="2454"/>
      <c r="G7" s="1577"/>
      <c r="H7" s="780">
        <v>1</v>
      </c>
      <c r="I7" s="781" t="s">
        <v>2457</v>
      </c>
      <c r="J7" s="53">
        <f ca="1">J8+J12+J14</f>
        <v>0</v>
      </c>
      <c r="K7" s="2459" t="s">
        <v>2460</v>
      </c>
      <c r="L7" s="2453"/>
      <c r="M7" s="2454"/>
    </row>
    <row r="8" spans="1:25" ht="18" customHeight="1">
      <c r="A8" s="1814" t="s">
        <v>1824</v>
      </c>
      <c r="B8" s="4091" t="s">
        <v>2462</v>
      </c>
      <c r="C8" s="1809">
        <f ca="1">ROUND(F8*F10*F9*(1-F11)/10000,0)</f>
        <v>0</v>
      </c>
      <c r="D8" s="1806" t="s">
        <v>2533</v>
      </c>
      <c r="E8" s="61" t="s">
        <v>637</v>
      </c>
      <c r="F8" s="784">
        <f ca="1">INDIRECT("'数据-取费表'!u"&amp;$G$1)</f>
        <v>0</v>
      </c>
      <c r="G8" s="1577"/>
      <c r="H8" s="2467" t="s">
        <v>1824</v>
      </c>
      <c r="I8" s="4091" t="s">
        <v>2462</v>
      </c>
      <c r="J8" s="782">
        <f ca="1">ROUND(M8*M10*M9*(1-M11)/10000,0)</f>
        <v>0</v>
      </c>
      <c r="K8" s="340" t="s">
        <v>2533</v>
      </c>
      <c r="L8" s="783" t="s">
        <v>1738</v>
      </c>
      <c r="M8" s="784">
        <f ca="1">INDIRECT("'数据-取费表'!z"&amp;$G$1)</f>
        <v>0</v>
      </c>
    </row>
    <row r="9" spans="1:25" ht="18" customHeight="1">
      <c r="A9" s="2463"/>
      <c r="B9" s="4092"/>
      <c r="C9" s="1810"/>
      <c r="D9" s="1807"/>
      <c r="E9" s="61" t="s">
        <v>638</v>
      </c>
      <c r="F9" s="784">
        <f ca="1">IF(INDIRECT("'数据-取费表'!ah"&amp;$G$1)="",INDIRECT("'数据-取费表'!k"&amp;$G$1),INDIRECT("'数据-取费表'!ah"&amp;$G$1))</f>
        <v>0</v>
      </c>
      <c r="G9" s="1577"/>
      <c r="H9" s="2452"/>
      <c r="I9" s="4092"/>
      <c r="J9" s="787"/>
      <c r="K9" s="788"/>
      <c r="L9" s="783" t="s">
        <v>1739</v>
      </c>
      <c r="M9" s="784">
        <f ca="1">F9</f>
        <v>0</v>
      </c>
    </row>
    <row r="10" spans="1:25" ht="18" customHeight="1">
      <c r="A10" s="2456"/>
      <c r="B10" s="4093"/>
      <c r="C10" s="1810"/>
      <c r="D10" s="1807"/>
      <c r="E10" s="61" t="s">
        <v>639</v>
      </c>
      <c r="F10" s="784">
        <f ca="1">INDIRECT("'数据-取费表'!ai"&amp;$G$1)</f>
        <v>0</v>
      </c>
      <c r="G10" s="1577"/>
      <c r="H10" s="2452"/>
      <c r="I10" s="4093"/>
      <c r="J10" s="787"/>
      <c r="K10" s="788"/>
      <c r="L10" s="783" t="s">
        <v>1740</v>
      </c>
      <c r="M10" s="784">
        <f ca="1">INDIRECT("'数据-取费表'!ai"&amp;$G$1)</f>
        <v>0</v>
      </c>
    </row>
    <row r="11" spans="1:25" ht="18" customHeight="1">
      <c r="A11" s="785"/>
      <c r="B11" s="4094"/>
      <c r="C11" s="1810"/>
      <c r="D11" s="1807"/>
      <c r="E11" s="61" t="s">
        <v>640</v>
      </c>
      <c r="F11" s="793">
        <f ca="1">INDIRECT("'数据-取费表'!w"&amp;$G$1)</f>
        <v>0</v>
      </c>
      <c r="G11" s="1577"/>
      <c r="H11" s="2468"/>
      <c r="I11" s="4093"/>
      <c r="J11" s="787"/>
      <c r="K11" s="788"/>
      <c r="L11" s="794" t="s">
        <v>1741</v>
      </c>
      <c r="M11" s="795">
        <f ca="1">INDIRECT("'数据-取费表'!ab"&amp;$G$1)</f>
        <v>0</v>
      </c>
    </row>
    <row r="12" spans="1:25" ht="18" customHeight="1">
      <c r="A12" s="1814" t="s">
        <v>1825</v>
      </c>
      <c r="B12" s="2457" t="s">
        <v>2458</v>
      </c>
      <c r="C12" s="798">
        <f ca="1">ROUND(IF(F12="押一",C8/12*F13,IF(F12="押二",C8/12*2*F13,IF(F12="押三",C8/12*3*F13,C13*F13))),0)</f>
        <v>0</v>
      </c>
      <c r="D12" s="2464" t="s">
        <v>2970</v>
      </c>
      <c r="E12" s="2461" t="s">
        <v>2463</v>
      </c>
      <c r="F12" s="2584"/>
      <c r="G12" s="1577"/>
      <c r="H12" s="2524" t="s">
        <v>1825</v>
      </c>
      <c r="I12" s="2529" t="s">
        <v>2458</v>
      </c>
      <c r="J12" s="782">
        <f ca="1">ROUND(IF(M12="押一",J8/12*M13,IF(M12="押二",J8/12*2*M13,IF(M12="押三",J8/12*3*M13,J13*M13))),0)</f>
        <v>0</v>
      </c>
      <c r="K12" s="2464" t="s">
        <v>2970</v>
      </c>
      <c r="L12" s="2461" t="s">
        <v>2463</v>
      </c>
      <c r="M12" s="2584"/>
    </row>
    <row r="13" spans="1:25" ht="18" customHeight="1">
      <c r="A13" s="789"/>
      <c r="B13" s="2458" t="s">
        <v>2572</v>
      </c>
      <c r="C13" s="2462"/>
      <c r="D13" s="788"/>
      <c r="E13" s="2461" t="s">
        <v>2455</v>
      </c>
      <c r="F13" s="795">
        <f ca="1">'数据-取费表'!B39</f>
        <v>1.4999999999999999E-2</v>
      </c>
      <c r="G13" s="1577"/>
      <c r="H13" s="2525"/>
      <c r="I13" s="2458" t="s">
        <v>2572</v>
      </c>
      <c r="J13" s="2462"/>
      <c r="K13" s="2526"/>
      <c r="L13" s="2461" t="s">
        <v>2455</v>
      </c>
      <c r="M13" s="2455">
        <f ca="1">'数据-取费表'!B39</f>
        <v>1.4999999999999999E-2</v>
      </c>
    </row>
    <row r="14" spans="1:25" ht="18" customHeight="1" thickBot="1">
      <c r="A14" s="2500" t="s">
        <v>2466</v>
      </c>
      <c r="B14" s="2501" t="s">
        <v>2459</v>
      </c>
      <c r="C14" s="2502"/>
      <c r="D14" s="2503"/>
      <c r="E14" s="2504"/>
      <c r="F14" s="2505"/>
      <c r="G14" s="1577"/>
      <c r="H14" s="2514" t="s">
        <v>2466</v>
      </c>
      <c r="I14" s="2527" t="s">
        <v>2459</v>
      </c>
      <c r="J14" s="2528"/>
      <c r="K14" s="2503"/>
      <c r="L14" s="2504"/>
      <c r="M14" s="2517"/>
    </row>
    <row r="15" spans="1:25" ht="18" customHeight="1" thickTop="1">
      <c r="A15" s="1813" t="s">
        <v>1874</v>
      </c>
      <c r="B15" s="1811" t="s">
        <v>641</v>
      </c>
      <c r="C15" s="791">
        <f ca="1">ROUND(C31*F15,0)</f>
        <v>0</v>
      </c>
      <c r="D15" s="1818" t="s">
        <v>642</v>
      </c>
      <c r="E15" s="794" t="s">
        <v>643</v>
      </c>
      <c r="F15" s="799">
        <f ca="1">INDIRECT("'数据-取费表'!y"&amp;$G$1)</f>
        <v>0</v>
      </c>
      <c r="G15" s="1577"/>
      <c r="H15" s="1813" t="s">
        <v>1826</v>
      </c>
      <c r="I15" s="1811" t="s">
        <v>644</v>
      </c>
      <c r="J15" s="1803">
        <f ca="1">ROUND(J16*J17,0)</f>
        <v>0</v>
      </c>
      <c r="K15" s="1805" t="s">
        <v>642</v>
      </c>
      <c r="L15" s="800"/>
      <c r="M15" s="801"/>
    </row>
    <row r="16" spans="1:25" ht="18" customHeight="1">
      <c r="A16" s="802" t="s">
        <v>1875</v>
      </c>
      <c r="B16" s="783" t="s">
        <v>645</v>
      </c>
      <c r="C16" s="803">
        <f ca="1">INDIRECT("'数据-取费表'!m"&amp;$G$1)+INDIRECT("'数据-取费表'!t"&amp;$G$1)</f>
        <v>0</v>
      </c>
      <c r="D16" s="1963" t="s">
        <v>646</v>
      </c>
      <c r="E16" s="1964"/>
      <c r="F16" s="804"/>
      <c r="G16" s="1577"/>
      <c r="H16" s="802" t="s">
        <v>2069</v>
      </c>
      <c r="I16" s="2215" t="s">
        <v>2824</v>
      </c>
      <c r="J16" s="53">
        <f ca="1">C31</f>
        <v>0</v>
      </c>
      <c r="K16" s="26"/>
      <c r="L16" s="800"/>
      <c r="M16" s="801"/>
    </row>
    <row r="17" spans="1:25" s="2048" customFormat="1" ht="18" customHeight="1">
      <c r="A17" s="802" t="s">
        <v>1849</v>
      </c>
      <c r="B17" s="783" t="s">
        <v>647</v>
      </c>
      <c r="C17" s="53">
        <f ca="1">ROUND(C16*F17,0)</f>
        <v>0</v>
      </c>
      <c r="D17" s="805" t="s">
        <v>648</v>
      </c>
      <c r="E17" s="805" t="s">
        <v>649</v>
      </c>
      <c r="F17" s="806">
        <f>'数据-取费表'!B33</f>
        <v>0.03</v>
      </c>
      <c r="G17" s="1578"/>
      <c r="H17" s="802" t="s">
        <v>2070</v>
      </c>
      <c r="I17" s="783" t="s">
        <v>643</v>
      </c>
      <c r="J17" s="807">
        <f ca="1">INDIRECT("'数据-取费表'!ad"&amp;$G$1)</f>
        <v>0</v>
      </c>
      <c r="K17" s="26"/>
      <c r="L17" s="800"/>
      <c r="M17" s="801"/>
      <c r="N17" s="2047"/>
      <c r="O17" s="2047"/>
      <c r="P17" s="2047"/>
      <c r="Q17" s="2047"/>
      <c r="R17" s="2047"/>
      <c r="S17" s="2047"/>
      <c r="T17" s="2047"/>
      <c r="U17" s="2047"/>
      <c r="V17" s="2047"/>
      <c r="W17" s="2047"/>
      <c r="X17" s="2047"/>
      <c r="Y17" s="2047"/>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7"/>
      <c r="H18" s="796" t="s">
        <v>1827</v>
      </c>
      <c r="I18" s="797" t="s">
        <v>651</v>
      </c>
      <c r="J18" s="798">
        <f ca="1">ROUND(J19+J24+J25+J26,0)</f>
        <v>0</v>
      </c>
      <c r="K18" s="26" t="s">
        <v>652</v>
      </c>
      <c r="L18" s="1966"/>
      <c r="M18" s="56"/>
    </row>
    <row r="19" spans="1:25" s="2048" customFormat="1" ht="18" customHeight="1">
      <c r="A19" s="802" t="s">
        <v>1851</v>
      </c>
      <c r="B19" s="783" t="s">
        <v>653</v>
      </c>
      <c r="C19" s="53">
        <f ca="1">ROUND(F19*(INDIRECT("'数据-取费表'!k"&amp;$G$1)+INDIRECT("'数据-取费表'!S"&amp;$G$1))/10000,0)</f>
        <v>0</v>
      </c>
      <c r="D19" s="783" t="s">
        <v>654</v>
      </c>
      <c r="E19" s="783" t="s">
        <v>655</v>
      </c>
      <c r="F19" s="56">
        <f>'数据-取费表'!B35</f>
        <v>120</v>
      </c>
      <c r="G19" s="1578"/>
      <c r="H19" s="802" t="s">
        <v>2069</v>
      </c>
      <c r="I19" s="783" t="s">
        <v>656</v>
      </c>
      <c r="J19" s="53">
        <f ca="1">ROUND(IF(项目基本情况!B11="自然人",J7*M19,J20+J21+J22),0)</f>
        <v>0</v>
      </c>
      <c r="K19" s="1963" t="s">
        <v>657</v>
      </c>
      <c r="L19" s="1961" t="s">
        <v>658</v>
      </c>
      <c r="M19" s="809"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2" t="s">
        <v>1852</v>
      </c>
      <c r="B20" s="783" t="s">
        <v>659</v>
      </c>
      <c r="C20" s="53">
        <f ca="1">ROUND(C16*F20,0)</f>
        <v>0</v>
      </c>
      <c r="D20" s="783" t="s">
        <v>648</v>
      </c>
      <c r="E20" s="783" t="s">
        <v>649</v>
      </c>
      <c r="F20" s="808">
        <f>'数据-取费表'!B36</f>
        <v>1.4999999999999999E-2</v>
      </c>
      <c r="G20" s="1578"/>
      <c r="H20" s="802" t="s">
        <v>1831</v>
      </c>
      <c r="I20" s="783" t="s">
        <v>660</v>
      </c>
      <c r="J20" s="53">
        <f ca="1">ROUND(J7*M20/1.05,1)</f>
        <v>0</v>
      </c>
      <c r="K20" s="1961" t="s">
        <v>661</v>
      </c>
      <c r="L20" s="783" t="s">
        <v>649</v>
      </c>
      <c r="M20" s="808">
        <f>'数据-取费表'!B41</f>
        <v>5.5000000000000007E-2</v>
      </c>
      <c r="N20" s="2047"/>
      <c r="O20" s="2047"/>
      <c r="P20" s="2047"/>
      <c r="Q20" s="2047"/>
      <c r="R20" s="2047"/>
      <c r="S20" s="2047"/>
      <c r="T20" s="2047"/>
      <c r="U20" s="2047"/>
      <c r="V20" s="2047"/>
      <c r="W20" s="2047"/>
      <c r="X20" s="2047"/>
      <c r="Y20" s="2047"/>
    </row>
    <row r="21" spans="1:25" ht="18" customHeight="1">
      <c r="A21" s="802" t="s">
        <v>1876</v>
      </c>
      <c r="B21" s="783" t="s">
        <v>662</v>
      </c>
      <c r="C21" s="53">
        <f ca="1">SUM(C16:C20)</f>
        <v>0</v>
      </c>
      <c r="D21" s="260" t="s">
        <v>663</v>
      </c>
      <c r="E21" s="1966"/>
      <c r="F21" s="56"/>
      <c r="G21" s="1577"/>
      <c r="H21" s="1814" t="s">
        <v>1849</v>
      </c>
      <c r="I21" s="783" t="s">
        <v>664</v>
      </c>
      <c r="J21" s="53">
        <f ca="1">IF(K21="按租金收入计税",ROUND(J7*M21,1),ROUND(C31*F35*0.7,1))</f>
        <v>0</v>
      </c>
      <c r="K21" s="810" t="s">
        <v>665</v>
      </c>
      <c r="L21" s="783" t="s">
        <v>649</v>
      </c>
      <c r="M21" s="808">
        <f>IF(K21="按租金收入计税",'数据-取费表'!B51,'数据-取费表'!B50)</f>
        <v>1.2E-2</v>
      </c>
    </row>
    <row r="22" spans="1:25" s="2048" customFormat="1" ht="18" customHeight="1">
      <c r="A22" s="802" t="s">
        <v>1877</v>
      </c>
      <c r="B22" s="783" t="s">
        <v>666</v>
      </c>
      <c r="C22" s="53">
        <f ca="1">ROUND(C21*F22,0)</f>
        <v>0</v>
      </c>
      <c r="D22" s="811" t="s">
        <v>667</v>
      </c>
      <c r="E22" s="783" t="s">
        <v>649</v>
      </c>
      <c r="F22" s="808">
        <f>'数据-取费表'!B37</f>
        <v>1.4999999999999999E-2</v>
      </c>
      <c r="G22" s="1578"/>
      <c r="H22" s="1816" t="s">
        <v>1850</v>
      </c>
      <c r="I22" s="1806" t="s">
        <v>668</v>
      </c>
      <c r="J22" s="54">
        <f ca="1">ROUND(M22*M23/10000,0)</f>
        <v>0</v>
      </c>
      <c r="K22" s="813" t="s">
        <v>669</v>
      </c>
      <c r="L22" s="783" t="s">
        <v>670</v>
      </c>
      <c r="M22" s="639">
        <f>'数据-取费表'!B52</f>
        <v>3</v>
      </c>
      <c r="N22" s="2047"/>
      <c r="O22" s="2047"/>
      <c r="P22" s="2047"/>
      <c r="Q22" s="2047"/>
      <c r="R22" s="2047"/>
      <c r="S22" s="2047"/>
      <c r="T22" s="2047"/>
      <c r="U22" s="2047"/>
      <c r="V22" s="2047"/>
      <c r="W22" s="2047"/>
      <c r="X22" s="2047"/>
      <c r="Y22" s="2047"/>
    </row>
    <row r="23" spans="1:25" s="2048" customFormat="1" ht="18" customHeight="1">
      <c r="A23" s="802" t="s">
        <v>1878</v>
      </c>
      <c r="B23" s="783" t="s">
        <v>671</v>
      </c>
      <c r="C23" s="53" t="s">
        <v>1</v>
      </c>
      <c r="D23" s="811" t="s">
        <v>672</v>
      </c>
      <c r="E23" s="783" t="s">
        <v>673</v>
      </c>
      <c r="F23" s="808">
        <f>'数据-取费表'!B38</f>
        <v>1.4999999999999999E-2</v>
      </c>
      <c r="G23" s="1578"/>
      <c r="H23" s="1817"/>
      <c r="I23" s="1808"/>
      <c r="J23" s="69"/>
      <c r="K23" s="815"/>
      <c r="L23" s="783" t="s">
        <v>674</v>
      </c>
      <c r="M23" s="784">
        <f ca="1">INDIRECT("'数据-取费表'!r"&amp;$G$1)</f>
        <v>0</v>
      </c>
      <c r="N23" s="2047"/>
      <c r="O23" s="2047"/>
      <c r="P23" s="2047"/>
      <c r="Q23" s="2047"/>
      <c r="R23" s="2047"/>
      <c r="S23" s="2047"/>
      <c r="T23" s="2047"/>
      <c r="U23" s="2047"/>
      <c r="V23" s="2047"/>
      <c r="W23" s="2047"/>
      <c r="X23" s="2047"/>
      <c r="Y23" s="2047"/>
    </row>
    <row r="24" spans="1:25" ht="18" customHeight="1">
      <c r="A24" s="802" t="s">
        <v>1879</v>
      </c>
      <c r="B24" s="783" t="s">
        <v>675</v>
      </c>
      <c r="C24" s="53"/>
      <c r="D24" s="2535" t="str">
        <f>IF(F25&lt;=1,"单利计息。","复利计息。")&amp;"建造成本、管理费用、销售费用产生的利息。"</f>
        <v>复利计息。建造成本、管理费用、销售费用产生的利息。</v>
      </c>
      <c r="E24" s="1966"/>
      <c r="F24" s="56"/>
      <c r="G24" s="1577"/>
      <c r="H24" s="1815" t="s">
        <v>2070</v>
      </c>
      <c r="I24" s="783" t="s">
        <v>676</v>
      </c>
      <c r="J24" s="53">
        <f ca="1">ROUND(J16*M24,0)</f>
        <v>0</v>
      </c>
      <c r="K24" s="1961" t="s">
        <v>677</v>
      </c>
      <c r="L24" s="783" t="s">
        <v>649</v>
      </c>
      <c r="M24" s="816">
        <f ca="1">INDIRECT("'数据-取费表'!Ak"&amp;$G$1)</f>
        <v>0</v>
      </c>
    </row>
    <row r="25" spans="1:25" s="2048" customFormat="1" ht="18" customHeight="1">
      <c r="A25" s="802" t="s">
        <v>1875</v>
      </c>
      <c r="B25" s="783" t="s">
        <v>2437</v>
      </c>
      <c r="C25" s="53">
        <f ca="1">ROUND(IF('数据-取费表'!B22&lt;=1,(C21+C22)*F26*F25/2,(C21+C22)*(POWER((1+F26),F25/2)-1)),0)</f>
        <v>0</v>
      </c>
      <c r="D25" s="2534" t="str">
        <f>IF(F25&lt;=1,"(建造成本+管理费用)×利率×(建设周期÷2)","(建造成本+管理费用)×((1+利率)^(建设周期÷2)-1)")</f>
        <v>(建造成本+管理费用)×((1+利率)^(建设周期÷2)-1)</v>
      </c>
      <c r="E25" s="783" t="s">
        <v>678</v>
      </c>
      <c r="F25" s="639">
        <f>'数据-取费表'!B20</f>
        <v>2</v>
      </c>
      <c r="G25" s="1578"/>
      <c r="H25" s="802" t="s">
        <v>1878</v>
      </c>
      <c r="I25" s="783" t="s">
        <v>679</v>
      </c>
      <c r="J25" s="53">
        <f ca="1">ROUND(J15*M25,0)</f>
        <v>0</v>
      </c>
      <c r="K25" s="1961" t="s">
        <v>680</v>
      </c>
      <c r="L25" s="783" t="s">
        <v>649</v>
      </c>
      <c r="M25" s="817">
        <f ca="1">INDIRECT("'数据-取费表'!Al"&amp;$G$1)</f>
        <v>0</v>
      </c>
      <c r="N25" s="2047"/>
      <c r="O25" s="2047"/>
      <c r="P25" s="2047"/>
      <c r="Q25" s="2047"/>
      <c r="R25" s="2047"/>
      <c r="S25" s="2047"/>
      <c r="T25" s="2047"/>
      <c r="U25" s="2047"/>
      <c r="V25" s="2047"/>
      <c r="W25" s="2047"/>
      <c r="X25" s="2047"/>
      <c r="Y25" s="2047"/>
    </row>
    <row r="26" spans="1:25" s="2048" customFormat="1" ht="18" customHeight="1">
      <c r="A26" s="802" t="s">
        <v>1849</v>
      </c>
      <c r="B26" s="783" t="s">
        <v>681</v>
      </c>
      <c r="C26" s="53">
        <f ca="1">ROUND(IF('数据-取费表'!B22&lt;=1,F23*F26*F25/2,F23*(POWER((1+F26),F25/2)-1)),4)</f>
        <v>6.9999999999999999E-4</v>
      </c>
      <c r="D26" s="2534" t="str">
        <f>IF(F25&lt;=1,"销售费用×利率×(建设周期÷2)","销售费用×((1+利率)^(建设周期÷2)-1)")</f>
        <v>销售费用×((1+利率)^(建设周期÷2)-1)</v>
      </c>
      <c r="E26" s="783" t="s">
        <v>682</v>
      </c>
      <c r="F26" s="818">
        <f ca="1">'数据-取费表'!B40</f>
        <v>4.7500000000000001E-2</v>
      </c>
      <c r="G26" s="1578"/>
      <c r="H26" s="802" t="s">
        <v>1879</v>
      </c>
      <c r="I26" s="783" t="s">
        <v>666</v>
      </c>
      <c r="J26" s="53">
        <f ca="1">ROUND(J7*M26,0)</f>
        <v>0</v>
      </c>
      <c r="K26" s="1961" t="s">
        <v>683</v>
      </c>
      <c r="L26" s="783" t="s">
        <v>649</v>
      </c>
      <c r="M26" s="793">
        <f ca="1">INDIRECT("'数据-取费表'!Am"&amp;$G$1)</f>
        <v>0</v>
      </c>
      <c r="N26" s="2047"/>
      <c r="O26" s="2047"/>
      <c r="P26" s="2047"/>
      <c r="Q26" s="2047"/>
      <c r="R26" s="2047"/>
      <c r="S26" s="2047"/>
      <c r="T26" s="2047"/>
      <c r="U26" s="2047"/>
      <c r="V26" s="2047"/>
      <c r="W26" s="2047"/>
      <c r="X26" s="2047"/>
      <c r="Y26" s="2047"/>
    </row>
    <row r="27" spans="1:25" ht="18" customHeight="1">
      <c r="A27" s="802" t="s">
        <v>1881</v>
      </c>
      <c r="B27" s="783" t="s">
        <v>684</v>
      </c>
      <c r="C27" s="53"/>
      <c r="D27" s="260" t="s">
        <v>685</v>
      </c>
      <c r="E27" s="1966"/>
      <c r="F27" s="56"/>
      <c r="G27" s="1577"/>
      <c r="H27" s="796" t="s">
        <v>1828</v>
      </c>
      <c r="I27" s="2961" t="s">
        <v>2821</v>
      </c>
      <c r="J27" s="798">
        <f ca="1">J7-J18</f>
        <v>0</v>
      </c>
      <c r="K27" s="1963" t="s">
        <v>700</v>
      </c>
      <c r="L27" s="1965"/>
      <c r="M27" s="819"/>
    </row>
    <row r="28" spans="1:25" ht="18" customHeight="1">
      <c r="A28" s="802" t="s">
        <v>1875</v>
      </c>
      <c r="B28" s="783" t="s">
        <v>2438</v>
      </c>
      <c r="C28" s="53">
        <f ca="1">ROUND((C21+C22)*F28,0)</f>
        <v>0</v>
      </c>
      <c r="D28" s="811" t="s">
        <v>701</v>
      </c>
      <c r="E28" s="794" t="s">
        <v>702</v>
      </c>
      <c r="F28" s="793">
        <f ca="1">INDIRECT("'数据-取费表'!q"&amp;$G$1)</f>
        <v>0</v>
      </c>
      <c r="G28" s="1577"/>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7"/>
      <c r="H29" s="785"/>
      <c r="I29" s="786"/>
      <c r="J29" s="787"/>
      <c r="K29" s="820" t="s">
        <v>707</v>
      </c>
      <c r="L29" s="783" t="s">
        <v>708</v>
      </c>
      <c r="M29" s="821">
        <f ca="1">INDIRECT("'数据-取费表'!ag"&amp;$G$1)</f>
        <v>0</v>
      </c>
    </row>
    <row r="30" spans="1:25" s="2048" customFormat="1" ht="18" customHeight="1">
      <c r="A30" s="802" t="s">
        <v>1882</v>
      </c>
      <c r="B30" s="783" t="s">
        <v>687</v>
      </c>
      <c r="C30" s="53">
        <f>ROUND(F30/(1+'数据-取费表'!C42),4)</f>
        <v>5.2400000000000002E-2</v>
      </c>
      <c r="D30" s="811" t="s">
        <v>709</v>
      </c>
      <c r="E30" s="783" t="s">
        <v>649</v>
      </c>
      <c r="F30" s="808">
        <f>'数据-取费表'!B41</f>
        <v>5.5000000000000007E-2</v>
      </c>
      <c r="G30" s="1578"/>
      <c r="H30" s="789"/>
      <c r="I30" s="790"/>
      <c r="J30" s="791"/>
      <c r="K30" s="815"/>
      <c r="L30" s="783" t="s">
        <v>710</v>
      </c>
      <c r="M30" s="793">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1883</v>
      </c>
      <c r="B31" s="2504" t="s">
        <v>2822</v>
      </c>
      <c r="C31" s="2507">
        <f ca="1">ROUND((C21+C22+C25+C28)/(1-F23-C26-C29-C30),0)</f>
        <v>0</v>
      </c>
      <c r="D31" s="2508"/>
      <c r="E31" s="2509"/>
      <c r="F31" s="2510"/>
      <c r="G31" s="1578"/>
      <c r="H31" s="822" t="s">
        <v>1872</v>
      </c>
      <c r="I31" s="2962" t="s">
        <v>2823</v>
      </c>
      <c r="J31" s="824">
        <f ca="1">ROUND(J28/(1+F45)^F46,0)</f>
        <v>0</v>
      </c>
      <c r="K31" s="825" t="s">
        <v>688</v>
      </c>
      <c r="L31" s="826"/>
      <c r="M31" s="827">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689</v>
      </c>
      <c r="C32" s="791">
        <f ca="1">ROUND(C33+C38+C39+C40,0)</f>
        <v>0</v>
      </c>
      <c r="D32" s="1805" t="s">
        <v>652</v>
      </c>
      <c r="E32" s="2450"/>
      <c r="F32" s="2454"/>
      <c r="G32" s="2046"/>
      <c r="H32" s="2049"/>
      <c r="I32" s="2050"/>
      <c r="J32" s="2051"/>
      <c r="K32" s="2052"/>
      <c r="L32" s="2053"/>
      <c r="M32" s="2054"/>
    </row>
    <row r="33" spans="1:18" ht="18" customHeight="1">
      <c r="A33" s="802" t="s">
        <v>1876</v>
      </c>
      <c r="B33" s="783" t="s">
        <v>656</v>
      </c>
      <c r="C33" s="53">
        <f ca="1">ROUND(IF(项目基本情况!B11="自然人",C7*F33,C34+C35+C36),1)</f>
        <v>0</v>
      </c>
      <c r="D33" s="1963" t="s">
        <v>657</v>
      </c>
      <c r="E33" s="1961" t="s">
        <v>690</v>
      </c>
      <c r="F33" s="809" t="str">
        <f ca="1">IF(项目基本情况!B11="企业","",IF(INDIRECT("'数据-取费表'!c"&amp;$G$1)="住宅",5%,IF(F8*F9*F10/12/(1+'数据-取费表'!C42)&gt;20000,12%,7%)))</f>
        <v/>
      </c>
      <c r="G33" s="2046"/>
      <c r="H33" s="2049"/>
      <c r="I33" s="2050"/>
      <c r="J33" s="2051"/>
      <c r="K33" s="2052"/>
      <c r="L33" s="2053"/>
      <c r="M33" s="2054"/>
    </row>
    <row r="34" spans="1:18" ht="18" customHeight="1">
      <c r="A34" s="802" t="s">
        <v>1875</v>
      </c>
      <c r="B34" s="783" t="s">
        <v>660</v>
      </c>
      <c r="C34" s="53">
        <f ca="1">ROUND(C7*F34/1.05,1)</f>
        <v>0</v>
      </c>
      <c r="D34" s="1961" t="s">
        <v>661</v>
      </c>
      <c r="E34" s="783" t="s">
        <v>649</v>
      </c>
      <c r="F34" s="808">
        <f>'数据-取费表'!B41</f>
        <v>5.5000000000000007E-2</v>
      </c>
      <c r="G34" s="2046"/>
      <c r="H34" s="2055"/>
      <c r="I34" s="2056"/>
      <c r="J34" s="2057"/>
      <c r="K34" s="2058"/>
      <c r="L34" s="2059"/>
      <c r="M34" s="2060"/>
    </row>
    <row r="35" spans="1:18" ht="18" customHeight="1">
      <c r="A35" s="802" t="s">
        <v>1849</v>
      </c>
      <c r="B35" s="783" t="s">
        <v>664</v>
      </c>
      <c r="C35" s="53">
        <f ca="1">IF(D35="按租金收入计税",ROUND(C7*F35,1),IF(D35="按房产原值计税",ROUND(C31*F35*0.7,1),INDIRECT("'数据-取费表'!Aj"&amp;$G$1)))</f>
        <v>0</v>
      </c>
      <c r="D35" s="810" t="s">
        <v>1680</v>
      </c>
      <c r="E35" s="783" t="s">
        <v>649</v>
      </c>
      <c r="F35" s="808">
        <f>IF(D35="按租金收入计税",'数据-取费表'!B51,'数据-取费表'!B50)</f>
        <v>1.2E-2</v>
      </c>
      <c r="G35" s="2046"/>
      <c r="H35" s="2061"/>
      <c r="I35" s="2061"/>
      <c r="J35" s="2061"/>
      <c r="K35" s="2062"/>
      <c r="L35" s="2061"/>
      <c r="M35" s="2061"/>
    </row>
    <row r="36" spans="1:18" ht="18" customHeight="1">
      <c r="A36" s="812" t="s">
        <v>1880</v>
      </c>
      <c r="B36" s="340" t="s">
        <v>668</v>
      </c>
      <c r="C36" s="54">
        <f ca="1">ROUND(F36*F37/10000,1)</f>
        <v>0</v>
      </c>
      <c r="D36" s="813" t="s">
        <v>669</v>
      </c>
      <c r="E36" s="783" t="s">
        <v>670</v>
      </c>
      <c r="F36" s="639">
        <f>'数据-取费表'!B52</f>
        <v>3</v>
      </c>
      <c r="G36" s="2046"/>
      <c r="H36" s="2049"/>
      <c r="I36" s="4090"/>
      <c r="J36" s="2063"/>
      <c r="K36" s="2064"/>
      <c r="L36" s="2063"/>
      <c r="M36" s="2063"/>
    </row>
    <row r="37" spans="1:18" ht="18" customHeight="1">
      <c r="A37" s="814"/>
      <c r="B37" s="792"/>
      <c r="C37" s="69"/>
      <c r="D37" s="815"/>
      <c r="E37" s="783" t="s">
        <v>674</v>
      </c>
      <c r="F37" s="784">
        <f ca="1">INDIRECT("'数据-取费表'!r"&amp;$G$1)</f>
        <v>0</v>
      </c>
      <c r="G37" s="2046"/>
      <c r="H37" s="2049"/>
      <c r="I37" s="4090"/>
      <c r="J37" s="2061"/>
      <c r="K37" s="2062"/>
      <c r="L37" s="2061"/>
      <c r="M37" s="2061"/>
    </row>
    <row r="38" spans="1:18" ht="18" customHeight="1">
      <c r="A38" s="802" t="s">
        <v>1877</v>
      </c>
      <c r="B38" s="783" t="s">
        <v>676</v>
      </c>
      <c r="C38" s="53">
        <f ca="1">ROUND(C31*F38,1)</f>
        <v>0</v>
      </c>
      <c r="D38" s="1961" t="s">
        <v>691</v>
      </c>
      <c r="E38" s="783" t="s">
        <v>649</v>
      </c>
      <c r="F38" s="816">
        <f ca="1">INDIRECT("'数据-取费表'!Ak"&amp;$G$1)</f>
        <v>0</v>
      </c>
      <c r="G38" s="2046"/>
      <c r="H38" s="2061"/>
      <c r="I38" s="2065"/>
      <c r="J38" s="1972"/>
      <c r="K38" s="2066"/>
      <c r="L38" s="2061"/>
      <c r="M38" s="2061"/>
    </row>
    <row r="39" spans="1:18" ht="18" customHeight="1">
      <c r="A39" s="802" t="s">
        <v>1878</v>
      </c>
      <c r="B39" s="783" t="s">
        <v>679</v>
      </c>
      <c r="C39" s="53">
        <f ca="1">ROUND(C15*F39,1)</f>
        <v>0</v>
      </c>
      <c r="D39" s="1961" t="s">
        <v>680</v>
      </c>
      <c r="E39" s="783" t="s">
        <v>649</v>
      </c>
      <c r="F39" s="817">
        <f ca="1">INDIRECT("'数据-取费表'!Al"&amp;$G$1)</f>
        <v>0</v>
      </c>
      <c r="G39" s="2046"/>
      <c r="H39" s="2061"/>
      <c r="I39" s="2065"/>
      <c r="J39" s="1972"/>
      <c r="K39" s="2066"/>
      <c r="L39" s="2061"/>
      <c r="M39" s="2061"/>
    </row>
    <row r="40" spans="1:18" ht="18" customHeight="1" thickBot="1">
      <c r="A40" s="2523" t="s">
        <v>1879</v>
      </c>
      <c r="B40" s="2509" t="s">
        <v>666</v>
      </c>
      <c r="C40" s="2507">
        <f ca="1">ROUND(C7*F40,1)</f>
        <v>0</v>
      </c>
      <c r="D40" s="2508" t="s">
        <v>683</v>
      </c>
      <c r="E40" s="2509" t="s">
        <v>649</v>
      </c>
      <c r="F40" s="2505">
        <f ca="1">INDIRECT("'数据-取费表'!Am"&amp;$G$1)</f>
        <v>0</v>
      </c>
      <c r="G40" s="2046"/>
      <c r="H40" s="2061"/>
      <c r="I40" s="2065"/>
      <c r="J40" s="1972"/>
      <c r="K40" s="2067"/>
      <c r="L40" s="2061"/>
      <c r="M40" s="2061"/>
    </row>
    <row r="41" spans="1:18" ht="18" customHeight="1" thickTop="1">
      <c r="A41" s="1813">
        <v>4</v>
      </c>
      <c r="B41" s="1811" t="s">
        <v>692</v>
      </c>
      <c r="C41" s="1348"/>
      <c r="D41" s="1349"/>
      <c r="E41" s="1349"/>
      <c r="F41" s="1350"/>
      <c r="G41" s="2046"/>
      <c r="H41" s="2046"/>
      <c r="I41" s="2046"/>
      <c r="J41" s="2046"/>
      <c r="K41" s="2067"/>
      <c r="L41" s="2046"/>
      <c r="M41" s="2046"/>
    </row>
    <row r="42" spans="1:18" ht="18" customHeight="1">
      <c r="A42" s="802" t="s">
        <v>1876</v>
      </c>
      <c r="B42" s="834" t="s">
        <v>693</v>
      </c>
      <c r="C42" s="828">
        <f ca="1">C7-C32</f>
        <v>0</v>
      </c>
      <c r="D42" s="1963" t="s">
        <v>694</v>
      </c>
      <c r="E42" s="1965"/>
      <c r="F42" s="819"/>
      <c r="G42" s="2046"/>
      <c r="H42" s="2046"/>
      <c r="I42" s="2046"/>
      <c r="J42" s="2046"/>
      <c r="K42" s="2067"/>
      <c r="L42" s="2046"/>
      <c r="M42" s="2046"/>
    </row>
    <row r="43" spans="1:18" ht="18" customHeight="1">
      <c r="A43" s="802" t="s">
        <v>1877</v>
      </c>
      <c r="B43" s="834" t="s">
        <v>711</v>
      </c>
      <c r="C43" s="835">
        <f ca="1">ROUND(C15*F43,0)</f>
        <v>0</v>
      </c>
      <c r="D43" s="1351" t="s">
        <v>712</v>
      </c>
      <c r="E43" s="3070" t="s">
        <v>2958</v>
      </c>
      <c r="F43" s="3071">
        <f ca="1">INDIRECT("'数据-取费表'!j"&amp;$G$1)</f>
        <v>0</v>
      </c>
      <c r="G43" s="2046"/>
      <c r="H43" s="2046"/>
      <c r="I43" s="2046"/>
      <c r="J43" s="2046"/>
      <c r="K43" s="2067"/>
      <c r="L43" s="2046"/>
      <c r="M43" s="2046"/>
    </row>
    <row r="44" spans="1:18" ht="18" customHeight="1">
      <c r="A44" s="802" t="s">
        <v>1878</v>
      </c>
      <c r="B44" s="834" t="s">
        <v>713</v>
      </c>
      <c r="C44" s="1352">
        <f ca="1">C42-C43</f>
        <v>0</v>
      </c>
      <c r="D44" s="462" t="s">
        <v>714</v>
      </c>
      <c r="E44" s="463"/>
      <c r="F44" s="464"/>
      <c r="G44" s="2046"/>
      <c r="H44" s="2046"/>
      <c r="I44" s="2046"/>
      <c r="J44" s="2046"/>
      <c r="K44" s="2067"/>
      <c r="L44" s="2046"/>
      <c r="M44" s="2046"/>
    </row>
    <row r="45" spans="1:18" ht="18" customHeight="1">
      <c r="A45" s="802" t="s">
        <v>1879</v>
      </c>
      <c r="B45" s="1351" t="s">
        <v>715</v>
      </c>
      <c r="C45" s="2987">
        <f ca="1">ROUND(-PV(F45,F46,C44,0),0)</f>
        <v>0</v>
      </c>
      <c r="D45" s="1353" t="s">
        <v>716</v>
      </c>
      <c r="E45" s="805" t="s">
        <v>717</v>
      </c>
      <c r="F45" s="829">
        <f ca="1">INDIRECT("'数据-取费表'!h"&amp;$G$1)</f>
        <v>0</v>
      </c>
      <c r="G45" s="2046"/>
      <c r="H45" s="2046"/>
      <c r="I45" s="2046"/>
      <c r="J45" s="2046"/>
      <c r="K45" s="2067"/>
      <c r="L45" s="2046"/>
      <c r="M45" s="2046"/>
    </row>
    <row r="46" spans="1:18" ht="18" customHeight="1" thickBot="1">
      <c r="A46" s="830"/>
      <c r="B46" s="1354"/>
      <c r="C46" s="1355"/>
      <c r="D46" s="1356"/>
      <c r="E46" s="3072" t="s">
        <v>2961</v>
      </c>
      <c r="F46" s="827">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2343</v>
      </c>
      <c r="J47" s="2342"/>
      <c r="K47" s="2343"/>
      <c r="L47" s="3105" t="str">
        <f ca="1">IF(M48="住宅",0,IF(L49&gt;J52,L61,J61))</f>
        <v>0</v>
      </c>
      <c r="O47" s="2357" t="s">
        <v>2410</v>
      </c>
      <c r="P47" s="1577"/>
      <c r="Q47" s="1588"/>
      <c r="R47" s="1577"/>
    </row>
    <row r="48" spans="1:18" s="2043" customFormat="1" ht="18" customHeight="1" thickBot="1">
      <c r="A48" s="2068"/>
      <c r="C48" s="2071"/>
      <c r="D48" s="2072"/>
      <c r="E48" s="2072"/>
      <c r="F48" s="2073"/>
      <c r="G48" s="2074"/>
      <c r="I48" s="3095" t="s">
        <v>2344</v>
      </c>
      <c r="J48" s="2344"/>
      <c r="K48" s="3102" t="s">
        <v>2349</v>
      </c>
      <c r="L48" s="3106">
        <f ca="1">INDIRECT("'数据-取费表'!d"&amp;$G$1)</f>
        <v>0</v>
      </c>
      <c r="M48" s="3069" t="str">
        <f>IF(ISNUMBER(FIND("住宅",C1)),"住宅","非住宅")</f>
        <v>非住宅</v>
      </c>
      <c r="O48" s="2358" t="s">
        <v>2375</v>
      </c>
      <c r="P48" s="2359" t="s">
        <v>2376</v>
      </c>
      <c r="Q48" s="2360" t="s">
        <v>2377</v>
      </c>
      <c r="R48" s="2359" t="s">
        <v>2378</v>
      </c>
    </row>
    <row r="49" spans="1:18" s="2043" customFormat="1" ht="18" customHeight="1" thickBot="1">
      <c r="A49" s="2068"/>
      <c r="D49" s="2075"/>
      <c r="E49" s="2076"/>
      <c r="F49" s="2073"/>
      <c r="G49" s="2074"/>
      <c r="H49" s="2077"/>
      <c r="I49" s="3074" t="s">
        <v>2345</v>
      </c>
      <c r="J49" s="2345"/>
      <c r="K49" s="3103" t="s">
        <v>2351</v>
      </c>
      <c r="L49" s="1892">
        <f ca="1">INDIRECT("'数据-取费表'!f"&amp;$G$1)</f>
        <v>0</v>
      </c>
      <c r="O49" s="2361" t="s">
        <v>2379</v>
      </c>
      <c r="P49" s="2362" t="s">
        <v>2405</v>
      </c>
      <c r="Q49" s="2363">
        <f ca="1">C41+J31</f>
        <v>0</v>
      </c>
      <c r="R49" s="2362" t="s">
        <v>2380</v>
      </c>
    </row>
    <row r="50" spans="1:18" s="2043" customFormat="1" ht="18" customHeight="1" thickBot="1">
      <c r="A50" s="2068"/>
      <c r="D50" s="2078"/>
      <c r="E50" s="2078"/>
      <c r="F50" s="2072"/>
      <c r="G50" s="2079"/>
      <c r="H50" s="2077"/>
      <c r="I50" s="3074" t="s">
        <v>2346</v>
      </c>
      <c r="J50" s="2346"/>
      <c r="K50" s="3104" t="s">
        <v>2352</v>
      </c>
      <c r="L50" s="2347"/>
      <c r="O50" s="2361" t="s">
        <v>2381</v>
      </c>
      <c r="P50" s="2362" t="s">
        <v>2406</v>
      </c>
      <c r="Q50" s="2363" t="str">
        <f ca="1">J61</f>
        <v>0</v>
      </c>
      <c r="R50" s="2362" t="s">
        <v>2382</v>
      </c>
    </row>
    <row r="51" spans="1:18" s="2043" customFormat="1" ht="18" customHeight="1" thickBot="1">
      <c r="A51" s="2080"/>
      <c r="D51" s="2078"/>
      <c r="E51" s="2078"/>
      <c r="F51" s="2069"/>
      <c r="H51" s="2077"/>
      <c r="I51" s="3074" t="s">
        <v>2347</v>
      </c>
      <c r="J51" s="3099">
        <f>SUMPRODUCT((I64:I66=J48)*(J63:L63=J49)*(J64:L66))</f>
        <v>0</v>
      </c>
      <c r="K51" s="3104" t="s">
        <v>2353</v>
      </c>
      <c r="L51" s="2347"/>
      <c r="O51" s="2364" t="s">
        <v>2383</v>
      </c>
      <c r="P51" s="2362" t="s">
        <v>2407</v>
      </c>
      <c r="Q51" s="2363">
        <f ca="1">C31</f>
        <v>0</v>
      </c>
      <c r="R51" s="2362" t="s">
        <v>2380</v>
      </c>
    </row>
    <row r="52" spans="1:18" s="2043" customFormat="1" ht="18" customHeight="1" thickBot="1">
      <c r="A52" s="2080"/>
      <c r="F52" s="2069"/>
      <c r="I52" s="3096" t="s">
        <v>2348</v>
      </c>
      <c r="J52" s="3100">
        <f>IF(J50="",J51,J50+J51-YEAR('数据-取费表'!B3))</f>
        <v>0</v>
      </c>
      <c r="K52" s="3074" t="s">
        <v>2354</v>
      </c>
      <c r="L52" s="3107">
        <f ca="1">ROUND(-PV(INDIRECT("'数据-取费表'!h"&amp;$G$1),L49,(C40-C14*J36),0),0)</f>
        <v>0</v>
      </c>
      <c r="O52" s="2364" t="s">
        <v>2384</v>
      </c>
      <c r="P52" s="2362" t="s">
        <v>2385</v>
      </c>
      <c r="Q52" s="2365" t="e">
        <f ca="1">J59</f>
        <v>#VALUE!</v>
      </c>
      <c r="R52" s="2366"/>
    </row>
    <row r="53" spans="1:18" s="2043" customFormat="1" ht="18" customHeight="1" thickBot="1">
      <c r="A53" s="2080"/>
      <c r="F53" s="2069"/>
      <c r="I53" s="3097" t="s">
        <v>2421</v>
      </c>
      <c r="J53" s="2348"/>
      <c r="K53" s="3097" t="s">
        <v>2420</v>
      </c>
      <c r="L53" s="2348"/>
      <c r="O53" s="2364" t="s">
        <v>2386</v>
      </c>
      <c r="P53" s="2362" t="s">
        <v>2387</v>
      </c>
      <c r="Q53" s="2365">
        <f>J53</f>
        <v>0</v>
      </c>
      <c r="R53" s="2366"/>
    </row>
    <row r="54" spans="1:18" s="2043" customFormat="1" ht="29.25" thickBot="1">
      <c r="A54" s="2080"/>
      <c r="I54" s="3098" t="s">
        <v>2974</v>
      </c>
      <c r="J54" s="3101">
        <f ca="1">IF(M48="住宅",MAX(J52,L49-'数据-取费表'!B20),MIN(J52,L49-'数据-取费表'!B20))</f>
        <v>-2</v>
      </c>
      <c r="K54" s="4095"/>
      <c r="L54" s="4096"/>
      <c r="O54" s="2364" t="s">
        <v>2388</v>
      </c>
      <c r="P54" s="2362" t="s">
        <v>2389</v>
      </c>
      <c r="Q54" s="2363">
        <f ca="1">J54</f>
        <v>-2</v>
      </c>
      <c r="R54" s="2362" t="s">
        <v>2390</v>
      </c>
    </row>
    <row r="55" spans="1:18" s="2043" customFormat="1" ht="18" customHeight="1" thickBot="1">
      <c r="A55" s="2080"/>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61" t="s">
        <v>2391</v>
      </c>
      <c r="P55" s="2362" t="s">
        <v>2408</v>
      </c>
      <c r="Q55" s="2363">
        <f ca="1">Q49+Q50</f>
        <v>0</v>
      </c>
      <c r="R55" s="2366" t="s">
        <v>2392</v>
      </c>
    </row>
    <row r="56" spans="1:18" s="2043" customFormat="1" ht="16.5" thickBot="1">
      <c r="A56" s="2080"/>
      <c r="B56" s="2081"/>
      <c r="C56" s="2081"/>
      <c r="I56" s="3110" t="s">
        <v>2355</v>
      </c>
      <c r="J56" s="3049" t="e">
        <f ca="1">ROUND(IF(J48="钢混",J58/J51,1-(1-2%)*(J51-J58)/J51),3)</f>
        <v>#VALUE!</v>
      </c>
      <c r="K56" s="3111" t="s">
        <v>2356</v>
      </c>
      <c r="L56" s="2349"/>
      <c r="O56" s="2367" t="s">
        <v>2411</v>
      </c>
      <c r="P56" s="1577"/>
      <c r="Q56" s="1588"/>
      <c r="R56" s="1577"/>
    </row>
    <row r="57" spans="1:18" s="2043" customFormat="1" ht="43.5" thickBot="1">
      <c r="A57" s="2080"/>
      <c r="B57" s="2081"/>
      <c r="C57" s="2081"/>
      <c r="I57" s="3112" t="s">
        <v>2357</v>
      </c>
      <c r="J57" s="3122" t="s">
        <v>1678</v>
      </c>
      <c r="K57" s="3074" t="s">
        <v>2362</v>
      </c>
      <c r="L57" s="1892">
        <f ca="1">IF(L49&lt;J52,"——",L49-J52)</f>
        <v>0</v>
      </c>
      <c r="O57" s="2358" t="s">
        <v>2375</v>
      </c>
      <c r="P57" s="2359" t="s">
        <v>2376</v>
      </c>
      <c r="Q57" s="2360" t="s">
        <v>2377</v>
      </c>
      <c r="R57" s="2359" t="s">
        <v>2378</v>
      </c>
    </row>
    <row r="58" spans="1:18" s="2043" customFormat="1" ht="29.25" thickBot="1">
      <c r="A58" s="2080"/>
      <c r="B58" s="2081"/>
      <c r="C58" s="2081"/>
      <c r="I58" s="3113" t="s">
        <v>2358</v>
      </c>
      <c r="J58" s="3114" t="str">
        <f ca="1">IF(OR(M48="住宅",J52&lt;L49,J57="是"),"——",J52-L49)</f>
        <v>——</v>
      </c>
      <c r="K58" s="3074" t="s">
        <v>2363</v>
      </c>
      <c r="L58" s="1892">
        <f ca="1">IF(L49&lt;J52,"——",IF(L56="比较法",L50,IF(L56="基准地价",L51,L52)))</f>
        <v>0</v>
      </c>
      <c r="O58" s="2361" t="s">
        <v>2379</v>
      </c>
      <c r="P58" s="2362" t="s">
        <v>2405</v>
      </c>
      <c r="Q58" s="2363">
        <f ca="1">C41+J31</f>
        <v>0</v>
      </c>
      <c r="R58" s="2362" t="s">
        <v>2380</v>
      </c>
    </row>
    <row r="59" spans="1:18" s="2043" customFormat="1" ht="29.25" thickBot="1">
      <c r="A59" s="2080"/>
      <c r="B59" s="2081"/>
      <c r="C59" s="2081"/>
      <c r="I59" s="3113" t="s">
        <v>2359</v>
      </c>
      <c r="J59" s="3050" t="e">
        <f ca="1">IF(J56&lt;0.4,0.4,J56)</f>
        <v>#VALUE!</v>
      </c>
      <c r="K59" s="3074" t="s">
        <v>2364</v>
      </c>
      <c r="L59" s="1892">
        <f ca="1">IF(ISERROR(POWER(1+L53,L48-L49)*(POWER(1+L53,L49)-1)/(POWER(1+L53,L48)-1)),0,POWER(1+L53,L48-L49)*(POWER(1+L53,L49)-1)/(POWER(1+L53,L48)-1))</f>
        <v>0</v>
      </c>
      <c r="O59" s="2361" t="s">
        <v>2381</v>
      </c>
      <c r="P59" s="2362" t="s">
        <v>2412</v>
      </c>
      <c r="Q59" s="2363" t="e">
        <f ca="1">L61</f>
        <v>#DIV/0!</v>
      </c>
      <c r="R59" s="2366" t="s">
        <v>2414</v>
      </c>
    </row>
    <row r="60" spans="1:18" s="2043" customFormat="1" ht="29.25" thickBot="1">
      <c r="A60" s="2080"/>
      <c r="B60" s="2081"/>
      <c r="C60" s="2081"/>
      <c r="I60" s="3113" t="s">
        <v>2360</v>
      </c>
      <c r="J60" s="3114" t="str">
        <f ca="1">IF(OR(M48="住宅",J52&lt;L49,J57="是"),"——",ROUND(C30*J59,0))</f>
        <v>——</v>
      </c>
      <c r="K60" s="3074" t="s">
        <v>2365</v>
      </c>
      <c r="L60" s="1892">
        <f ca="1">IF(ISERROR(POWER(1+L53,L48-J52)*(POWER(1+L53,J52)-1)/(POWER(1+L53,L48)-1)),0,POWER(1+L53,L48-J52)*(POWER(1+L53,J52)-1)/(POWER(1+L53,L48)-1))</f>
        <v>0</v>
      </c>
      <c r="O60" s="2364" t="s">
        <v>2383</v>
      </c>
      <c r="P60" s="2362" t="s">
        <v>2413</v>
      </c>
      <c r="Q60" s="2363">
        <f>IF(L56="比较法",L50,IF(L56="基准地价",L51,0))</f>
        <v>0</v>
      </c>
      <c r="R60" s="2362" t="s">
        <v>2380</v>
      </c>
    </row>
    <row r="61" spans="1:18" s="2043" customFormat="1" ht="15.75" thickBot="1">
      <c r="A61" s="2080"/>
      <c r="B61" s="2081"/>
      <c r="C61" s="2081"/>
      <c r="I61" s="3115" t="s">
        <v>2361</v>
      </c>
      <c r="J61" s="3116" t="str">
        <f ca="1">IF(OR(M48="住宅",J52&lt;L49,J57="是"),"0",ROUND(J60/(1+J53)^J54,0))</f>
        <v>0</v>
      </c>
      <c r="K61" s="3117" t="s">
        <v>2366</v>
      </c>
      <c r="L61" s="3116" t="e">
        <f ca="1">IF(OR(M48="住宅",L49&lt;J52),0,ROUND(L58*(L59/L60-1),0))</f>
        <v>#DIV/0!</v>
      </c>
      <c r="O61" s="2364" t="s">
        <v>2384</v>
      </c>
      <c r="P61" s="2362" t="s">
        <v>2393</v>
      </c>
      <c r="Q61" s="2365">
        <f>L53</f>
        <v>0</v>
      </c>
      <c r="R61" s="2366"/>
    </row>
    <row r="62" spans="1:18" s="2043" customFormat="1" ht="20.25" thickBot="1">
      <c r="A62" s="2080"/>
      <c r="B62" s="2081"/>
      <c r="C62" s="2081"/>
      <c r="K62" s="2070"/>
      <c r="O62" s="2364" t="s">
        <v>2386</v>
      </c>
      <c r="P62" s="2362" t="s">
        <v>2394</v>
      </c>
      <c r="Q62" s="2363">
        <f ca="1">L59</f>
        <v>0</v>
      </c>
      <c r="R62" s="2366" t="s">
        <v>2395</v>
      </c>
    </row>
    <row r="63" spans="1:18" s="2043" customFormat="1" ht="20.25" thickBot="1">
      <c r="A63" s="2080"/>
      <c r="B63" s="2081"/>
      <c r="C63" s="2081"/>
      <c r="I63" s="3118" t="s">
        <v>2367</v>
      </c>
      <c r="J63" s="3119" t="s">
        <v>2368</v>
      </c>
      <c r="K63" s="3119" t="s">
        <v>2369</v>
      </c>
      <c r="L63" s="3119" t="s">
        <v>2350</v>
      </c>
      <c r="M63" s="3120" t="s">
        <v>2939</v>
      </c>
      <c r="O63" s="2364" t="s">
        <v>2388</v>
      </c>
      <c r="P63" s="2362" t="s">
        <v>2396</v>
      </c>
      <c r="Q63" s="2363">
        <f ca="1">L60</f>
        <v>0</v>
      </c>
      <c r="R63" s="2366" t="s">
        <v>2397</v>
      </c>
    </row>
    <row r="64" spans="1:18" s="2043" customFormat="1" ht="15.75" thickBot="1">
      <c r="A64" s="2080"/>
      <c r="B64" s="2081"/>
      <c r="C64" s="2081"/>
      <c r="I64" s="3118" t="s">
        <v>2370</v>
      </c>
      <c r="J64" s="3119">
        <v>70</v>
      </c>
      <c r="K64" s="3119">
        <v>50</v>
      </c>
      <c r="L64" s="3119">
        <v>80</v>
      </c>
      <c r="M64" s="3121">
        <v>0.02</v>
      </c>
      <c r="O64" s="2361" t="s">
        <v>2391</v>
      </c>
      <c r="P64" s="2362" t="s">
        <v>2408</v>
      </c>
      <c r="Q64" s="2363" t="e">
        <f ca="1">Q58+Q59</f>
        <v>#DIV/0!</v>
      </c>
      <c r="R64" s="2366" t="s">
        <v>2392</v>
      </c>
    </row>
    <row r="65" spans="1:18" s="2043" customFormat="1" ht="16.5" thickBot="1">
      <c r="A65" s="2080"/>
      <c r="B65" s="2081"/>
      <c r="C65" s="2081"/>
      <c r="I65" s="3118" t="s">
        <v>2371</v>
      </c>
      <c r="J65" s="3119">
        <v>50</v>
      </c>
      <c r="K65" s="3119">
        <v>35</v>
      </c>
      <c r="L65" s="3119">
        <v>60</v>
      </c>
      <c r="M65" s="845">
        <v>0</v>
      </c>
      <c r="O65" s="2367" t="s">
        <v>2415</v>
      </c>
      <c r="P65" s="1577"/>
      <c r="Q65" s="1588"/>
      <c r="R65" s="1577"/>
    </row>
    <row r="66" spans="1:18" s="2043" customFormat="1" ht="15.75" thickBot="1">
      <c r="A66" s="2080"/>
      <c r="B66" s="2081"/>
      <c r="C66" s="2081"/>
      <c r="I66" s="3118" t="s">
        <v>2372</v>
      </c>
      <c r="J66" s="3119">
        <v>40</v>
      </c>
      <c r="K66" s="3119">
        <v>30</v>
      </c>
      <c r="L66" s="3119">
        <v>50</v>
      </c>
      <c r="M66" s="3121">
        <v>0.02</v>
      </c>
      <c r="O66" s="2358" t="s">
        <v>2375</v>
      </c>
      <c r="P66" s="2359" t="s">
        <v>2376</v>
      </c>
      <c r="Q66" s="2360" t="s">
        <v>2377</v>
      </c>
      <c r="R66" s="2359" t="s">
        <v>2378</v>
      </c>
    </row>
    <row r="67" spans="1:18" s="2043" customFormat="1" ht="15.75" thickBot="1">
      <c r="A67" s="2080"/>
      <c r="B67" s="2081"/>
      <c r="C67" s="2081"/>
      <c r="K67" s="2070"/>
      <c r="O67" s="2361" t="s">
        <v>2379</v>
      </c>
      <c r="P67" s="2362" t="s">
        <v>2405</v>
      </c>
      <c r="Q67" s="2363">
        <f ca="1">C41+J31</f>
        <v>0</v>
      </c>
      <c r="R67" s="2362" t="s">
        <v>2380</v>
      </c>
    </row>
    <row r="68" spans="1:18" s="2043" customFormat="1" ht="20.25" thickBot="1">
      <c r="A68" s="2080"/>
      <c r="B68" s="2081"/>
      <c r="C68" s="2081"/>
      <c r="K68" s="2070"/>
      <c r="O68" s="2361" t="s">
        <v>2381</v>
      </c>
      <c r="P68" s="2362" t="s">
        <v>2412</v>
      </c>
      <c r="Q68" s="2363" t="e">
        <f ca="1">L61</f>
        <v>#DIV/0!</v>
      </c>
      <c r="R68" s="2366" t="s">
        <v>2414</v>
      </c>
    </row>
    <row r="69" spans="1:18" s="2043" customFormat="1" ht="21.75" thickBot="1">
      <c r="A69" s="2080"/>
      <c r="B69" s="2081"/>
      <c r="C69" s="2081"/>
      <c r="K69" s="2070"/>
      <c r="O69" s="2364" t="s">
        <v>2383</v>
      </c>
      <c r="P69" s="2362" t="s">
        <v>2413</v>
      </c>
      <c r="Q69" s="2368">
        <f ca="1">L52</f>
        <v>0</v>
      </c>
      <c r="R69" s="2369" t="s">
        <v>2416</v>
      </c>
    </row>
    <row r="70" spans="1:18" s="2043" customFormat="1" ht="20.25" thickBot="1">
      <c r="A70" s="2080"/>
      <c r="B70" s="2081"/>
      <c r="C70" s="2081"/>
      <c r="K70" s="2070"/>
      <c r="O70" s="2364" t="s">
        <v>2384</v>
      </c>
      <c r="P70" s="2370" t="s">
        <v>2398</v>
      </c>
      <c r="Q70" s="2363">
        <f ca="1">ROUND(Q71-Q72*Q73,0)</f>
        <v>0</v>
      </c>
      <c r="R70" s="2366"/>
    </row>
    <row r="71" spans="1:18" s="2043" customFormat="1" ht="15.75" thickBot="1">
      <c r="A71" s="2080"/>
      <c r="B71" s="2081"/>
      <c r="C71" s="2081"/>
      <c r="K71" s="2070"/>
      <c r="O71" s="2364" t="s">
        <v>2399</v>
      </c>
      <c r="P71" s="2370" t="s">
        <v>2400</v>
      </c>
      <c r="Q71" s="2363">
        <f ca="1">C42</f>
        <v>0</v>
      </c>
      <c r="R71" s="2362" t="s">
        <v>2380</v>
      </c>
    </row>
    <row r="72" spans="1:18" s="2043" customFormat="1" ht="15.75" thickBot="1">
      <c r="A72" s="2080"/>
      <c r="B72" s="2081"/>
      <c r="C72" s="2081"/>
      <c r="K72" s="2070"/>
      <c r="O72" s="2364" t="s">
        <v>2401</v>
      </c>
      <c r="P72" s="2370" t="s">
        <v>2402</v>
      </c>
      <c r="Q72" s="2363">
        <f ca="1">C15</f>
        <v>0</v>
      </c>
      <c r="R72" s="2362" t="s">
        <v>2380</v>
      </c>
    </row>
    <row r="73" spans="1:18" s="2043" customFormat="1" ht="15.75" thickBot="1">
      <c r="A73" s="2080"/>
      <c r="B73" s="2081"/>
      <c r="C73" s="2081"/>
      <c r="K73" s="2070"/>
      <c r="O73" s="2364" t="s">
        <v>2403</v>
      </c>
      <c r="P73" s="2370" t="s">
        <v>2404</v>
      </c>
      <c r="Q73" s="2365">
        <f ca="1">F43</f>
        <v>0</v>
      </c>
      <c r="R73" s="2366"/>
    </row>
    <row r="74" spans="1:18" s="2043" customFormat="1" ht="15.75" thickBot="1">
      <c r="A74" s="2080"/>
      <c r="B74" s="2081"/>
      <c r="C74" s="2081"/>
      <c r="K74" s="2070"/>
      <c r="O74" s="2364" t="s">
        <v>2386</v>
      </c>
      <c r="P74" s="2362" t="s">
        <v>2393</v>
      </c>
      <c r="Q74" s="2365">
        <f>L53</f>
        <v>0</v>
      </c>
      <c r="R74" s="2366"/>
    </row>
    <row r="75" spans="1:18" s="2043" customFormat="1" ht="20.25" thickBot="1">
      <c r="A75" s="2080"/>
      <c r="B75" s="2081"/>
      <c r="C75" s="2081"/>
      <c r="K75" s="2070"/>
      <c r="O75" s="2364" t="s">
        <v>2388</v>
      </c>
      <c r="P75" s="2362" t="s">
        <v>2394</v>
      </c>
      <c r="Q75" s="2363">
        <f ca="1">L59</f>
        <v>0</v>
      </c>
      <c r="R75" s="2366" t="s">
        <v>2395</v>
      </c>
    </row>
    <row r="76" spans="1:18" s="2043" customFormat="1" ht="20.25" thickBot="1">
      <c r="A76" s="2080"/>
      <c r="B76" s="2081"/>
      <c r="C76" s="2081"/>
      <c r="K76" s="2070"/>
      <c r="O76" s="2364" t="s">
        <v>2417</v>
      </c>
      <c r="P76" s="2362" t="s">
        <v>2396</v>
      </c>
      <c r="Q76" s="2363">
        <f ca="1">L60</f>
        <v>0</v>
      </c>
      <c r="R76" s="2366" t="s">
        <v>2397</v>
      </c>
    </row>
    <row r="77" spans="1:18" s="2043" customFormat="1" ht="15.75" thickBot="1">
      <c r="A77" s="2080"/>
      <c r="B77" s="2081"/>
      <c r="C77" s="2081"/>
      <c r="K77" s="2070"/>
      <c r="O77" s="2361" t="s">
        <v>2391</v>
      </c>
      <c r="P77" s="2362" t="s">
        <v>2408</v>
      </c>
      <c r="Q77" s="2363" t="e">
        <f ca="1">Q67+Q68</f>
        <v>#DIV/0!</v>
      </c>
      <c r="R77" s="2366" t="s">
        <v>2392</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S15" sqref="S15"/>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2586" t="s">
        <v>719</v>
      </c>
      <c r="C1" s="2587" t="s">
        <v>720</v>
      </c>
      <c r="D1" s="2588" t="s">
        <v>923</v>
      </c>
      <c r="E1" s="2589"/>
      <c r="F1" s="2761" t="s">
        <v>3048</v>
      </c>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2" t="s">
        <v>467</v>
      </c>
      <c r="B2" s="2585">
        <f>ROUND(B3*D3/10000,0)</f>
        <v>64233</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7" customFormat="1" ht="28.5" customHeight="1" thickBot="1">
      <c r="A3" s="508" t="s">
        <v>519</v>
      </c>
      <c r="B3" s="850">
        <f>C49</f>
        <v>5264</v>
      </c>
      <c r="C3" s="851" t="s">
        <v>722</v>
      </c>
      <c r="D3" s="850">
        <f>SUMIF('数据-汇总表'!$C19:$C33,D1,'数据-汇总表'!$E19:$E33)</f>
        <v>122022.8</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1" t="s">
        <v>521</v>
      </c>
      <c r="B4" s="512"/>
      <c r="C4" s="4023" t="s">
        <v>522</v>
      </c>
      <c r="D4" s="4024"/>
      <c r="E4" s="4047" t="s">
        <v>523</v>
      </c>
      <c r="F4" s="4048"/>
      <c r="G4" s="4023" t="s">
        <v>524</v>
      </c>
      <c r="H4" s="4024"/>
      <c r="I4" s="4023" t="s">
        <v>525</v>
      </c>
      <c r="J4" s="4024"/>
      <c r="K4" s="852" t="s">
        <v>526</v>
      </c>
      <c r="L4" s="2117"/>
      <c r="M4" s="2118"/>
      <c r="N4" s="2118"/>
      <c r="O4" s="2118"/>
      <c r="P4" s="4025" t="s">
        <v>527</v>
      </c>
      <c r="Q4" s="4026"/>
      <c r="R4" s="4011" t="s">
        <v>523</v>
      </c>
      <c r="S4" s="4012"/>
      <c r="T4" s="4011" t="s">
        <v>524</v>
      </c>
      <c r="U4" s="4012"/>
      <c r="V4" s="4031" t="s">
        <v>525</v>
      </c>
      <c r="W4" s="4031"/>
      <c r="X4" s="1552"/>
      <c r="Y4" s="4011" t="s">
        <v>527</v>
      </c>
      <c r="Z4" s="4012"/>
      <c r="AA4" s="4006" t="s">
        <v>523</v>
      </c>
      <c r="AB4" s="4006" t="s">
        <v>524</v>
      </c>
      <c r="AC4" s="4006" t="s">
        <v>525</v>
      </c>
    </row>
    <row r="5" spans="1:29" ht="15">
      <c r="A5" s="514"/>
      <c r="B5" s="515"/>
      <c r="C5" s="4034" t="s">
        <v>2926</v>
      </c>
      <c r="D5" s="4035"/>
      <c r="E5" s="4097" t="s">
        <v>3016</v>
      </c>
      <c r="F5" s="4050"/>
      <c r="G5" s="4098" t="s">
        <v>3581</v>
      </c>
      <c r="H5" s="4035"/>
      <c r="I5" s="4098" t="s">
        <v>3321</v>
      </c>
      <c r="J5" s="4035"/>
      <c r="K5" s="853"/>
      <c r="L5" s="2117"/>
      <c r="M5" s="2118"/>
      <c r="N5" s="2118"/>
      <c r="O5" s="2118"/>
      <c r="P5" s="4027"/>
      <c r="Q5" s="4028"/>
      <c r="R5" s="4013"/>
      <c r="S5" s="4014"/>
      <c r="T5" s="4013"/>
      <c r="U5" s="4014"/>
      <c r="V5" s="4031"/>
      <c r="W5" s="4031"/>
      <c r="X5" s="1552"/>
      <c r="Y5" s="4013"/>
      <c r="Z5" s="4014"/>
      <c r="AA5" s="4007"/>
      <c r="AB5" s="4007"/>
      <c r="AC5" s="4007"/>
    </row>
    <row r="6" spans="1:29" ht="15.75" thickBot="1">
      <c r="A6" s="516"/>
      <c r="B6" s="517"/>
      <c r="C6" s="4032" t="s">
        <v>2930</v>
      </c>
      <c r="D6" s="4033"/>
      <c r="E6" s="4051" t="s">
        <v>2930</v>
      </c>
      <c r="F6" s="4052"/>
      <c r="G6" s="4032" t="s">
        <v>2930</v>
      </c>
      <c r="H6" s="4033"/>
      <c r="I6" s="4032" t="s">
        <v>2930</v>
      </c>
      <c r="J6" s="4033"/>
      <c r="K6" s="853" t="s">
        <v>528</v>
      </c>
      <c r="L6" s="2117"/>
      <c r="M6" s="2118"/>
      <c r="N6" s="2118"/>
      <c r="O6" s="2118"/>
      <c r="P6" s="4029"/>
      <c r="Q6" s="4030"/>
      <c r="R6" s="4013"/>
      <c r="S6" s="4014"/>
      <c r="T6" s="4015"/>
      <c r="U6" s="4016"/>
      <c r="V6" s="4031"/>
      <c r="W6" s="4031"/>
      <c r="X6" s="1552"/>
      <c r="Y6" s="4015"/>
      <c r="Z6" s="4016"/>
      <c r="AA6" s="4008"/>
      <c r="AB6" s="4008"/>
      <c r="AC6" s="4008"/>
    </row>
    <row r="7" spans="1:29" s="1215" customFormat="1" ht="15.75" thickBot="1">
      <c r="A7" s="2865"/>
      <c r="B7" s="2872" t="s">
        <v>529</v>
      </c>
      <c r="C7" s="518">
        <f>'数据-取费表'!B2</f>
        <v>43647</v>
      </c>
      <c r="D7" s="519">
        <v>100</v>
      </c>
      <c r="E7" s="520">
        <f>C7</f>
        <v>43647</v>
      </c>
      <c r="F7" s="521">
        <f>SUMIF(58:58,YEAR(E7)&amp;"-"&amp;MONTH(E7),59:59)</f>
        <v>100</v>
      </c>
      <c r="G7" s="522">
        <f>C7</f>
        <v>43647</v>
      </c>
      <c r="H7" s="519">
        <f>SUMIF(58:58,YEAR(G7)&amp;"-"&amp;MONTH(G7),59:59)</f>
        <v>100</v>
      </c>
      <c r="I7" s="522">
        <f>C7</f>
        <v>43647</v>
      </c>
      <c r="J7" s="519">
        <f>SUMIF(58:58,YEAR(I7)&amp;"-"&amp;MONTH(I7),59:59)</f>
        <v>100</v>
      </c>
      <c r="K7" s="854"/>
      <c r="L7" s="2119"/>
      <c r="M7" s="2120"/>
      <c r="N7" s="2120"/>
      <c r="O7" s="2120"/>
      <c r="P7" s="4009" t="s">
        <v>530</v>
      </c>
      <c r="Q7" s="4018"/>
      <c r="R7" s="1553" t="s">
        <v>13</v>
      </c>
      <c r="S7" s="1554">
        <f t="shared" ref="S7:S15" si="0">F7</f>
        <v>100</v>
      </c>
      <c r="T7" s="1553" t="s">
        <v>13</v>
      </c>
      <c r="U7" s="1554">
        <f t="shared" ref="U7:U15" si="1">H7</f>
        <v>100</v>
      </c>
      <c r="V7" s="1553" t="s">
        <v>13</v>
      </c>
      <c r="W7" s="1554">
        <f t="shared" ref="W7:W15" si="2">J7</f>
        <v>100</v>
      </c>
      <c r="X7" s="1555"/>
      <c r="Y7" s="4009" t="s">
        <v>530</v>
      </c>
      <c r="Z7" s="4010"/>
      <c r="AA7" s="1556">
        <f>D7/F7</f>
        <v>1</v>
      </c>
      <c r="AB7" s="1556">
        <f>D7/H7</f>
        <v>1</v>
      </c>
      <c r="AC7" s="1556">
        <f>D7/J7</f>
        <v>1</v>
      </c>
    </row>
    <row r="8" spans="1:29" s="1215" customFormat="1" ht="15.75" thickBot="1">
      <c r="A8" s="2866"/>
      <c r="B8" s="2873" t="s">
        <v>531</v>
      </c>
      <c r="C8" s="524" t="s">
        <v>576</v>
      </c>
      <c r="D8" s="519">
        <v>100</v>
      </c>
      <c r="E8" s="855" t="s">
        <v>3012</v>
      </c>
      <c r="F8" s="521">
        <f>SUMIF(61:61,E8,62:62)-SUMIF(61:61,C8,62:62)+100</f>
        <v>100</v>
      </c>
      <c r="G8" s="524" t="s">
        <v>3012</v>
      </c>
      <c r="H8" s="519">
        <f>SUMIF(61:61,G8,62:62)-SUMIF(61:61,C8,62:62)+100</f>
        <v>100</v>
      </c>
      <c r="I8" s="855" t="s">
        <v>3012</v>
      </c>
      <c r="J8" s="519">
        <f>SUMIF(61:61,I8,62:62)-SUMIF(61:61,C8,62:62)+100</f>
        <v>100</v>
      </c>
      <c r="K8" s="854"/>
      <c r="L8" s="2119"/>
      <c r="M8" s="2120"/>
      <c r="N8" s="2120"/>
      <c r="O8" s="2120"/>
      <c r="P8" s="4009" t="s">
        <v>533</v>
      </c>
      <c r="Q8" s="4010"/>
      <c r="R8" s="1553" t="s">
        <v>13</v>
      </c>
      <c r="S8" s="1554">
        <f t="shared" si="0"/>
        <v>100</v>
      </c>
      <c r="T8" s="1553" t="s">
        <v>13</v>
      </c>
      <c r="U8" s="1554">
        <f t="shared" si="1"/>
        <v>100</v>
      </c>
      <c r="V8" s="1553" t="s">
        <v>13</v>
      </c>
      <c r="W8" s="1554">
        <f t="shared" si="2"/>
        <v>100</v>
      </c>
      <c r="X8" s="1555"/>
      <c r="Y8" s="4009" t="s">
        <v>533</v>
      </c>
      <c r="Z8" s="4010"/>
      <c r="AA8" s="1556">
        <f t="shared" ref="AA8:AA46" si="3">D8/F8</f>
        <v>1</v>
      </c>
      <c r="AB8" s="1556">
        <f t="shared" ref="AB8:AB46" si="4">D8/H8</f>
        <v>1</v>
      </c>
      <c r="AC8" s="1556">
        <f t="shared" ref="AC8:AC46" si="5">D8/J8</f>
        <v>1</v>
      </c>
    </row>
    <row r="9" spans="1:29" s="1215" customFormat="1" ht="15">
      <c r="A9" s="2867"/>
      <c r="B9" s="2874" t="s">
        <v>2755</v>
      </c>
      <c r="C9" s="3184" t="s">
        <v>3013</v>
      </c>
      <c r="D9" s="253">
        <v>100</v>
      </c>
      <c r="E9" s="857" t="s">
        <v>923</v>
      </c>
      <c r="F9" s="858">
        <f>SUMIF(63:63,E9,64:64)-SUMIF(63:63,C9,64:64)+100</f>
        <v>100</v>
      </c>
      <c r="G9" s="859" t="s">
        <v>923</v>
      </c>
      <c r="H9" s="253">
        <f>SUMIF(63:63,G9,64:64)-SUMIF(63:63,C9,64:64)+100</f>
        <v>100</v>
      </c>
      <c r="I9" s="859" t="s">
        <v>923</v>
      </c>
      <c r="J9" s="253">
        <f>SUMIF(63:63,I9,64:64)-SUMIF(63:63,C9,64:64)+100</f>
        <v>100</v>
      </c>
      <c r="K9" s="854"/>
      <c r="L9" s="2119"/>
      <c r="M9" s="2120"/>
      <c r="N9" s="2120"/>
      <c r="O9" s="2121"/>
      <c r="P9" s="4017" t="s">
        <v>535</v>
      </c>
      <c r="Q9" s="1146" t="str">
        <f t="shared" ref="Q9:Q15" si="6">B9</f>
        <v>用途</v>
      </c>
      <c r="R9" s="1553" t="s">
        <v>8</v>
      </c>
      <c r="S9" s="1554">
        <f t="shared" si="0"/>
        <v>100</v>
      </c>
      <c r="T9" s="1553" t="s">
        <v>8</v>
      </c>
      <c r="U9" s="1554">
        <f t="shared" si="1"/>
        <v>100</v>
      </c>
      <c r="V9" s="1553" t="s">
        <v>8</v>
      </c>
      <c r="W9" s="1554">
        <f t="shared" si="2"/>
        <v>100</v>
      </c>
      <c r="X9" s="1555"/>
      <c r="Y9" s="3974" t="s">
        <v>536</v>
      </c>
      <c r="Z9" s="1145" t="str">
        <f t="shared" ref="Z9:Z15" si="7">Q9</f>
        <v>用途</v>
      </c>
      <c r="AA9" s="1556">
        <f t="shared" si="3"/>
        <v>1</v>
      </c>
      <c r="AB9" s="1556">
        <f t="shared" si="4"/>
        <v>1</v>
      </c>
      <c r="AC9" s="1556">
        <f t="shared" si="5"/>
        <v>1</v>
      </c>
    </row>
    <row r="10" spans="1:29" s="1333" customFormat="1" ht="27">
      <c r="A10" s="2868"/>
      <c r="B10" s="2873" t="s">
        <v>2756</v>
      </c>
      <c r="C10" s="860" t="s">
        <v>3047</v>
      </c>
      <c r="D10" s="254">
        <v>100</v>
      </c>
      <c r="E10" s="861" t="s">
        <v>3047</v>
      </c>
      <c r="F10" s="862">
        <f>SUMIF(65:65,E10,66:66)-SUMIF(65:65,C10,66:66)+100</f>
        <v>100</v>
      </c>
      <c r="G10" s="860" t="s">
        <v>3047</v>
      </c>
      <c r="H10" s="254">
        <f>SUMIF(65:65,G10,66:66)-SUMIF(65:65,C10,66:66)+100</f>
        <v>100</v>
      </c>
      <c r="I10" s="860" t="s">
        <v>3047</v>
      </c>
      <c r="J10" s="254">
        <f>SUMIF(65:65,I10,66:66)-SUMIF(65:65,C10,66:66)+100</f>
        <v>100</v>
      </c>
      <c r="K10" s="863">
        <v>2</v>
      </c>
      <c r="L10" s="2122"/>
      <c r="M10" s="2162"/>
      <c r="N10" s="2162"/>
      <c r="O10" s="2123"/>
      <c r="P10" s="4017"/>
      <c r="Q10" s="1146" t="str">
        <f t="shared" si="6"/>
        <v>土地使用年限（年）</v>
      </c>
      <c r="R10" s="1553" t="s">
        <v>8</v>
      </c>
      <c r="S10" s="1554">
        <f t="shared" si="0"/>
        <v>100</v>
      </c>
      <c r="T10" s="1553" t="s">
        <v>8</v>
      </c>
      <c r="U10" s="1554">
        <f t="shared" si="1"/>
        <v>100</v>
      </c>
      <c r="V10" s="1553" t="s">
        <v>8</v>
      </c>
      <c r="W10" s="1554">
        <f t="shared" si="2"/>
        <v>100</v>
      </c>
      <c r="X10" s="1555"/>
      <c r="Y10" s="3974"/>
      <c r="Z10" s="1145" t="str">
        <f t="shared" si="7"/>
        <v>土地使用年限（年）</v>
      </c>
      <c r="AA10" s="1556">
        <f t="shared" si="3"/>
        <v>1</v>
      </c>
      <c r="AB10" s="1556">
        <f t="shared" si="4"/>
        <v>1</v>
      </c>
      <c r="AC10" s="1556">
        <f t="shared" si="5"/>
        <v>1</v>
      </c>
    </row>
    <row r="11" spans="1:29" ht="15">
      <c r="A11" s="2869"/>
      <c r="B11" s="2873" t="s">
        <v>2757</v>
      </c>
      <c r="C11" s="3325">
        <f>'数据-汇总表'!I7</f>
        <v>4.8</v>
      </c>
      <c r="D11" s="3313">
        <v>100</v>
      </c>
      <c r="E11" s="3314">
        <v>2</v>
      </c>
      <c r="F11" s="3315">
        <f>LOOKUP(E11,68:68,69:69)-LOOKUP(C11,68:68,69:69)+100</f>
        <v>104</v>
      </c>
      <c r="G11" s="3312">
        <v>3</v>
      </c>
      <c r="H11" s="3313">
        <f>LOOKUP(G11,68:68,69:69)-LOOKUP(C11,68:68,69:69)+100</f>
        <v>102</v>
      </c>
      <c r="I11" s="3312">
        <v>3</v>
      </c>
      <c r="J11" s="254">
        <f>LOOKUP(I11,68:68,69:69)-LOOKUP(C11,68:68,69:69)+100</f>
        <v>102</v>
      </c>
      <c r="K11" s="863">
        <v>2</v>
      </c>
      <c r="L11" s="2124"/>
      <c r="M11" s="2118"/>
      <c r="N11" s="2118"/>
      <c r="O11" s="2125"/>
      <c r="P11" s="4017"/>
      <c r="Q11" s="1146" t="str">
        <f t="shared" si="6"/>
        <v>容积率</v>
      </c>
      <c r="R11" s="1553" t="s">
        <v>11</v>
      </c>
      <c r="S11" s="1554">
        <f t="shared" si="0"/>
        <v>104</v>
      </c>
      <c r="T11" s="1553" t="s">
        <v>11</v>
      </c>
      <c r="U11" s="1554">
        <f t="shared" si="1"/>
        <v>102</v>
      </c>
      <c r="V11" s="1553" t="s">
        <v>11</v>
      </c>
      <c r="W11" s="1554">
        <f t="shared" si="2"/>
        <v>102</v>
      </c>
      <c r="X11" s="1555"/>
      <c r="Y11" s="3974"/>
      <c r="Z11" s="1145" t="str">
        <f t="shared" si="7"/>
        <v>容积率</v>
      </c>
      <c r="AA11" s="1556">
        <f t="shared" si="3"/>
        <v>0.96153846153846156</v>
      </c>
      <c r="AB11" s="1556">
        <f t="shared" si="4"/>
        <v>0.98039215686274506</v>
      </c>
      <c r="AC11" s="1556">
        <f t="shared" si="5"/>
        <v>0.98039215686274506</v>
      </c>
    </row>
    <row r="12" spans="1:29" s="1215" customFormat="1" ht="15">
      <c r="A12" s="2870"/>
      <c r="B12" s="2876">
        <v>111</v>
      </c>
      <c r="C12" s="527"/>
      <c r="D12" s="537">
        <v>100</v>
      </c>
      <c r="E12" s="527"/>
      <c r="F12" s="862">
        <f>SUMIF(70:70,E12,71:71)-SUMIF(70:70,C12,71:71)+100</f>
        <v>100</v>
      </c>
      <c r="G12" s="527"/>
      <c r="H12" s="254">
        <f>SUMIF(70:70,G12,71:71)-SUMIF(70:70,C12,71:71)+100</f>
        <v>100</v>
      </c>
      <c r="I12" s="527"/>
      <c r="J12" s="254">
        <f>SUMIF(70:70,I12,71:71)-SUMIF(70:70,C12,71:71)+100</f>
        <v>100</v>
      </c>
      <c r="K12" s="864"/>
      <c r="L12" s="2119"/>
      <c r="M12" s="2120"/>
      <c r="N12" s="2120"/>
      <c r="O12" s="2121"/>
      <c r="P12" s="4017"/>
      <c r="Q12" s="1146">
        <f t="shared" si="6"/>
        <v>111</v>
      </c>
      <c r="R12" s="1553" t="s">
        <v>11</v>
      </c>
      <c r="S12" s="1554">
        <f t="shared" si="0"/>
        <v>100</v>
      </c>
      <c r="T12" s="1553" t="s">
        <v>11</v>
      </c>
      <c r="U12" s="1554">
        <f t="shared" si="1"/>
        <v>100</v>
      </c>
      <c r="V12" s="1553" t="s">
        <v>11</v>
      </c>
      <c r="W12" s="1554">
        <f t="shared" si="2"/>
        <v>100</v>
      </c>
      <c r="X12" s="1555"/>
      <c r="Y12" s="3974"/>
      <c r="Z12" s="1145">
        <f t="shared" si="7"/>
        <v>111</v>
      </c>
      <c r="AA12" s="1556">
        <f>D12/F12</f>
        <v>1</v>
      </c>
      <c r="AB12" s="1556">
        <f>D12/H12</f>
        <v>1</v>
      </c>
      <c r="AC12" s="1556">
        <f>D12/J12</f>
        <v>1</v>
      </c>
    </row>
    <row r="13" spans="1:29" ht="15">
      <c r="A13" s="2870"/>
      <c r="B13" s="2876">
        <v>111</v>
      </c>
      <c r="C13" s="538"/>
      <c r="D13" s="539">
        <v>100</v>
      </c>
      <c r="E13" s="538"/>
      <c r="F13" s="862">
        <f>SUMIF(72:72,E13,73:73)-SUMIF(72:72,C13,73:73)+100</f>
        <v>100</v>
      </c>
      <c r="G13" s="538"/>
      <c r="H13" s="539">
        <f>SUMIF(72:72,G13,73:73)-SUMIF(72:72,C13,73:73)+100</f>
        <v>100</v>
      </c>
      <c r="I13" s="538"/>
      <c r="J13" s="539">
        <f>SUMIF(72:72,I13,73:73)-SUMIF(72:72,C13,73:73)+100</f>
        <v>100</v>
      </c>
      <c r="K13" s="864"/>
      <c r="L13" s="2126"/>
      <c r="M13" s="2118"/>
      <c r="N13" s="2118"/>
      <c r="O13" s="2125"/>
      <c r="P13" s="4017"/>
      <c r="Q13" s="1146">
        <f t="shared" si="6"/>
        <v>111</v>
      </c>
      <c r="R13" s="1553" t="s">
        <v>11</v>
      </c>
      <c r="S13" s="1554">
        <f t="shared" si="0"/>
        <v>100</v>
      </c>
      <c r="T13" s="1553" t="s">
        <v>11</v>
      </c>
      <c r="U13" s="1554">
        <f t="shared" si="1"/>
        <v>100</v>
      </c>
      <c r="V13" s="1553" t="s">
        <v>11</v>
      </c>
      <c r="W13" s="1554">
        <f t="shared" si="2"/>
        <v>100</v>
      </c>
      <c r="X13" s="1555"/>
      <c r="Y13" s="3974"/>
      <c r="Z13" s="1145">
        <f t="shared" si="7"/>
        <v>111</v>
      </c>
      <c r="AA13" s="1556">
        <f t="shared" si="3"/>
        <v>1</v>
      </c>
      <c r="AB13" s="1556">
        <f t="shared" si="4"/>
        <v>1</v>
      </c>
      <c r="AC13" s="1556">
        <f t="shared" si="5"/>
        <v>1</v>
      </c>
    </row>
    <row r="14" spans="1:29" ht="15.75" thickBot="1">
      <c r="A14" s="2871"/>
      <c r="B14" s="2877">
        <v>111</v>
      </c>
      <c r="C14" s="544"/>
      <c r="D14" s="545">
        <v>100</v>
      </c>
      <c r="E14" s="544"/>
      <c r="F14" s="865">
        <f>SUMIF(74:74,E14,75:75)-SUMIF(74:74,C14,75:75)+100</f>
        <v>100</v>
      </c>
      <c r="G14" s="544"/>
      <c r="H14" s="545">
        <f>SUMIF(74:74,G14,75:75)-SUMIF(74:74,C14,75:75)+100</f>
        <v>100</v>
      </c>
      <c r="I14" s="544"/>
      <c r="J14" s="545">
        <f>SUMIF(74:74,I14,75:75)-SUMIF(74:74,C14,75:75)+100</f>
        <v>100</v>
      </c>
      <c r="K14" s="864"/>
      <c r="L14" s="2126"/>
      <c r="M14" s="2118"/>
      <c r="N14" s="2118"/>
      <c r="O14" s="2125"/>
      <c r="P14" s="4017"/>
      <c r="Q14" s="1146">
        <f t="shared" si="6"/>
        <v>111</v>
      </c>
      <c r="R14" s="1553" t="s">
        <v>11</v>
      </c>
      <c r="S14" s="1554">
        <f t="shared" si="0"/>
        <v>100</v>
      </c>
      <c r="T14" s="1553" t="s">
        <v>11</v>
      </c>
      <c r="U14" s="1554">
        <f t="shared" si="1"/>
        <v>100</v>
      </c>
      <c r="V14" s="1553" t="s">
        <v>11</v>
      </c>
      <c r="W14" s="1554">
        <f t="shared" si="2"/>
        <v>100</v>
      </c>
      <c r="X14" s="1555"/>
      <c r="Y14" s="3974"/>
      <c r="Z14" s="1145">
        <f t="shared" si="7"/>
        <v>111</v>
      </c>
      <c r="AA14" s="1556">
        <f t="shared" si="3"/>
        <v>1</v>
      </c>
      <c r="AB14" s="1556">
        <f t="shared" si="4"/>
        <v>1</v>
      </c>
      <c r="AC14" s="1556">
        <f t="shared" si="5"/>
        <v>1</v>
      </c>
    </row>
    <row r="15" spans="1:29" ht="85.5">
      <c r="A15" s="2863" t="s">
        <v>2753</v>
      </c>
      <c r="B15" s="166" t="s">
        <v>295</v>
      </c>
      <c r="C15" s="866" t="str">
        <f>估价对象房地状况!C3</f>
        <v>周边居住氛围一遍，有潼南天地、卓然铂金公馆等住宅小区，居住社区成熟度较好</v>
      </c>
      <c r="D15" s="548">
        <v>100</v>
      </c>
      <c r="E15" s="3202" t="s">
        <v>3573</v>
      </c>
      <c r="F15" s="550">
        <f>SUMIF(76:76,E16,77:77)-SUMIF(76:76,C16,77:77)+100</f>
        <v>100</v>
      </c>
      <c r="G15" s="3202" t="s">
        <v>3172</v>
      </c>
      <c r="H15" s="548">
        <f>SUMIF(76:76,G16,77:77)-SUMIF(76:76,C16,77:77)+100</f>
        <v>100</v>
      </c>
      <c r="I15" s="549" t="s">
        <v>3167</v>
      </c>
      <c r="J15" s="548">
        <f>SUMIF(76:76,I16,77:77)-SUMIF(76:76,C16,77:77)+100</f>
        <v>100</v>
      </c>
      <c r="K15" s="867">
        <v>2</v>
      </c>
      <c r="L15" s="2126"/>
      <c r="M15" s="2118"/>
      <c r="N15" s="2118"/>
      <c r="O15" s="2125"/>
      <c r="P15" s="4019" t="s">
        <v>540</v>
      </c>
      <c r="Q15" s="1557" t="str">
        <f t="shared" si="6"/>
        <v>居住社区成熟度</v>
      </c>
      <c r="R15" s="1558" t="s">
        <v>11</v>
      </c>
      <c r="S15" s="1559">
        <f t="shared" si="0"/>
        <v>100</v>
      </c>
      <c r="T15" s="1558" t="s">
        <v>11</v>
      </c>
      <c r="U15" s="1559">
        <f t="shared" si="1"/>
        <v>100</v>
      </c>
      <c r="V15" s="1558" t="s">
        <v>11</v>
      </c>
      <c r="W15" s="1559">
        <f t="shared" si="2"/>
        <v>100</v>
      </c>
      <c r="X15" s="1552"/>
      <c r="Y15" s="4019" t="s">
        <v>540</v>
      </c>
      <c r="Z15" s="1560" t="str">
        <f t="shared" si="7"/>
        <v>居住社区成熟度</v>
      </c>
      <c r="AA15" s="1561">
        <f t="shared" si="3"/>
        <v>1</v>
      </c>
      <c r="AB15" s="1561">
        <f t="shared" si="4"/>
        <v>1</v>
      </c>
      <c r="AC15" s="1561">
        <f t="shared" si="5"/>
        <v>1</v>
      </c>
    </row>
    <row r="16" spans="1:29" ht="15">
      <c r="A16" s="531"/>
      <c r="B16" s="868"/>
      <c r="C16" s="575" t="s">
        <v>3014</v>
      </c>
      <c r="D16" s="554"/>
      <c r="E16" s="555" t="s">
        <v>3014</v>
      </c>
      <c r="F16" s="556"/>
      <c r="G16" s="557" t="s">
        <v>3014</v>
      </c>
      <c r="H16" s="558"/>
      <c r="I16" s="555" t="s">
        <v>3014</v>
      </c>
      <c r="J16" s="554"/>
      <c r="K16" s="869"/>
      <c r="L16" s="2126"/>
      <c r="M16" s="2118"/>
      <c r="N16" s="2118"/>
      <c r="O16" s="2125"/>
      <c r="P16" s="4020"/>
      <c r="Q16" s="1557"/>
      <c r="R16" s="1558"/>
      <c r="S16" s="1559"/>
      <c r="T16" s="1558"/>
      <c r="U16" s="1559"/>
      <c r="V16" s="1558"/>
      <c r="W16" s="1559"/>
      <c r="X16" s="1552"/>
      <c r="Y16" s="4020"/>
      <c r="Z16" s="1560"/>
      <c r="AA16" s="1561">
        <v>1</v>
      </c>
      <c r="AB16" s="1561">
        <v>1</v>
      </c>
      <c r="AC16" s="1561">
        <v>1</v>
      </c>
    </row>
    <row r="17" spans="1:29" ht="128.25">
      <c r="A17" s="531"/>
      <c r="B17" s="870" t="s">
        <v>296</v>
      </c>
      <c r="C17" s="871" t="str">
        <f>估价对象房地状况!C6</f>
        <v>周边道路密集程度一般、公共交通通达情况一般，有107路，203路、等公交线路通过，停车便捷程度一般，综合评价交通便捷度一般。</v>
      </c>
      <c r="D17" s="558">
        <v>100</v>
      </c>
      <c r="E17" s="561" t="s">
        <v>3163</v>
      </c>
      <c r="F17" s="562">
        <f>SUMIF(78:78,E18,79:79)-SUMIF(78:78,C18,79:79)+100</f>
        <v>100</v>
      </c>
      <c r="G17" s="561" t="s">
        <v>3574</v>
      </c>
      <c r="H17" s="564">
        <f>SUMIF(78:78,G18,79:79)-SUMIF(78:78,C18,79:79)+100</f>
        <v>100</v>
      </c>
      <c r="I17" s="563" t="s">
        <v>3168</v>
      </c>
      <c r="J17" s="564">
        <f>SUMIF(78:78,I18,79:79)-SUMIF(78:78,C18,79:79)+100</f>
        <v>100</v>
      </c>
      <c r="K17" s="867">
        <v>2</v>
      </c>
      <c r="L17" s="2126"/>
      <c r="M17" s="2118"/>
      <c r="N17" s="2118"/>
      <c r="O17" s="2125"/>
      <c r="P17" s="4020"/>
      <c r="Q17" s="1557" t="str">
        <f>B17</f>
        <v>交通便捷度</v>
      </c>
      <c r="R17" s="1558" t="s">
        <v>11</v>
      </c>
      <c r="S17" s="1559">
        <f>F17</f>
        <v>100</v>
      </c>
      <c r="T17" s="1558" t="s">
        <v>11</v>
      </c>
      <c r="U17" s="1559">
        <f>H17</f>
        <v>100</v>
      </c>
      <c r="V17" s="1558" t="s">
        <v>11</v>
      </c>
      <c r="W17" s="1559">
        <f>J17</f>
        <v>100</v>
      </c>
      <c r="X17" s="1552"/>
      <c r="Y17" s="4020"/>
      <c r="Z17" s="1560" t="str">
        <f>Q17</f>
        <v>交通便捷度</v>
      </c>
      <c r="AA17" s="1561">
        <f t="shared" si="3"/>
        <v>1</v>
      </c>
      <c r="AB17" s="1561">
        <f t="shared" si="4"/>
        <v>1</v>
      </c>
      <c r="AC17" s="1561">
        <f t="shared" si="5"/>
        <v>1</v>
      </c>
    </row>
    <row r="18" spans="1:29" ht="15">
      <c r="A18" s="531"/>
      <c r="B18" s="594"/>
      <c r="C18" s="872" t="s">
        <v>3015</v>
      </c>
      <c r="D18" s="558"/>
      <c r="E18" s="567" t="s">
        <v>3015</v>
      </c>
      <c r="F18" s="562"/>
      <c r="G18" s="568" t="s">
        <v>3015</v>
      </c>
      <c r="H18" s="554"/>
      <c r="I18" s="567" t="s">
        <v>3015</v>
      </c>
      <c r="J18" s="554"/>
      <c r="K18" s="869"/>
      <c r="L18" s="2126"/>
      <c r="M18" s="2118"/>
      <c r="N18" s="2118"/>
      <c r="O18" s="2125"/>
      <c r="P18" s="4020"/>
      <c r="Q18" s="1557"/>
      <c r="R18" s="1558"/>
      <c r="S18" s="1559"/>
      <c r="T18" s="1558"/>
      <c r="U18" s="1559"/>
      <c r="V18" s="1558"/>
      <c r="W18" s="1559"/>
      <c r="X18" s="1552"/>
      <c r="Y18" s="4020"/>
      <c r="Z18" s="1560"/>
      <c r="AA18" s="1561">
        <v>1</v>
      </c>
      <c r="AB18" s="1561">
        <v>1</v>
      </c>
      <c r="AC18" s="1561">
        <v>1</v>
      </c>
    </row>
    <row r="19" spans="1:29" ht="149.25">
      <c r="A19" s="531"/>
      <c r="B19" s="2563" t="s">
        <v>2545</v>
      </c>
      <c r="C19" s="871" t="str">
        <f>估价对象房地状况!C7</f>
        <v>所在区域2公里范围内有银行（中国邮政储蓄银行）、学校（巴川中学）、商业（无）、医院（无）等配套设施，公共配套设施一般；</v>
      </c>
      <c r="D19" s="564">
        <v>100</v>
      </c>
      <c r="E19" s="569" t="s">
        <v>3575</v>
      </c>
      <c r="F19" s="570">
        <f>SUMIF(80:80,E20,81:81)-SUMIF(80:80,C20,81:81)+100</f>
        <v>100</v>
      </c>
      <c r="G19" s="569" t="s">
        <v>3576</v>
      </c>
      <c r="H19" s="558">
        <f>SUMIF(80:80,G20,81:81)-SUMIF(80:80,C20,81:81)+100</f>
        <v>102</v>
      </c>
      <c r="I19" s="569" t="s">
        <v>3576</v>
      </c>
      <c r="J19" s="558">
        <f>SUMIF(80:80,I20,81:81)-SUMIF(80:80,C20,81:81)+100</f>
        <v>102</v>
      </c>
      <c r="K19" s="867">
        <v>2</v>
      </c>
      <c r="L19" s="2126"/>
      <c r="M19" s="2118"/>
      <c r="N19" s="2118"/>
      <c r="O19" s="2125"/>
      <c r="P19" s="4020"/>
      <c r="Q19" s="1557" t="str">
        <f>B19</f>
        <v>公共配套设施</v>
      </c>
      <c r="R19" s="1558" t="s">
        <v>11</v>
      </c>
      <c r="S19" s="1559">
        <f>F19</f>
        <v>100</v>
      </c>
      <c r="T19" s="1558" t="s">
        <v>11</v>
      </c>
      <c r="U19" s="1559">
        <f>H19</f>
        <v>102</v>
      </c>
      <c r="V19" s="1558" t="s">
        <v>11</v>
      </c>
      <c r="W19" s="1559">
        <f>J19</f>
        <v>102</v>
      </c>
      <c r="X19" s="1552"/>
      <c r="Y19" s="4020"/>
      <c r="Z19" s="1560" t="str">
        <f>Q19</f>
        <v>公共配套设施</v>
      </c>
      <c r="AA19" s="1561">
        <f t="shared" si="3"/>
        <v>1</v>
      </c>
      <c r="AB19" s="1561">
        <f t="shared" si="4"/>
        <v>0.98039215686274506</v>
      </c>
      <c r="AC19" s="1561">
        <f t="shared" si="5"/>
        <v>0.98039215686274506</v>
      </c>
    </row>
    <row r="20" spans="1:29" ht="15">
      <c r="A20" s="531"/>
      <c r="B20" s="594"/>
      <c r="C20" s="575" t="s">
        <v>3015</v>
      </c>
      <c r="D20" s="554"/>
      <c r="E20" s="555" t="s">
        <v>3015</v>
      </c>
      <c r="F20" s="556"/>
      <c r="G20" s="557" t="s">
        <v>3014</v>
      </c>
      <c r="H20" s="554"/>
      <c r="I20" s="555" t="s">
        <v>3014</v>
      </c>
      <c r="J20" s="554"/>
      <c r="K20" s="869"/>
      <c r="L20" s="2126"/>
      <c r="M20" s="2118"/>
      <c r="N20" s="2118"/>
      <c r="O20" s="2125"/>
      <c r="P20" s="4020"/>
      <c r="Q20" s="1557"/>
      <c r="R20" s="1558"/>
      <c r="S20" s="1559"/>
      <c r="T20" s="1558"/>
      <c r="U20" s="1559"/>
      <c r="V20" s="1558"/>
      <c r="W20" s="1559"/>
      <c r="X20" s="1552"/>
      <c r="Y20" s="4020"/>
      <c r="Z20" s="1560"/>
      <c r="AA20" s="1561">
        <v>1</v>
      </c>
      <c r="AB20" s="1561">
        <v>1</v>
      </c>
      <c r="AC20" s="1561">
        <v>1</v>
      </c>
    </row>
    <row r="21" spans="1:29" ht="28.5">
      <c r="A21" s="531"/>
      <c r="B21" s="2556" t="s">
        <v>2557</v>
      </c>
      <c r="C21" s="871" t="str">
        <f>估价对象房地状况!C8</f>
        <v>所在区域基础设施水平达六通</v>
      </c>
      <c r="D21" s="564">
        <v>100</v>
      </c>
      <c r="E21" s="571" t="s">
        <v>3143</v>
      </c>
      <c r="F21" s="570">
        <f>SUMIF(82:82,E22,83:83)-SUMIF(82:82,C22,83:83)+100</f>
        <v>100</v>
      </c>
      <c r="G21" s="571" t="s">
        <v>3143</v>
      </c>
      <c r="H21" s="564">
        <f>SUMIF(82:82,G22,83:83)-SUMIF(82:82,C22,83:83)+100</f>
        <v>100</v>
      </c>
      <c r="I21" s="571" t="s">
        <v>3143</v>
      </c>
      <c r="J21" s="564">
        <f>SUMIF(82:82,I22,83:83)-SUMIF(82:82,C22,83:83)+100</f>
        <v>100</v>
      </c>
      <c r="K21" s="867">
        <v>1</v>
      </c>
      <c r="L21" s="2126"/>
      <c r="M21" s="2118"/>
      <c r="N21" s="2118"/>
      <c r="O21" s="2125"/>
      <c r="P21" s="4020"/>
      <c r="Q21" s="2542" t="str">
        <f>B21</f>
        <v>基础设施水平</v>
      </c>
      <c r="R21" s="1558" t="s">
        <v>11</v>
      </c>
      <c r="S21" s="1559">
        <f>F21</f>
        <v>100</v>
      </c>
      <c r="T21" s="1558" t="s">
        <v>11</v>
      </c>
      <c r="U21" s="1559">
        <f>H21</f>
        <v>100</v>
      </c>
      <c r="V21" s="1558" t="s">
        <v>11</v>
      </c>
      <c r="W21" s="1559">
        <f>J21</f>
        <v>100</v>
      </c>
      <c r="X21" s="2544"/>
      <c r="Y21" s="4020"/>
      <c r="Z21" s="2543" t="str">
        <f>Q21</f>
        <v>基础设施水平</v>
      </c>
      <c r="AA21" s="1561">
        <f t="shared" ref="AA21" si="8">D21/F21</f>
        <v>1</v>
      </c>
      <c r="AB21" s="1561">
        <f t="shared" ref="AB21" si="9">D21/H21</f>
        <v>1</v>
      </c>
      <c r="AC21" s="1561">
        <f t="shared" ref="AC21" si="10">D21/J21</f>
        <v>1</v>
      </c>
    </row>
    <row r="22" spans="1:29" ht="15">
      <c r="A22" s="531"/>
      <c r="B22" s="921"/>
      <c r="C22" s="872" t="s">
        <v>3031</v>
      </c>
      <c r="D22" s="554"/>
      <c r="E22" s="575" t="s">
        <v>3031</v>
      </c>
      <c r="F22" s="556"/>
      <c r="G22" s="575" t="s">
        <v>3031</v>
      </c>
      <c r="H22" s="554"/>
      <c r="I22" s="575" t="s">
        <v>3031</v>
      </c>
      <c r="J22" s="554"/>
      <c r="K22" s="2562"/>
      <c r="L22" s="2126"/>
      <c r="M22" s="2118"/>
      <c r="N22" s="2118"/>
      <c r="O22" s="2125"/>
      <c r="P22" s="4020"/>
      <c r="Q22" s="2542"/>
      <c r="R22" s="1558"/>
      <c r="S22" s="1559"/>
      <c r="T22" s="1558"/>
      <c r="U22" s="1559"/>
      <c r="V22" s="1558"/>
      <c r="W22" s="1559"/>
      <c r="X22" s="2544"/>
      <c r="Y22" s="4020"/>
      <c r="Z22" s="2543"/>
      <c r="AA22" s="1561">
        <v>1</v>
      </c>
      <c r="AB22" s="1561">
        <v>1</v>
      </c>
      <c r="AC22" s="1561">
        <v>1</v>
      </c>
    </row>
    <row r="23" spans="1:29" ht="85.5">
      <c r="A23" s="531"/>
      <c r="B23" s="870" t="s">
        <v>297</v>
      </c>
      <c r="C23" s="871" t="str">
        <f>估价对象房地状况!C9</f>
        <v>周边自然环境（项目内部天鹅湖）；人文环境（潼南区图书馆），综合评价环境状况较好；</v>
      </c>
      <c r="D23" s="558">
        <v>100</v>
      </c>
      <c r="E23" s="3199" t="s">
        <v>3577</v>
      </c>
      <c r="F23" s="562">
        <f>SUMIF(84:84,E24,85:85)-SUMIF(84:84,C24,85:85)+100</f>
        <v>98</v>
      </c>
      <c r="G23" s="3199" t="s">
        <v>3170</v>
      </c>
      <c r="H23" s="558">
        <f>SUMIF(84:84,G24,85:85)-SUMIF(84:84,C24,85:85)+100</f>
        <v>100</v>
      </c>
      <c r="I23" s="3199" t="s">
        <v>3578</v>
      </c>
      <c r="J23" s="558">
        <f>SUMIF(84:84,I24,85:85)-SUMIF(84:84,C24,85:85)+100</f>
        <v>100</v>
      </c>
      <c r="K23" s="867">
        <v>2</v>
      </c>
      <c r="L23" s="2126"/>
      <c r="M23" s="2118"/>
      <c r="N23" s="2118"/>
      <c r="O23" s="2125"/>
      <c r="P23" s="4020"/>
      <c r="Q23" s="1557" t="str">
        <f>B23</f>
        <v>自然及人文环境</v>
      </c>
      <c r="R23" s="1558" t="s">
        <v>11</v>
      </c>
      <c r="S23" s="1559">
        <f>F23</f>
        <v>98</v>
      </c>
      <c r="T23" s="1558" t="s">
        <v>11</v>
      </c>
      <c r="U23" s="1559">
        <f>H23</f>
        <v>100</v>
      </c>
      <c r="V23" s="1558" t="s">
        <v>11</v>
      </c>
      <c r="W23" s="1559">
        <f>J23</f>
        <v>100</v>
      </c>
      <c r="X23" s="1552"/>
      <c r="Y23" s="4020"/>
      <c r="Z23" s="1560" t="str">
        <f>Q23</f>
        <v>自然及人文环境</v>
      </c>
      <c r="AA23" s="1561">
        <f t="shared" si="3"/>
        <v>1.0204081632653061</v>
      </c>
      <c r="AB23" s="1561">
        <f t="shared" si="4"/>
        <v>1</v>
      </c>
      <c r="AC23" s="1561">
        <f t="shared" si="5"/>
        <v>1</v>
      </c>
    </row>
    <row r="24" spans="1:29" ht="15">
      <c r="A24" s="531"/>
      <c r="B24" s="594"/>
      <c r="C24" s="575" t="s">
        <v>3014</v>
      </c>
      <c r="D24" s="554"/>
      <c r="E24" s="555" t="s">
        <v>3015</v>
      </c>
      <c r="F24" s="556"/>
      <c r="G24" s="557" t="s">
        <v>3014</v>
      </c>
      <c r="H24" s="554"/>
      <c r="I24" s="555" t="s">
        <v>3014</v>
      </c>
      <c r="J24" s="554"/>
      <c r="K24" s="869"/>
      <c r="L24" s="2126"/>
      <c r="M24" s="2118"/>
      <c r="N24" s="2118"/>
      <c r="O24" s="2125"/>
      <c r="P24" s="4020"/>
      <c r="Q24" s="1557"/>
      <c r="R24" s="1558"/>
      <c r="S24" s="1559"/>
      <c r="T24" s="1558"/>
      <c r="U24" s="1559"/>
      <c r="V24" s="1558"/>
      <c r="W24" s="1559"/>
      <c r="X24" s="1552"/>
      <c r="Y24" s="4020"/>
      <c r="Z24" s="1560"/>
      <c r="AA24" s="1561">
        <v>1</v>
      </c>
      <c r="AB24" s="1561">
        <v>1</v>
      </c>
      <c r="AC24" s="1561">
        <v>1</v>
      </c>
    </row>
    <row r="25" spans="1:29" ht="15">
      <c r="A25" s="531"/>
      <c r="B25" s="1879" t="s">
        <v>2256</v>
      </c>
      <c r="C25" s="573"/>
      <c r="D25" s="539">
        <v>100</v>
      </c>
      <c r="E25" s="873"/>
      <c r="F25" s="574">
        <f>SUMIF(86:86,E25,87:87)-SUMIF(86:86,C25,87:87)+100</f>
        <v>100</v>
      </c>
      <c r="G25" s="598"/>
      <c r="H25" s="539">
        <f>SUMIF(86:86,G25,87:87)-SUMIF(86:86,C25,87:87)+100</f>
        <v>100</v>
      </c>
      <c r="I25" s="873"/>
      <c r="J25" s="539">
        <f>SUMIF(86:86,I25,87:87)-SUMIF(86:86,C25,87:87)+100</f>
        <v>100</v>
      </c>
      <c r="K25" s="863"/>
      <c r="L25" s="2126"/>
      <c r="M25" s="2118"/>
      <c r="N25" s="2118"/>
      <c r="O25" s="2125"/>
      <c r="P25" s="4020"/>
      <c r="Q25" s="1557" t="str">
        <f t="shared" ref="Q25:Q46" si="11">B25</f>
        <v>楼层-1</v>
      </c>
      <c r="R25" s="1558" t="s">
        <v>11</v>
      </c>
      <c r="S25" s="1559">
        <f>F25</f>
        <v>100</v>
      </c>
      <c r="T25" s="1558" t="s">
        <v>11</v>
      </c>
      <c r="U25" s="1559">
        <f>H25</f>
        <v>100</v>
      </c>
      <c r="V25" s="1558" t="s">
        <v>11</v>
      </c>
      <c r="W25" s="1559">
        <f>J25</f>
        <v>100</v>
      </c>
      <c r="X25" s="1552"/>
      <c r="Y25" s="4020"/>
      <c r="Z25" s="1560" t="str">
        <f>Q25</f>
        <v>楼层-1</v>
      </c>
      <c r="AA25" s="1561">
        <f t="shared" si="3"/>
        <v>1</v>
      </c>
      <c r="AB25" s="1561">
        <f t="shared" si="4"/>
        <v>1</v>
      </c>
      <c r="AC25" s="1561">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6"/>
      <c r="M26" s="2118"/>
      <c r="N26" s="2118"/>
      <c r="O26" s="2125"/>
      <c r="P26" s="4020"/>
      <c r="Q26" s="1557" t="str">
        <f t="shared" si="11"/>
        <v>朝向</v>
      </c>
      <c r="R26" s="1558" t="s">
        <v>11</v>
      </c>
      <c r="S26" s="1559">
        <f>F26</f>
        <v>100</v>
      </c>
      <c r="T26" s="1558" t="s">
        <v>11</v>
      </c>
      <c r="U26" s="1559">
        <f>H26</f>
        <v>100</v>
      </c>
      <c r="V26" s="1558" t="s">
        <v>11</v>
      </c>
      <c r="W26" s="1559">
        <f>J26</f>
        <v>100</v>
      </c>
      <c r="X26" s="1552"/>
      <c r="Y26" s="4020"/>
      <c r="Z26" s="1560" t="str">
        <f>Q26</f>
        <v>朝向</v>
      </c>
      <c r="AA26" s="1561">
        <f t="shared" si="3"/>
        <v>1</v>
      </c>
      <c r="AB26" s="1561">
        <f t="shared" si="4"/>
        <v>1</v>
      </c>
      <c r="AC26" s="1561">
        <f t="shared" si="5"/>
        <v>1</v>
      </c>
    </row>
    <row r="27" spans="1:29" s="1215" customFormat="1" ht="15">
      <c r="A27" s="535"/>
      <c r="B27" s="536" t="s">
        <v>724</v>
      </c>
      <c r="C27" s="527" t="s">
        <v>3166</v>
      </c>
      <c r="D27" s="874">
        <v>100</v>
      </c>
      <c r="E27" s="529" t="s">
        <v>3165</v>
      </c>
      <c r="F27" s="875">
        <f>SUMIF(90:90,E27,91:91)-SUMIF(90:90,C27,91:91)+100</f>
        <v>101</v>
      </c>
      <c r="G27" s="3206" t="s">
        <v>3175</v>
      </c>
      <c r="H27" s="874">
        <f>SUMIF(90:90,G27,91:91)-SUMIF(90:90,C27,91:91)+100</f>
        <v>101</v>
      </c>
      <c r="I27" s="529" t="s">
        <v>3171</v>
      </c>
      <c r="J27" s="874">
        <f>SUMIF(90:90,I27,91:91)-SUMIF(90:90,C27,91:91)+100</f>
        <v>99</v>
      </c>
      <c r="K27" s="864"/>
      <c r="L27" s="2119"/>
      <c r="M27" s="2120"/>
      <c r="N27" s="2120"/>
      <c r="O27" s="2121"/>
      <c r="P27" s="4020"/>
      <c r="Q27" s="1146" t="str">
        <f t="shared" si="11"/>
        <v>道路级别</v>
      </c>
      <c r="R27" s="1553" t="s">
        <v>11</v>
      </c>
      <c r="S27" s="1554">
        <f>F27</f>
        <v>101</v>
      </c>
      <c r="T27" s="1553" t="s">
        <v>11</v>
      </c>
      <c r="U27" s="1554">
        <f>H27</f>
        <v>101</v>
      </c>
      <c r="V27" s="1553" t="s">
        <v>11</v>
      </c>
      <c r="W27" s="1554">
        <f>J27</f>
        <v>99</v>
      </c>
      <c r="X27" s="1555"/>
      <c r="Y27" s="4020"/>
      <c r="Z27" s="1145" t="str">
        <f>Q27</f>
        <v>道路级别</v>
      </c>
      <c r="AA27" s="1561">
        <f>D27/F27</f>
        <v>0.99009900990099009</v>
      </c>
      <c r="AB27" s="1561">
        <f>D27/H27</f>
        <v>0.99009900990099009</v>
      </c>
      <c r="AC27" s="1561">
        <f>D27/J27</f>
        <v>1.0101010101010102</v>
      </c>
    </row>
    <row r="28" spans="1:29" ht="15">
      <c r="A28" s="531"/>
      <c r="B28" s="876">
        <v>111</v>
      </c>
      <c r="C28" s="3205" t="s">
        <v>3579</v>
      </c>
      <c r="D28" s="539">
        <v>100</v>
      </c>
      <c r="E28" s="538" t="s">
        <v>3174</v>
      </c>
      <c r="F28" s="574">
        <f>SUMIF(92:92,E28,93:93)-SUMIF(92:92,C28,93:93)+100</f>
        <v>100</v>
      </c>
      <c r="G28" s="538" t="s">
        <v>3173</v>
      </c>
      <c r="H28" s="539">
        <f>SUMIF(92:92,G28,93:93)-SUMIF(92:92,C28,93:93)+100</f>
        <v>100</v>
      </c>
      <c r="I28" s="529" t="s">
        <v>3580</v>
      </c>
      <c r="J28" s="539">
        <f>SUMIF(92:92,I28,93:93)-SUMIF(92:92,C28,93:93)+100</f>
        <v>100</v>
      </c>
      <c r="K28" s="864"/>
      <c r="L28" s="2126"/>
      <c r="M28" s="2118"/>
      <c r="N28" s="2118"/>
      <c r="O28" s="2125"/>
      <c r="P28" s="4020"/>
      <c r="Q28" s="1557">
        <f t="shared" si="11"/>
        <v>111</v>
      </c>
      <c r="R28" s="1558" t="s">
        <v>11</v>
      </c>
      <c r="S28" s="1559">
        <f t="shared" ref="S28:S46" si="12">F28</f>
        <v>100</v>
      </c>
      <c r="T28" s="1558" t="s">
        <v>11</v>
      </c>
      <c r="U28" s="1559">
        <f t="shared" ref="U28:U46" si="13">H28</f>
        <v>100</v>
      </c>
      <c r="V28" s="1558" t="s">
        <v>11</v>
      </c>
      <c r="W28" s="1559">
        <f t="shared" ref="W28:W46" si="14">J28</f>
        <v>100</v>
      </c>
      <c r="X28" s="1552"/>
      <c r="Y28" s="4020"/>
      <c r="Z28" s="1560">
        <f t="shared" ref="Z28:Z46" si="15">Q28</f>
        <v>111</v>
      </c>
      <c r="AA28" s="1561">
        <f t="shared" si="3"/>
        <v>1</v>
      </c>
      <c r="AB28" s="1561">
        <f t="shared" si="4"/>
        <v>1</v>
      </c>
      <c r="AC28" s="1561">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6"/>
      <c r="M29" s="2118"/>
      <c r="N29" s="2118"/>
      <c r="O29" s="2125"/>
      <c r="P29" s="4020"/>
      <c r="Q29" s="1557">
        <f t="shared" si="11"/>
        <v>111</v>
      </c>
      <c r="R29" s="1558" t="s">
        <v>11</v>
      </c>
      <c r="S29" s="1559">
        <f t="shared" si="12"/>
        <v>100</v>
      </c>
      <c r="T29" s="1558" t="s">
        <v>11</v>
      </c>
      <c r="U29" s="1559">
        <f t="shared" si="13"/>
        <v>100</v>
      </c>
      <c r="V29" s="1558" t="s">
        <v>11</v>
      </c>
      <c r="W29" s="1559">
        <f t="shared" si="14"/>
        <v>100</v>
      </c>
      <c r="X29" s="1552"/>
      <c r="Y29" s="4020"/>
      <c r="Z29" s="1560">
        <f t="shared" si="15"/>
        <v>111</v>
      </c>
      <c r="AA29" s="1561">
        <f t="shared" si="3"/>
        <v>1</v>
      </c>
      <c r="AB29" s="1561">
        <f t="shared" si="4"/>
        <v>1</v>
      </c>
      <c r="AC29" s="1561">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6"/>
      <c r="M30" s="2118"/>
      <c r="N30" s="2118"/>
      <c r="O30" s="2125"/>
      <c r="P30" s="4020"/>
      <c r="Q30" s="1557">
        <f t="shared" si="11"/>
        <v>111</v>
      </c>
      <c r="R30" s="1558" t="s">
        <v>11</v>
      </c>
      <c r="S30" s="1559">
        <f t="shared" si="12"/>
        <v>100</v>
      </c>
      <c r="T30" s="1558" t="s">
        <v>11</v>
      </c>
      <c r="U30" s="1559">
        <f t="shared" si="13"/>
        <v>100</v>
      </c>
      <c r="V30" s="1558" t="s">
        <v>11</v>
      </c>
      <c r="W30" s="1559">
        <f t="shared" si="14"/>
        <v>100</v>
      </c>
      <c r="X30" s="1552"/>
      <c r="Y30" s="4020"/>
      <c r="Z30" s="1560">
        <f t="shared" si="15"/>
        <v>111</v>
      </c>
      <c r="AA30" s="1561">
        <f t="shared" si="3"/>
        <v>1</v>
      </c>
      <c r="AB30" s="1561">
        <f t="shared" si="4"/>
        <v>1</v>
      </c>
      <c r="AC30" s="1561">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6"/>
      <c r="M31" s="2118"/>
      <c r="N31" s="2118"/>
      <c r="O31" s="2125"/>
      <c r="P31" s="4020"/>
      <c r="Q31" s="1557">
        <f t="shared" si="11"/>
        <v>111</v>
      </c>
      <c r="R31" s="1558" t="s">
        <v>11</v>
      </c>
      <c r="S31" s="1559">
        <f t="shared" si="12"/>
        <v>100</v>
      </c>
      <c r="T31" s="1558" t="s">
        <v>11</v>
      </c>
      <c r="U31" s="1559">
        <f t="shared" si="13"/>
        <v>100</v>
      </c>
      <c r="V31" s="1558" t="s">
        <v>11</v>
      </c>
      <c r="W31" s="1559">
        <f t="shared" si="14"/>
        <v>100</v>
      </c>
      <c r="X31" s="1552"/>
      <c r="Y31" s="4020"/>
      <c r="Z31" s="1560">
        <f t="shared" si="15"/>
        <v>111</v>
      </c>
      <c r="AA31" s="1561">
        <f t="shared" si="3"/>
        <v>1</v>
      </c>
      <c r="AB31" s="1561">
        <f t="shared" si="4"/>
        <v>1</v>
      </c>
      <c r="AC31" s="1561">
        <f t="shared" si="5"/>
        <v>1</v>
      </c>
    </row>
    <row r="32" spans="1:29" ht="15">
      <c r="A32" s="2861" t="s">
        <v>2754</v>
      </c>
      <c r="B32" s="172" t="s">
        <v>725</v>
      </c>
      <c r="C32" s="877" t="s">
        <v>3029</v>
      </c>
      <c r="D32" s="596">
        <v>100</v>
      </c>
      <c r="E32" s="878" t="s">
        <v>3029</v>
      </c>
      <c r="F32" s="574">
        <f>SUMIF(100:100,E32,101:101)-SUMIF(100:100,C32,101:101)+100</f>
        <v>100</v>
      </c>
      <c r="G32" s="877" t="s">
        <v>3029</v>
      </c>
      <c r="H32" s="596">
        <f>SUMIF(100:100,G32,101:101)-SUMIF(100:100,C32,101:101)+100</f>
        <v>100</v>
      </c>
      <c r="I32" s="878" t="s">
        <v>3029</v>
      </c>
      <c r="J32" s="539">
        <f>SUMIF(100:100,I32,101:101)-SUMIF(100:100,C32,101:101)+100</f>
        <v>100</v>
      </c>
      <c r="K32" s="863">
        <v>2</v>
      </c>
      <c r="L32" s="2126"/>
      <c r="M32" s="2118"/>
      <c r="N32" s="2118"/>
      <c r="O32" s="2125"/>
      <c r="P32" s="4021" t="s">
        <v>550</v>
      </c>
      <c r="Q32" s="1557" t="str">
        <f t="shared" si="11"/>
        <v>建筑类型</v>
      </c>
      <c r="R32" s="1558" t="s">
        <v>11</v>
      </c>
      <c r="S32" s="1559">
        <f t="shared" si="12"/>
        <v>100</v>
      </c>
      <c r="T32" s="1558" t="s">
        <v>11</v>
      </c>
      <c r="U32" s="1559">
        <f t="shared" si="13"/>
        <v>100</v>
      </c>
      <c r="V32" s="1558" t="s">
        <v>11</v>
      </c>
      <c r="W32" s="1559">
        <f t="shared" si="14"/>
        <v>100</v>
      </c>
      <c r="X32" s="1552"/>
      <c r="Y32" s="4022" t="s">
        <v>550</v>
      </c>
      <c r="Z32" s="1560" t="str">
        <f t="shared" si="15"/>
        <v>建筑类型</v>
      </c>
      <c r="AA32" s="1561">
        <f t="shared" si="3"/>
        <v>1</v>
      </c>
      <c r="AB32" s="1561">
        <f t="shared" si="4"/>
        <v>1</v>
      </c>
      <c r="AC32" s="1561">
        <f t="shared" si="5"/>
        <v>1</v>
      </c>
    </row>
    <row r="33" spans="1:29" s="1334" customFormat="1" ht="15">
      <c r="A33" s="602"/>
      <c r="B33" s="526" t="s">
        <v>726</v>
      </c>
      <c r="C33" s="3189">
        <v>1</v>
      </c>
      <c r="D33" s="254">
        <v>100</v>
      </c>
      <c r="E33" s="3190">
        <v>1</v>
      </c>
      <c r="F33" s="862">
        <f>LOOKUP(E33,103:103,104:104)-LOOKUP(C33,103:103,104:104)+100</f>
        <v>100</v>
      </c>
      <c r="G33" s="3191">
        <v>1</v>
      </c>
      <c r="H33" s="254">
        <f>LOOKUP(G33,103:103,104:104)-LOOKUP(C33,103:103,104:104)+100</f>
        <v>100</v>
      </c>
      <c r="I33" s="3190">
        <v>1</v>
      </c>
      <c r="J33" s="254">
        <f>LOOKUP(I33,103:103,104:104)-LOOKUP(C33,103:103,104:104)+100</f>
        <v>100</v>
      </c>
      <c r="K33" s="864"/>
      <c r="L33" s="2124"/>
      <c r="M33" s="2155"/>
      <c r="N33" s="2155"/>
      <c r="O33" s="2127"/>
      <c r="P33" s="4022"/>
      <c r="Q33" s="1589" t="str">
        <f t="shared" si="11"/>
        <v>项目建筑规模</v>
      </c>
      <c r="R33" s="1562" t="s">
        <v>11</v>
      </c>
      <c r="S33" s="1563">
        <f t="shared" si="12"/>
        <v>100</v>
      </c>
      <c r="T33" s="1562" t="s">
        <v>11</v>
      </c>
      <c r="U33" s="1563">
        <f t="shared" si="13"/>
        <v>100</v>
      </c>
      <c r="V33" s="1562" t="s">
        <v>11</v>
      </c>
      <c r="W33" s="1563">
        <f t="shared" si="14"/>
        <v>100</v>
      </c>
      <c r="X33" s="1564"/>
      <c r="Y33" s="4022"/>
      <c r="Z33" s="1565" t="str">
        <f t="shared" si="15"/>
        <v>项目建筑规模</v>
      </c>
      <c r="AA33" s="1561">
        <f t="shared" si="3"/>
        <v>1</v>
      </c>
      <c r="AB33" s="1561">
        <f t="shared" si="4"/>
        <v>1</v>
      </c>
      <c r="AC33" s="1561">
        <f t="shared" si="5"/>
        <v>1</v>
      </c>
    </row>
    <row r="34" spans="1:29" ht="15">
      <c r="A34" s="593"/>
      <c r="B34" s="526" t="s">
        <v>727</v>
      </c>
      <c r="C34" s="880" t="s">
        <v>3009</v>
      </c>
      <c r="D34" s="539">
        <v>100</v>
      </c>
      <c r="E34" s="881" t="s">
        <v>3009</v>
      </c>
      <c r="F34" s="574">
        <f>SUMIF(105:105,E34,106:106)-SUMIF(105:105,C34,106:106)+100</f>
        <v>100</v>
      </c>
      <c r="G34" s="880" t="s">
        <v>3009</v>
      </c>
      <c r="H34" s="539">
        <f>SUMIF(105:105,G34,106:106)-SUMIF(105:105,C34,106:106)+100</f>
        <v>100</v>
      </c>
      <c r="I34" s="881" t="s">
        <v>3009</v>
      </c>
      <c r="J34" s="539">
        <f>SUMIF(105:105,I34,106:106)-SUMIF(105:105,C34,106:106)+100</f>
        <v>100</v>
      </c>
      <c r="K34" s="863">
        <v>2</v>
      </c>
      <c r="L34" s="2126"/>
      <c r="M34" s="2118"/>
      <c r="N34" s="2118"/>
      <c r="O34" s="2125"/>
      <c r="P34" s="4022"/>
      <c r="Q34" s="1557" t="str">
        <f t="shared" si="11"/>
        <v>建筑结构</v>
      </c>
      <c r="R34" s="1558" t="s">
        <v>11</v>
      </c>
      <c r="S34" s="1559">
        <f t="shared" si="12"/>
        <v>100</v>
      </c>
      <c r="T34" s="1558" t="s">
        <v>11</v>
      </c>
      <c r="U34" s="1559">
        <f t="shared" si="13"/>
        <v>100</v>
      </c>
      <c r="V34" s="1558" t="s">
        <v>11</v>
      </c>
      <c r="W34" s="1559">
        <f t="shared" si="14"/>
        <v>100</v>
      </c>
      <c r="X34" s="1552"/>
      <c r="Y34" s="4022"/>
      <c r="Z34" s="1560" t="str">
        <f t="shared" si="15"/>
        <v>建筑结构</v>
      </c>
      <c r="AA34" s="1561">
        <f t="shared" si="3"/>
        <v>1</v>
      </c>
      <c r="AB34" s="1561">
        <f t="shared" si="4"/>
        <v>1</v>
      </c>
      <c r="AC34" s="1561">
        <f t="shared" si="5"/>
        <v>1</v>
      </c>
    </row>
    <row r="35" spans="1:29" ht="15">
      <c r="A35" s="593"/>
      <c r="B35" s="526" t="s">
        <v>728</v>
      </c>
      <c r="C35" s="598" t="s">
        <v>3014</v>
      </c>
      <c r="D35" s="539">
        <v>100</v>
      </c>
      <c r="E35" s="873" t="s">
        <v>3014</v>
      </c>
      <c r="F35" s="574">
        <f>SUMIF(107:107,E35,108:108)-SUMIF(107:107,C35,108:108)+100</f>
        <v>100</v>
      </c>
      <c r="G35" s="598" t="s">
        <v>3015</v>
      </c>
      <c r="H35" s="539">
        <f>SUMIF(107:107,G35,108:108)-SUMIF(107:107,C35,108:108)+100</f>
        <v>95</v>
      </c>
      <c r="I35" s="873" t="s">
        <v>3014</v>
      </c>
      <c r="J35" s="539">
        <f>SUMIF(107:107,I35,108:108)-SUMIF(107:107,C35,108:108)+100</f>
        <v>100</v>
      </c>
      <c r="K35" s="863">
        <v>5</v>
      </c>
      <c r="L35" s="2126"/>
      <c r="M35" s="2118"/>
      <c r="N35" s="2118"/>
      <c r="O35" s="2125"/>
      <c r="P35" s="4022"/>
      <c r="Q35" s="1557" t="str">
        <f t="shared" si="11"/>
        <v>建筑品质</v>
      </c>
      <c r="R35" s="1558" t="s">
        <v>11</v>
      </c>
      <c r="S35" s="1559">
        <f t="shared" si="12"/>
        <v>100</v>
      </c>
      <c r="T35" s="1558" t="s">
        <v>11</v>
      </c>
      <c r="U35" s="1559">
        <f t="shared" si="13"/>
        <v>95</v>
      </c>
      <c r="V35" s="1558" t="s">
        <v>11</v>
      </c>
      <c r="W35" s="1559">
        <f t="shared" si="14"/>
        <v>100</v>
      </c>
      <c r="X35" s="1552"/>
      <c r="Y35" s="4022"/>
      <c r="Z35" s="1560" t="str">
        <f t="shared" si="15"/>
        <v>建筑品质</v>
      </c>
      <c r="AA35" s="1561">
        <f t="shared" si="3"/>
        <v>1</v>
      </c>
      <c r="AB35" s="1561">
        <f t="shared" si="4"/>
        <v>1.0526315789473684</v>
      </c>
      <c r="AC35" s="1561">
        <f t="shared" si="5"/>
        <v>1</v>
      </c>
    </row>
    <row r="36" spans="1:29" ht="15">
      <c r="A36" s="593"/>
      <c r="B36" s="526" t="s">
        <v>729</v>
      </c>
      <c r="C36" s="598" t="s">
        <v>3017</v>
      </c>
      <c r="D36" s="539">
        <v>100</v>
      </c>
      <c r="E36" s="873" t="s">
        <v>3017</v>
      </c>
      <c r="F36" s="574">
        <f>SUMIF(109:109,E36,110:110)-SUMIF(109:109,C36,110:110)+100</f>
        <v>100</v>
      </c>
      <c r="G36" s="598" t="s">
        <v>3017</v>
      </c>
      <c r="H36" s="539">
        <f>SUMIF(109:109,G36,110:110)-SUMIF(109:109,C36,110:110)+100</f>
        <v>100</v>
      </c>
      <c r="I36" s="873" t="s">
        <v>3017</v>
      </c>
      <c r="J36" s="539">
        <f>SUMIF(109:109,I36,110:110)-SUMIF(109:109,C36,110:110)+100</f>
        <v>100</v>
      </c>
      <c r="K36" s="863">
        <v>1</v>
      </c>
      <c r="L36" s="2126"/>
      <c r="M36" s="2118"/>
      <c r="N36" s="2118"/>
      <c r="O36" s="2125"/>
      <c r="P36" s="4022"/>
      <c r="Q36" s="1557" t="str">
        <f t="shared" si="11"/>
        <v>公共部分装修</v>
      </c>
      <c r="R36" s="1558" t="s">
        <v>11</v>
      </c>
      <c r="S36" s="1559">
        <f t="shared" si="12"/>
        <v>100</v>
      </c>
      <c r="T36" s="1558" t="s">
        <v>11</v>
      </c>
      <c r="U36" s="1559">
        <f t="shared" si="13"/>
        <v>100</v>
      </c>
      <c r="V36" s="1558" t="s">
        <v>11</v>
      </c>
      <c r="W36" s="1559">
        <f t="shared" si="14"/>
        <v>100</v>
      </c>
      <c r="X36" s="1552"/>
      <c r="Y36" s="4022"/>
      <c r="Z36" s="1560" t="str">
        <f t="shared" si="15"/>
        <v>公共部分装修</v>
      </c>
      <c r="AA36" s="1561">
        <f t="shared" si="3"/>
        <v>1</v>
      </c>
      <c r="AB36" s="1561">
        <f t="shared" si="4"/>
        <v>1</v>
      </c>
      <c r="AC36" s="1561">
        <f t="shared" si="5"/>
        <v>1</v>
      </c>
    </row>
    <row r="37" spans="1:29" s="1215" customFormat="1" ht="15">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1</v>
      </c>
      <c r="L37" s="2119"/>
      <c r="M37" s="2120"/>
      <c r="N37" s="2120"/>
      <c r="O37" s="2121"/>
      <c r="P37" s="4022"/>
      <c r="Q37" s="1146" t="str">
        <f t="shared" si="11"/>
        <v>成新度</v>
      </c>
      <c r="R37" s="1553" t="s">
        <v>11</v>
      </c>
      <c r="S37" s="1554">
        <f t="shared" si="12"/>
        <v>100</v>
      </c>
      <c r="T37" s="1553" t="s">
        <v>11</v>
      </c>
      <c r="U37" s="1554">
        <f t="shared" si="13"/>
        <v>100</v>
      </c>
      <c r="V37" s="1553" t="s">
        <v>11</v>
      </c>
      <c r="W37" s="1554">
        <f t="shared" si="14"/>
        <v>100</v>
      </c>
      <c r="X37" s="1555"/>
      <c r="Y37" s="4022"/>
      <c r="Z37" s="1145" t="str">
        <f t="shared" si="15"/>
        <v>成新度</v>
      </c>
      <c r="AA37" s="1556">
        <f t="shared" si="3"/>
        <v>1</v>
      </c>
      <c r="AB37" s="1556">
        <f t="shared" si="4"/>
        <v>1</v>
      </c>
      <c r="AC37" s="1556">
        <f t="shared" si="5"/>
        <v>1</v>
      </c>
    </row>
    <row r="38" spans="1:29" ht="15">
      <c r="A38" s="593"/>
      <c r="B38" s="526" t="s">
        <v>731</v>
      </c>
      <c r="C38" s="598" t="s">
        <v>3019</v>
      </c>
      <c r="D38" s="539">
        <v>100</v>
      </c>
      <c r="E38" s="873" t="s">
        <v>3019</v>
      </c>
      <c r="F38" s="574">
        <f>SUMIF(114:114,E38,115:115)-SUMIF(114:114,C38,115:115)+100</f>
        <v>100</v>
      </c>
      <c r="G38" s="598" t="s">
        <v>3019</v>
      </c>
      <c r="H38" s="539">
        <f>SUMIF(114:114,G38,115:115)-SUMIF(114:114,C38,115:115)+100</f>
        <v>100</v>
      </c>
      <c r="I38" s="873" t="s">
        <v>3019</v>
      </c>
      <c r="J38" s="539">
        <f>SUMIF(114:114,I38,115:115)-SUMIF(114:114,C38,115:115)+100</f>
        <v>100</v>
      </c>
      <c r="K38" s="863">
        <v>3</v>
      </c>
      <c r="L38" s="2126"/>
      <c r="M38" s="2118"/>
      <c r="N38" s="2118"/>
      <c r="O38" s="2125"/>
      <c r="P38" s="4022" t="s">
        <v>550</v>
      </c>
      <c r="Q38" s="1557" t="str">
        <f t="shared" si="11"/>
        <v>物业管理</v>
      </c>
      <c r="R38" s="1558" t="s">
        <v>11</v>
      </c>
      <c r="S38" s="1559">
        <f t="shared" si="12"/>
        <v>100</v>
      </c>
      <c r="T38" s="1558" t="s">
        <v>11</v>
      </c>
      <c r="U38" s="1559">
        <f t="shared" si="13"/>
        <v>100</v>
      </c>
      <c r="V38" s="1558" t="s">
        <v>11</v>
      </c>
      <c r="W38" s="1559">
        <f t="shared" si="14"/>
        <v>100</v>
      </c>
      <c r="X38" s="1552"/>
      <c r="Y38" s="4022" t="s">
        <v>550</v>
      </c>
      <c r="Z38" s="1560" t="str">
        <f t="shared" si="15"/>
        <v>物业管理</v>
      </c>
      <c r="AA38" s="1561">
        <f t="shared" si="3"/>
        <v>1</v>
      </c>
      <c r="AB38" s="1561">
        <f t="shared" si="4"/>
        <v>1</v>
      </c>
      <c r="AC38" s="1561">
        <f t="shared" si="5"/>
        <v>1</v>
      </c>
    </row>
    <row r="39" spans="1:29" ht="15">
      <c r="A39" s="593"/>
      <c r="B39" s="1879" t="s">
        <v>2563</v>
      </c>
      <c r="C39" s="598" t="s">
        <v>3031</v>
      </c>
      <c r="D39" s="539">
        <v>100</v>
      </c>
      <c r="E39" s="873" t="s">
        <v>3031</v>
      </c>
      <c r="F39" s="574">
        <f>SUMIF(116:116,E39,117:117)-SUMIF(116:116,C39,117:117)+100</f>
        <v>100</v>
      </c>
      <c r="G39" s="598" t="s">
        <v>3031</v>
      </c>
      <c r="H39" s="539">
        <f>SUMIF(116:116,G39,117:117)-SUMIF(116:116,C39,117:117)+100</f>
        <v>100</v>
      </c>
      <c r="I39" s="873" t="s">
        <v>3031</v>
      </c>
      <c r="J39" s="539">
        <f>SUMIF(116:116,I39,117:117)-SUMIF(116:116,C39,117:117)+100</f>
        <v>100</v>
      </c>
      <c r="K39" s="863">
        <v>1</v>
      </c>
      <c r="L39" s="2126"/>
      <c r="M39" s="2118"/>
      <c r="N39" s="2118"/>
      <c r="O39" s="2125"/>
      <c r="P39" s="4022"/>
      <c r="Q39" s="1557" t="str">
        <f t="shared" si="11"/>
        <v>市政基础设施</v>
      </c>
      <c r="R39" s="1558" t="s">
        <v>11</v>
      </c>
      <c r="S39" s="1559">
        <f t="shared" si="12"/>
        <v>100</v>
      </c>
      <c r="T39" s="1558" t="s">
        <v>11</v>
      </c>
      <c r="U39" s="1559">
        <f t="shared" si="13"/>
        <v>100</v>
      </c>
      <c r="V39" s="1558" t="s">
        <v>11</v>
      </c>
      <c r="W39" s="1559">
        <f t="shared" si="14"/>
        <v>100</v>
      </c>
      <c r="X39" s="1552"/>
      <c r="Y39" s="4022"/>
      <c r="Z39" s="1560" t="str">
        <f t="shared" si="15"/>
        <v>市政基础设施</v>
      </c>
      <c r="AA39" s="1561">
        <f t="shared" si="3"/>
        <v>1</v>
      </c>
      <c r="AB39" s="1561">
        <f t="shared" si="4"/>
        <v>1</v>
      </c>
      <c r="AC39" s="1561">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6"/>
      <c r="M40" s="2118"/>
      <c r="N40" s="2118"/>
      <c r="O40" s="2125"/>
      <c r="P40" s="4022"/>
      <c r="Q40" s="1557" t="str">
        <f t="shared" si="11"/>
        <v>房型</v>
      </c>
      <c r="R40" s="1558" t="s">
        <v>11</v>
      </c>
      <c r="S40" s="1559">
        <f t="shared" si="12"/>
        <v>100</v>
      </c>
      <c r="T40" s="1558" t="s">
        <v>11</v>
      </c>
      <c r="U40" s="1559">
        <f t="shared" si="13"/>
        <v>100</v>
      </c>
      <c r="V40" s="1558" t="s">
        <v>11</v>
      </c>
      <c r="W40" s="1559">
        <f t="shared" si="14"/>
        <v>100</v>
      </c>
      <c r="X40" s="1552"/>
      <c r="Y40" s="4022"/>
      <c r="Z40" s="1560" t="str">
        <f t="shared" si="15"/>
        <v>房型</v>
      </c>
      <c r="AA40" s="1561">
        <f t="shared" si="3"/>
        <v>1</v>
      </c>
      <c r="AB40" s="1561">
        <f t="shared" si="4"/>
        <v>1</v>
      </c>
      <c r="AC40" s="1561">
        <f t="shared" si="5"/>
        <v>1</v>
      </c>
    </row>
    <row r="41" spans="1:29" s="1334" customFormat="1" ht="28.5">
      <c r="A41" s="602"/>
      <c r="B41" s="526" t="s">
        <v>733</v>
      </c>
      <c r="C41" s="3189" t="s">
        <v>3046</v>
      </c>
      <c r="D41" s="254">
        <v>100</v>
      </c>
      <c r="E41" s="3190" t="s">
        <v>3043</v>
      </c>
      <c r="F41" s="862">
        <f>SUMIF(120:120,E41,121:121)-SUMIF(120:120,C41,121:121)+100</f>
        <v>98</v>
      </c>
      <c r="G41" s="3191" t="s">
        <v>3045</v>
      </c>
      <c r="H41" s="254">
        <f>SUMIF(120:120,G41,121:121)-SUMIF(120:120,C41,121:121)+100</f>
        <v>96</v>
      </c>
      <c r="I41" s="3192" t="s">
        <v>3322</v>
      </c>
      <c r="J41" s="539">
        <f>SUMIF(120:120,I41,121:121)-SUMIF(120:120,C41,121:121)+100</f>
        <v>100</v>
      </c>
      <c r="K41" s="864"/>
      <c r="L41" s="2124"/>
      <c r="M41" s="2155"/>
      <c r="N41" s="2155"/>
      <c r="O41" s="2127"/>
      <c r="P41" s="4022"/>
      <c r="Q41" s="1589" t="str">
        <f t="shared" si="11"/>
        <v>单套/主力户型建筑面积</v>
      </c>
      <c r="R41" s="1562" t="s">
        <v>11</v>
      </c>
      <c r="S41" s="1563">
        <f t="shared" si="12"/>
        <v>98</v>
      </c>
      <c r="T41" s="1562" t="s">
        <v>11</v>
      </c>
      <c r="U41" s="1563">
        <f t="shared" si="13"/>
        <v>96</v>
      </c>
      <c r="V41" s="1562" t="s">
        <v>11</v>
      </c>
      <c r="W41" s="1563">
        <f t="shared" si="14"/>
        <v>100</v>
      </c>
      <c r="X41" s="1564"/>
      <c r="Y41" s="4022"/>
      <c r="Z41" s="1565" t="str">
        <f t="shared" si="15"/>
        <v>单套/主力户型建筑面积</v>
      </c>
      <c r="AA41" s="1561">
        <f t="shared" si="3"/>
        <v>1.0204081632653061</v>
      </c>
      <c r="AB41" s="1561">
        <f t="shared" si="4"/>
        <v>1.0416666666666667</v>
      </c>
      <c r="AC41" s="1561">
        <f t="shared" si="5"/>
        <v>1</v>
      </c>
    </row>
    <row r="42" spans="1:29" ht="15">
      <c r="A42" s="593"/>
      <c r="B42" s="526" t="s">
        <v>734</v>
      </c>
      <c r="C42" s="598" t="s">
        <v>3032</v>
      </c>
      <c r="D42" s="539">
        <v>100</v>
      </c>
      <c r="E42" s="873" t="s">
        <v>3032</v>
      </c>
      <c r="F42" s="574">
        <f>SUMIF(122:122,E42,123:123)-SUMIF(122:122,C42,123:123)+100</f>
        <v>100</v>
      </c>
      <c r="G42" s="598" t="s">
        <v>3032</v>
      </c>
      <c r="H42" s="539">
        <f>SUMIF(122:122,G42,123:123)-SUMIF(122:122,C42,123:123)+100</f>
        <v>100</v>
      </c>
      <c r="I42" s="873" t="s">
        <v>3032</v>
      </c>
      <c r="J42" s="539">
        <f>SUMIF(122:122,I42,123:123)-SUMIF(122:122,C42,123:123)+100</f>
        <v>100</v>
      </c>
      <c r="K42" s="863">
        <v>1</v>
      </c>
      <c r="L42" s="2126"/>
      <c r="M42" s="2118"/>
      <c r="N42" s="2118"/>
      <c r="O42" s="2125"/>
      <c r="P42" s="4022"/>
      <c r="Q42" s="1557" t="str">
        <f t="shared" si="11"/>
        <v>内部装修</v>
      </c>
      <c r="R42" s="1558" t="s">
        <v>11</v>
      </c>
      <c r="S42" s="1559">
        <f t="shared" si="12"/>
        <v>100</v>
      </c>
      <c r="T42" s="1558" t="s">
        <v>11</v>
      </c>
      <c r="U42" s="1559">
        <f t="shared" si="13"/>
        <v>100</v>
      </c>
      <c r="V42" s="1558" t="s">
        <v>11</v>
      </c>
      <c r="W42" s="1559">
        <f t="shared" si="14"/>
        <v>100</v>
      </c>
      <c r="X42" s="1552"/>
      <c r="Y42" s="4022"/>
      <c r="Z42" s="1560" t="str">
        <f t="shared" si="15"/>
        <v>内部装修</v>
      </c>
      <c r="AA42" s="1561">
        <f t="shared" si="3"/>
        <v>1</v>
      </c>
      <c r="AB42" s="1561">
        <f t="shared" si="4"/>
        <v>1</v>
      </c>
      <c r="AC42" s="1561">
        <f t="shared" si="5"/>
        <v>1</v>
      </c>
    </row>
    <row r="43" spans="1:29" ht="27">
      <c r="A43" s="593"/>
      <c r="B43" s="526" t="s">
        <v>735</v>
      </c>
      <c r="C43" s="598" t="s">
        <v>3014</v>
      </c>
      <c r="D43" s="539">
        <v>100</v>
      </c>
      <c r="E43" s="873" t="s">
        <v>3014</v>
      </c>
      <c r="F43" s="574">
        <f>SUMIF(124:124,E43,125:125)-SUMIF(124:124,C43,125:125)+100</f>
        <v>100</v>
      </c>
      <c r="G43" s="598" t="s">
        <v>3014</v>
      </c>
      <c r="H43" s="539">
        <f>SUMIF(124:124,G43,125:125)-SUMIF(124:124,C43,125:125)+100</f>
        <v>100</v>
      </c>
      <c r="I43" s="873" t="s">
        <v>3014</v>
      </c>
      <c r="J43" s="539">
        <f>SUMIF(124:124,I43,125:125)-SUMIF(124:124,C43,125:125)+100</f>
        <v>100</v>
      </c>
      <c r="K43" s="863">
        <v>2</v>
      </c>
      <c r="L43" s="2126"/>
      <c r="M43" s="2118"/>
      <c r="N43" s="2118"/>
      <c r="O43" s="2125"/>
      <c r="P43" s="4022"/>
      <c r="Q43" s="1557" t="str">
        <f t="shared" si="11"/>
        <v>内部装修维护情况</v>
      </c>
      <c r="R43" s="1558" t="s">
        <v>11</v>
      </c>
      <c r="S43" s="1559">
        <f t="shared" si="12"/>
        <v>100</v>
      </c>
      <c r="T43" s="1558" t="s">
        <v>11</v>
      </c>
      <c r="U43" s="1559">
        <f t="shared" si="13"/>
        <v>100</v>
      </c>
      <c r="V43" s="1558" t="s">
        <v>11</v>
      </c>
      <c r="W43" s="1559">
        <f t="shared" si="14"/>
        <v>100</v>
      </c>
      <c r="X43" s="1552"/>
      <c r="Y43" s="4022"/>
      <c r="Z43" s="1560" t="str">
        <f t="shared" si="15"/>
        <v>内部装修维护情况</v>
      </c>
      <c r="AA43" s="1561">
        <f t="shared" si="3"/>
        <v>1</v>
      </c>
      <c r="AB43" s="1561">
        <f t="shared" si="4"/>
        <v>1</v>
      </c>
      <c r="AC43" s="1561">
        <f t="shared" si="5"/>
        <v>1</v>
      </c>
    </row>
    <row r="44" spans="1:29" s="1215"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9"/>
      <c r="M44" s="2120"/>
      <c r="N44" s="2120"/>
      <c r="O44" s="2121"/>
      <c r="P44" s="4022"/>
      <c r="Q44" s="1146">
        <f t="shared" si="11"/>
        <v>111</v>
      </c>
      <c r="R44" s="1553" t="s">
        <v>11</v>
      </c>
      <c r="S44" s="1554">
        <f t="shared" si="12"/>
        <v>100</v>
      </c>
      <c r="T44" s="1553" t="s">
        <v>11</v>
      </c>
      <c r="U44" s="1554">
        <f t="shared" si="13"/>
        <v>100</v>
      </c>
      <c r="V44" s="1553" t="s">
        <v>11</v>
      </c>
      <c r="W44" s="1554">
        <f t="shared" si="14"/>
        <v>100</v>
      </c>
      <c r="X44" s="1555"/>
      <c r="Y44" s="4022"/>
      <c r="Z44" s="1145">
        <f t="shared" si="15"/>
        <v>111</v>
      </c>
      <c r="AA44" s="1556">
        <f t="shared" si="3"/>
        <v>1</v>
      </c>
      <c r="AB44" s="1556">
        <f t="shared" si="4"/>
        <v>1</v>
      </c>
      <c r="AC44" s="1556">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6"/>
      <c r="M45" s="2118"/>
      <c r="N45" s="2118"/>
      <c r="O45" s="2125"/>
      <c r="P45" s="4022"/>
      <c r="Q45" s="1557">
        <f t="shared" si="11"/>
        <v>111</v>
      </c>
      <c r="R45" s="1558" t="s">
        <v>11</v>
      </c>
      <c r="S45" s="1559">
        <f t="shared" si="12"/>
        <v>100</v>
      </c>
      <c r="T45" s="1558" t="s">
        <v>11</v>
      </c>
      <c r="U45" s="1559">
        <f t="shared" si="13"/>
        <v>100</v>
      </c>
      <c r="V45" s="1558" t="s">
        <v>11</v>
      </c>
      <c r="W45" s="1559">
        <f t="shared" si="14"/>
        <v>100</v>
      </c>
      <c r="X45" s="1552"/>
      <c r="Y45" s="4022"/>
      <c r="Z45" s="1560">
        <f t="shared" si="15"/>
        <v>111</v>
      </c>
      <c r="AA45" s="1561">
        <f t="shared" si="3"/>
        <v>1</v>
      </c>
      <c r="AB45" s="1561">
        <f t="shared" si="4"/>
        <v>1</v>
      </c>
      <c r="AC45" s="1561">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6"/>
      <c r="M46" s="2118"/>
      <c r="N46" s="2118"/>
      <c r="O46" s="2125"/>
      <c r="P46" s="4101"/>
      <c r="Q46" s="1557">
        <f t="shared" si="11"/>
        <v>111</v>
      </c>
      <c r="R46" s="1558" t="s">
        <v>10</v>
      </c>
      <c r="S46" s="1559">
        <f t="shared" si="12"/>
        <v>100</v>
      </c>
      <c r="T46" s="1558" t="s">
        <v>10</v>
      </c>
      <c r="U46" s="1559">
        <f t="shared" si="13"/>
        <v>100</v>
      </c>
      <c r="V46" s="1558" t="s">
        <v>10</v>
      </c>
      <c r="W46" s="1559">
        <f t="shared" si="14"/>
        <v>100</v>
      </c>
      <c r="X46" s="1552"/>
      <c r="Y46" s="4101"/>
      <c r="Z46" s="1560">
        <f t="shared" si="15"/>
        <v>111</v>
      </c>
      <c r="AA46" s="1561">
        <f t="shared" si="3"/>
        <v>1</v>
      </c>
      <c r="AB46" s="1561">
        <f t="shared" si="4"/>
        <v>1</v>
      </c>
      <c r="AC46" s="1561">
        <f t="shared" si="5"/>
        <v>1</v>
      </c>
    </row>
    <row r="47" spans="1:29" ht="15">
      <c r="A47" s="606" t="s">
        <v>736</v>
      </c>
      <c r="B47" s="886"/>
      <c r="C47" s="2590" t="s">
        <v>9</v>
      </c>
      <c r="D47" s="2591"/>
      <c r="E47" s="2592">
        <v>5500</v>
      </c>
      <c r="F47" s="2593"/>
      <c r="G47" s="2594">
        <v>4700</v>
      </c>
      <c r="H47" s="2595"/>
      <c r="I47" s="2592">
        <v>5600</v>
      </c>
      <c r="J47" s="2595"/>
      <c r="K47" s="1590"/>
      <c r="L47" s="2128"/>
      <c r="M47" s="2129"/>
      <c r="N47" s="2118"/>
      <c r="O47" s="2129"/>
      <c r="P47" s="4017" t="str">
        <f>A47</f>
        <v>成交单价（元/平方米）</v>
      </c>
      <c r="Q47" s="4017"/>
      <c r="R47" s="4100">
        <f>E47</f>
        <v>5500</v>
      </c>
      <c r="S47" s="4100"/>
      <c r="T47" s="4100">
        <f>G47</f>
        <v>4700</v>
      </c>
      <c r="U47" s="4100"/>
      <c r="V47" s="4100">
        <f>I47</f>
        <v>5600</v>
      </c>
      <c r="W47" s="4100"/>
      <c r="X47" s="1544"/>
      <c r="Y47" s="1566"/>
      <c r="Z47" s="1544"/>
      <c r="AA47" s="1544"/>
      <c r="AB47" s="1544"/>
      <c r="AC47" s="1544"/>
    </row>
    <row r="48" spans="1:29" ht="15.75" thickBot="1">
      <c r="A48" s="614" t="s">
        <v>2759</v>
      </c>
      <c r="B48" s="887"/>
      <c r="C48" s="2596">
        <f>R49</f>
        <v>5264</v>
      </c>
      <c r="D48" s="2597"/>
      <c r="E48" s="2598">
        <f>R48</f>
        <v>5452</v>
      </c>
      <c r="F48" s="2598"/>
      <c r="G48" s="2596">
        <f>T48</f>
        <v>4904</v>
      </c>
      <c r="H48" s="2597"/>
      <c r="I48" s="2598">
        <f>V48</f>
        <v>5437</v>
      </c>
      <c r="J48" s="2597"/>
      <c r="K48" s="1591"/>
      <c r="L48" s="2128"/>
      <c r="M48" s="2129"/>
      <c r="N48" s="2129"/>
      <c r="O48" s="2129"/>
      <c r="P48" s="4017" t="str">
        <f>A48</f>
        <v>比较价格（元/平方米）</v>
      </c>
      <c r="Q48" s="4017"/>
      <c r="R48" s="4100">
        <f>IF(F1="售价",ROUND(PRODUCT(R47,AA7:AA46),0),ROUND(PRODUCT(R47,AA7:AA46),1))</f>
        <v>5452</v>
      </c>
      <c r="S48" s="4100"/>
      <c r="T48" s="4100">
        <f>IF(F1="售价",ROUND(PRODUCT(T47,AB7:AB46),0),ROUND(PRODUCT(T47,AB7:AB46),1))</f>
        <v>4904</v>
      </c>
      <c r="U48" s="4100"/>
      <c r="V48" s="4100">
        <f>IF(F1="售价",ROUND(PRODUCT(V47,AC7:AC46),0),ROUND(PRODUCT(V47,AC7:AC46),1))</f>
        <v>5437</v>
      </c>
      <c r="W48" s="4100"/>
      <c r="X48" s="1544"/>
      <c r="Y48" s="1544"/>
      <c r="Z48" s="1544"/>
      <c r="AA48" s="1544"/>
      <c r="AB48" s="1544"/>
      <c r="AC48" s="1544"/>
    </row>
    <row r="49" spans="1:29" ht="15.75" thickBot="1">
      <c r="A49" s="620" t="s">
        <v>2932</v>
      </c>
      <c r="B49" s="621"/>
      <c r="C49" s="2599">
        <f>R49</f>
        <v>5264</v>
      </c>
      <c r="D49" s="2599"/>
      <c r="E49" s="2599"/>
      <c r="F49" s="2599"/>
      <c r="G49" s="2599"/>
      <c r="H49" s="2599"/>
      <c r="I49" s="2599"/>
      <c r="J49" s="2599"/>
      <c r="K49" s="1592"/>
      <c r="L49" s="2128"/>
      <c r="M49" s="2129"/>
      <c r="N49" s="2129"/>
      <c r="O49" s="2129"/>
      <c r="P49" s="4038" t="str">
        <f>A49</f>
        <v>估价对象XX用房的比较价格（楼面单价，元/平方米）</v>
      </c>
      <c r="Q49" s="4039"/>
      <c r="R49" s="4099">
        <f>IF(F1="售价",ROUND(AVERAGE(R48:V48),0),ROUND(AVERAGE(R48:V48),1))</f>
        <v>5264</v>
      </c>
      <c r="S49" s="4099"/>
      <c r="T49" s="4099"/>
      <c r="U49" s="4099"/>
      <c r="V49" s="4099"/>
      <c r="W49" s="409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3" t="s">
        <v>557</v>
      </c>
      <c r="D52" s="624"/>
      <c r="E52" s="625">
        <f>IF(E47&lt;E48,E48/E47-1,E47/E48-1)</f>
        <v>8.8041085840058209E-3</v>
      </c>
      <c r="F52" s="626" t="str">
        <f>IF(OR(E52&gt;=0.3,E52&lt;=-0.3),"超过30%","")</f>
        <v/>
      </c>
      <c r="G52" s="625">
        <f>IF(G47&lt;G48,G48/G47-1,G47/G48-1)</f>
        <v>4.3404255319148932E-2</v>
      </c>
      <c r="H52" s="626" t="str">
        <f>IF(OR(G52&gt;=0.3,G52&lt;=-0.3),"超过30%","")</f>
        <v/>
      </c>
      <c r="I52" s="625">
        <f>IF(I47&lt;I48,I48/I47-1,I47/I48-1)</f>
        <v>2.9979768254552175E-2</v>
      </c>
      <c r="J52" s="626"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3" t="s">
        <v>558</v>
      </c>
      <c r="D53" s="627"/>
      <c r="E53" s="625">
        <f>IF(E48&lt;G48,G48/E48-1,E48/G48-1)</f>
        <v>0.11174551386623155</v>
      </c>
      <c r="F53" s="626" t="str">
        <f>IF(OR(E53&gt;=0.2,E53&lt;=-0.2),"超过20%","")</f>
        <v/>
      </c>
      <c r="G53" s="625">
        <f>IF(G48&lt;I48,I48/G48-1,G48/I48-1)</f>
        <v>0.10868678629690054</v>
      </c>
      <c r="H53" s="626" t="str">
        <f>IF(OR(G53&gt;=0.2,G53&lt;=-0.2),"超过20%","")</f>
        <v/>
      </c>
      <c r="I53" s="625">
        <f>IF(I48&lt;E48,E48/I48-1,I48/E48-1)</f>
        <v>2.7588743792532622E-3</v>
      </c>
      <c r="J53" s="626"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3" t="s">
        <v>559</v>
      </c>
      <c r="D54" s="627"/>
      <c r="E54" s="625">
        <f>IF(E47&lt;G47,G47/E47-1,E47/G47-1)</f>
        <v>0.17021276595744683</v>
      </c>
      <c r="F54" s="626" t="str">
        <f>IF(OR(E54&gt;=0.3,E54&lt;=-0.3),"超过30%","")</f>
        <v/>
      </c>
      <c r="G54" s="625">
        <f>IF(G47&lt;I47,I47/G47-1,G47/I47-1)</f>
        <v>0.1914893617021276</v>
      </c>
      <c r="H54" s="626" t="str">
        <f>IF(OR(G54&gt;=0.3,G54&lt;=-0.3),"超过30%","")</f>
        <v/>
      </c>
      <c r="I54" s="625">
        <f>IF(I47&lt;E47,E47/I47-1,I47/E47-1)</f>
        <v>1.8181818181818077E-2</v>
      </c>
      <c r="J54" s="626"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5">
      <c r="A58" s="644" t="s">
        <v>529</v>
      </c>
      <c r="B58" s="645"/>
      <c r="C58" s="2758" t="str">
        <f>YEAR(C7)&amp;"-"&amp;MONTH(C7)</f>
        <v>2019-7</v>
      </c>
      <c r="D58" s="2758">
        <f>EDATE(C58,-1)</f>
        <v>43617</v>
      </c>
      <c r="E58" s="2758">
        <f t="shared" ref="E58:O58" si="16">EDATE(D58,-1)</f>
        <v>43586</v>
      </c>
      <c r="F58" s="2758">
        <f t="shared" si="16"/>
        <v>43556</v>
      </c>
      <c r="G58" s="2758">
        <f t="shared" si="16"/>
        <v>43525</v>
      </c>
      <c r="H58" s="2758">
        <f t="shared" si="16"/>
        <v>43497</v>
      </c>
      <c r="I58" s="2758">
        <f t="shared" si="16"/>
        <v>43466</v>
      </c>
      <c r="J58" s="2758">
        <f t="shared" si="16"/>
        <v>43435</v>
      </c>
      <c r="K58" s="2758">
        <f t="shared" si="16"/>
        <v>43405</v>
      </c>
      <c r="L58" s="2758">
        <f t="shared" si="16"/>
        <v>43374</v>
      </c>
      <c r="M58" s="2758">
        <f t="shared" si="16"/>
        <v>43344</v>
      </c>
      <c r="N58" s="2758">
        <f t="shared" si="16"/>
        <v>43313</v>
      </c>
      <c r="O58" s="2758">
        <f t="shared" si="16"/>
        <v>43282</v>
      </c>
      <c r="P58" s="2144"/>
      <c r="Q58" s="2145"/>
      <c r="R58" s="2145"/>
      <c r="S58" s="2145"/>
      <c r="T58" s="2145"/>
      <c r="U58" s="2145"/>
      <c r="V58" s="2145"/>
      <c r="W58" s="2145"/>
      <c r="X58" s="2145"/>
      <c r="Y58" s="2145"/>
      <c r="Z58" s="2145"/>
      <c r="AA58" s="2145"/>
      <c r="AB58" s="2145"/>
      <c r="AC58" s="2145"/>
    </row>
    <row r="59" spans="1:29" s="1215" customFormat="1" ht="15">
      <c r="A59" s="646"/>
      <c r="B59" s="647"/>
      <c r="C59" s="648">
        <v>100</v>
      </c>
      <c r="D59" s="649"/>
      <c r="E59" s="649"/>
      <c r="F59" s="649"/>
      <c r="G59" s="649"/>
      <c r="H59" s="649"/>
      <c r="I59" s="649"/>
      <c r="J59" s="649"/>
      <c r="K59" s="649"/>
      <c r="L59" s="649"/>
      <c r="M59" s="649"/>
      <c r="N59" s="649"/>
      <c r="O59" s="649"/>
      <c r="P59" s="2142"/>
      <c r="Q59" s="1977"/>
      <c r="R59" s="1977"/>
      <c r="S59" s="1977"/>
      <c r="T59" s="1977"/>
      <c r="U59" s="1977"/>
      <c r="V59" s="1977"/>
      <c r="W59" s="1977"/>
      <c r="X59" s="1977"/>
      <c r="Y59" s="1977"/>
      <c r="Z59" s="1977"/>
      <c r="AA59" s="1977"/>
      <c r="AB59" s="1977"/>
      <c r="AC59" s="1977"/>
    </row>
    <row r="60" spans="1:29" s="1215" customFormat="1" ht="15.75" thickBot="1">
      <c r="A60" s="652" t="s">
        <v>575</v>
      </c>
      <c r="B60" s="653"/>
      <c r="C60" s="654"/>
      <c r="D60" s="655"/>
      <c r="E60" s="655"/>
      <c r="F60" s="655"/>
      <c r="G60" s="655"/>
      <c r="H60" s="655"/>
      <c r="I60" s="655"/>
      <c r="J60" s="655"/>
      <c r="K60" s="655"/>
      <c r="L60" s="655"/>
      <c r="M60" s="656"/>
      <c r="N60" s="655"/>
      <c r="O60" s="657"/>
      <c r="P60" s="2142"/>
      <c r="Q60" s="2142"/>
      <c r="R60" s="1977"/>
      <c r="S60" s="1977"/>
      <c r="T60" s="1977"/>
      <c r="U60" s="1977"/>
      <c r="V60" s="1977"/>
      <c r="W60" s="1977"/>
      <c r="X60" s="1977"/>
      <c r="Y60" s="1977"/>
      <c r="Z60" s="1977"/>
      <c r="AA60" s="1977"/>
      <c r="AB60" s="1977"/>
      <c r="AC60" s="1977"/>
    </row>
    <row r="61" spans="1:29" s="1215" customFormat="1" ht="15">
      <c r="A61" s="658" t="s">
        <v>531</v>
      </c>
      <c r="B61" s="647"/>
      <c r="C61" s="659" t="s">
        <v>576</v>
      </c>
      <c r="D61" s="660"/>
      <c r="E61" s="660"/>
      <c r="F61" s="660"/>
      <c r="G61" s="660"/>
      <c r="H61" s="660"/>
      <c r="I61" s="660"/>
      <c r="J61" s="660"/>
      <c r="K61" s="660"/>
      <c r="L61" s="661"/>
      <c r="M61" s="662"/>
      <c r="N61" s="2146"/>
      <c r="O61" s="2146"/>
      <c r="P61" s="2147"/>
      <c r="Q61" s="2142"/>
      <c r="R61" s="1977"/>
      <c r="S61" s="1977"/>
      <c r="T61" s="1977"/>
      <c r="U61" s="1977"/>
      <c r="V61" s="1977"/>
      <c r="W61" s="1977"/>
      <c r="X61" s="1977"/>
      <c r="Y61" s="1977"/>
      <c r="Z61" s="1977"/>
      <c r="AA61" s="1977"/>
      <c r="AB61" s="1977"/>
      <c r="AC61" s="1977"/>
    </row>
    <row r="62" spans="1:29" s="1215" customFormat="1" ht="15.75" thickBot="1">
      <c r="A62" s="658"/>
      <c r="B62" s="647"/>
      <c r="C62" s="888">
        <v>100</v>
      </c>
      <c r="D62" s="649"/>
      <c r="E62" s="649"/>
      <c r="F62" s="649"/>
      <c r="G62" s="649"/>
      <c r="H62" s="649"/>
      <c r="I62" s="649"/>
      <c r="J62" s="649"/>
      <c r="K62" s="649"/>
      <c r="L62" s="649"/>
      <c r="M62" s="651"/>
      <c r="N62" s="2146"/>
      <c r="O62" s="2146"/>
      <c r="P62" s="2142"/>
      <c r="Q62" s="2142"/>
      <c r="R62" s="1977"/>
      <c r="S62" s="1977"/>
      <c r="T62" s="1977"/>
      <c r="U62" s="1977"/>
      <c r="V62" s="1977"/>
      <c r="W62" s="1977"/>
      <c r="X62" s="1977"/>
      <c r="Y62" s="1977"/>
      <c r="Z62" s="1977"/>
      <c r="AA62" s="1977"/>
      <c r="AB62" s="1977"/>
      <c r="AC62" s="1977"/>
    </row>
    <row r="63" spans="1:29">
      <c r="A63" s="663" t="s">
        <v>577</v>
      </c>
      <c r="B63" s="664" t="s">
        <v>534</v>
      </c>
      <c r="C63" s="703" t="str">
        <f>C9</f>
        <v>住宅</v>
      </c>
      <c r="D63" s="597"/>
      <c r="E63" s="597"/>
      <c r="F63" s="597"/>
      <c r="G63" s="597"/>
      <c r="H63" s="597"/>
      <c r="I63" s="597"/>
      <c r="J63" s="597"/>
      <c r="K63" s="665"/>
      <c r="L63" s="666"/>
      <c r="M63" s="667"/>
      <c r="N63" s="2148"/>
      <c r="O63" s="2148"/>
      <c r="P63" s="2149"/>
      <c r="Q63" s="2142"/>
      <c r="R63" s="2129"/>
      <c r="S63" s="2129"/>
      <c r="T63" s="2129"/>
      <c r="U63" s="2129"/>
      <c r="V63" s="2129"/>
      <c r="W63" s="2129"/>
      <c r="X63" s="2129"/>
      <c r="Y63" s="2129"/>
      <c r="Z63" s="2129"/>
      <c r="AA63" s="2129"/>
      <c r="AB63" s="2129"/>
      <c r="AC63" s="2129"/>
    </row>
    <row r="64" spans="1:29" ht="15.75" thickBot="1">
      <c r="A64" s="668"/>
      <c r="B64" s="669"/>
      <c r="C64" s="670">
        <v>100</v>
      </c>
      <c r="D64" s="670"/>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8"/>
      <c r="O65" s="2148"/>
      <c r="P65" s="2149"/>
      <c r="Q65" s="2142"/>
      <c r="R65" s="2129"/>
      <c r="S65" s="2129"/>
      <c r="T65" s="2129"/>
      <c r="U65" s="2129"/>
      <c r="V65" s="2129"/>
      <c r="W65" s="2129"/>
      <c r="X65" s="2129"/>
      <c r="Y65" s="2129"/>
      <c r="Z65" s="2129"/>
      <c r="AA65" s="2129"/>
      <c r="AB65" s="2129"/>
      <c r="AC65" s="2129"/>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50"/>
      <c r="O66" s="2150"/>
      <c r="P66" s="2149"/>
      <c r="Q66" s="2142"/>
      <c r="R66" s="2129"/>
      <c r="S66" s="2129"/>
      <c r="T66" s="2129"/>
      <c r="U66" s="2129"/>
      <c r="V66" s="2129"/>
      <c r="W66" s="2129"/>
      <c r="X66" s="2129"/>
      <c r="Y66" s="2129"/>
      <c r="Z66" s="2129"/>
      <c r="AA66" s="2129"/>
      <c r="AB66" s="2129"/>
      <c r="AC66" s="2129"/>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8"/>
      <c r="B68" s="682"/>
      <c r="C68" s="540">
        <v>0</v>
      </c>
      <c r="D68" s="540">
        <v>1</v>
      </c>
      <c r="E68" s="540">
        <v>2</v>
      </c>
      <c r="F68" s="540">
        <v>3</v>
      </c>
      <c r="G68" s="540">
        <v>4</v>
      </c>
      <c r="H68" s="540">
        <v>5</v>
      </c>
      <c r="I68" s="540"/>
      <c r="J68" s="540"/>
      <c r="K68" s="683"/>
      <c r="L68" s="684"/>
      <c r="M68" s="685"/>
      <c r="N68" s="2148"/>
      <c r="O68" s="2148"/>
      <c r="P68" s="2149"/>
      <c r="Q68" s="2142"/>
      <c r="R68" s="2129"/>
      <c r="S68" s="2129"/>
      <c r="T68" s="2129"/>
      <c r="U68" s="2129"/>
      <c r="V68" s="2129"/>
      <c r="W68" s="2129"/>
      <c r="X68" s="2129"/>
      <c r="Y68" s="2129"/>
      <c r="Z68" s="2129"/>
      <c r="AA68" s="2129"/>
      <c r="AB68" s="2129"/>
      <c r="AC68" s="2129"/>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50"/>
      <c r="O69" s="2150"/>
      <c r="P69" s="2149"/>
      <c r="Q69" s="2142"/>
      <c r="R69" s="2129"/>
      <c r="S69" s="2129"/>
      <c r="T69" s="2129"/>
      <c r="U69" s="2129"/>
      <c r="V69" s="2129"/>
      <c r="W69" s="2129"/>
      <c r="X69" s="2129"/>
      <c r="Y69" s="2129"/>
      <c r="Z69" s="2129"/>
      <c r="AA69" s="2129"/>
      <c r="AB69" s="2129"/>
      <c r="AC69" s="2129"/>
    </row>
    <row r="70" spans="1:29" s="1334" customFormat="1" ht="15.75" thickTop="1">
      <c r="A70" s="686"/>
      <c r="B70" s="672">
        <f>B12</f>
        <v>111</v>
      </c>
      <c r="C70" s="687"/>
      <c r="D70" s="687"/>
      <c r="E70" s="687"/>
      <c r="F70" s="687"/>
      <c r="G70" s="687"/>
      <c r="H70" s="688"/>
      <c r="I70" s="688"/>
      <c r="J70" s="688"/>
      <c r="K70" s="688"/>
      <c r="L70" s="689"/>
      <c r="M70" s="690"/>
      <c r="N70" s="2151"/>
      <c r="O70" s="2151"/>
      <c r="P70" s="2152"/>
      <c r="Q70" s="2153"/>
      <c r="R70" s="2154"/>
      <c r="S70" s="2154"/>
      <c r="T70" s="2154"/>
      <c r="U70" s="2154"/>
      <c r="V70" s="2154"/>
      <c r="W70" s="2154"/>
      <c r="X70" s="2154"/>
      <c r="Y70" s="2154"/>
      <c r="Z70" s="2154"/>
      <c r="AA70" s="2154"/>
      <c r="AB70" s="2154"/>
      <c r="AC70" s="2154"/>
    </row>
    <row r="71" spans="1:29" s="1334" customFormat="1" ht="15.75" thickBot="1">
      <c r="A71" s="686"/>
      <c r="B71" s="677"/>
      <c r="C71" s="691"/>
      <c r="D71" s="670"/>
      <c r="E71" s="670"/>
      <c r="F71" s="670"/>
      <c r="G71" s="670"/>
      <c r="H71" s="670"/>
      <c r="I71" s="670"/>
      <c r="J71" s="670"/>
      <c r="K71" s="670"/>
      <c r="L71" s="670"/>
      <c r="M71" s="671"/>
      <c r="N71" s="2150"/>
      <c r="O71" s="2150"/>
      <c r="P71" s="2152"/>
      <c r="Q71" s="2153"/>
      <c r="R71" s="2154"/>
      <c r="S71" s="2154"/>
      <c r="T71" s="2154"/>
      <c r="U71" s="2154"/>
      <c r="V71" s="2154"/>
      <c r="W71" s="2154"/>
      <c r="X71" s="2154"/>
      <c r="Y71" s="2154"/>
      <c r="Z71" s="2154"/>
      <c r="AA71" s="2154"/>
      <c r="AB71" s="2154"/>
      <c r="AC71" s="2154"/>
    </row>
    <row r="72" spans="1:29" s="1334" customFormat="1" ht="15.75" thickTop="1">
      <c r="A72" s="686"/>
      <c r="B72" s="672">
        <f>B13</f>
        <v>111</v>
      </c>
      <c r="C72" s="687"/>
      <c r="D72" s="687"/>
      <c r="E72" s="687"/>
      <c r="F72" s="687"/>
      <c r="G72" s="687"/>
      <c r="H72" s="688"/>
      <c r="I72" s="688"/>
      <c r="J72" s="688"/>
      <c r="K72" s="688"/>
      <c r="L72" s="689"/>
      <c r="M72" s="690"/>
      <c r="N72" s="2151"/>
      <c r="O72" s="2151"/>
      <c r="P72" s="2155"/>
      <c r="Q72" s="2156"/>
      <c r="R72" s="2154"/>
      <c r="S72" s="2154"/>
      <c r="T72" s="2154"/>
      <c r="U72" s="2154"/>
      <c r="V72" s="2154"/>
      <c r="W72" s="2154"/>
      <c r="X72" s="2154"/>
      <c r="Y72" s="2154"/>
      <c r="Z72" s="2154"/>
      <c r="AA72" s="2154"/>
      <c r="AB72" s="2154"/>
      <c r="AC72" s="2154"/>
    </row>
    <row r="73" spans="1:29" s="1334" customFormat="1" ht="15.75" thickBot="1">
      <c r="A73" s="686"/>
      <c r="B73" s="677"/>
      <c r="C73" s="691"/>
      <c r="D73" s="691"/>
      <c r="E73" s="691"/>
      <c r="F73" s="691"/>
      <c r="G73" s="691"/>
      <c r="H73" s="692"/>
      <c r="I73" s="692"/>
      <c r="J73" s="692"/>
      <c r="K73" s="692"/>
      <c r="L73" s="692"/>
      <c r="M73" s="693"/>
      <c r="N73" s="2151"/>
      <c r="O73" s="2151"/>
      <c r="P73" s="2152"/>
      <c r="Q73" s="2153"/>
      <c r="R73" s="2154"/>
      <c r="S73" s="2154"/>
      <c r="T73" s="2154"/>
      <c r="U73" s="2154"/>
      <c r="V73" s="2154"/>
      <c r="W73" s="2154"/>
      <c r="X73" s="2154"/>
      <c r="Y73" s="2154"/>
      <c r="Z73" s="2154"/>
      <c r="AA73" s="2154"/>
      <c r="AB73" s="2154"/>
      <c r="AC73" s="2154"/>
    </row>
    <row r="74" spans="1:29" s="1334" customFormat="1" ht="15.75" thickTop="1">
      <c r="A74" s="686"/>
      <c r="B74" s="680">
        <f>B14</f>
        <v>111</v>
      </c>
      <c r="C74" s="687"/>
      <c r="D74" s="687"/>
      <c r="E74" s="687"/>
      <c r="F74" s="687"/>
      <c r="G74" s="660"/>
      <c r="H74" s="694"/>
      <c r="I74" s="694"/>
      <c r="J74" s="694"/>
      <c r="K74" s="694"/>
      <c r="L74" s="695"/>
      <c r="M74" s="696"/>
      <c r="N74" s="2151"/>
      <c r="O74" s="2151"/>
      <c r="P74" s="2157"/>
      <c r="Q74" s="2153"/>
      <c r="R74" s="2154"/>
      <c r="S74" s="2154"/>
      <c r="T74" s="2154"/>
      <c r="U74" s="2154"/>
      <c r="V74" s="2154"/>
      <c r="W74" s="2154"/>
      <c r="X74" s="2154"/>
      <c r="Y74" s="2154"/>
      <c r="Z74" s="2154"/>
      <c r="AA74" s="2154"/>
      <c r="AB74" s="2154"/>
      <c r="AC74" s="2154"/>
    </row>
    <row r="75" spans="1:29" s="1334" customFormat="1" ht="15.75" thickBot="1">
      <c r="A75" s="697"/>
      <c r="B75" s="698"/>
      <c r="C75" s="699"/>
      <c r="D75" s="699"/>
      <c r="E75" s="699"/>
      <c r="F75" s="699"/>
      <c r="G75" s="699"/>
      <c r="H75" s="700"/>
      <c r="I75" s="700"/>
      <c r="J75" s="700"/>
      <c r="K75" s="700"/>
      <c r="L75" s="700"/>
      <c r="M75" s="701"/>
      <c r="N75" s="2151"/>
      <c r="O75" s="2151"/>
      <c r="P75" s="2152"/>
      <c r="Q75" s="2153"/>
      <c r="R75" s="2154"/>
      <c r="S75" s="2154"/>
      <c r="T75" s="2154"/>
      <c r="U75" s="2154"/>
      <c r="V75" s="2154"/>
      <c r="W75" s="2154"/>
      <c r="X75" s="2154"/>
      <c r="Y75" s="2154"/>
      <c r="Z75" s="2154"/>
      <c r="AA75" s="2154"/>
      <c r="AB75" s="2154"/>
      <c r="AC75" s="2154"/>
    </row>
    <row r="76" spans="1:29">
      <c r="A76" s="663" t="s">
        <v>539</v>
      </c>
      <c r="B76" s="664" t="s">
        <v>578</v>
      </c>
      <c r="C76" s="702" t="s">
        <v>579</v>
      </c>
      <c r="D76" s="702" t="s">
        <v>580</v>
      </c>
      <c r="E76" s="702" t="s">
        <v>581</v>
      </c>
      <c r="F76" s="702" t="s">
        <v>582</v>
      </c>
      <c r="G76" s="702" t="s">
        <v>583</v>
      </c>
      <c r="H76" s="703"/>
      <c r="I76" s="703"/>
      <c r="J76" s="703"/>
      <c r="K76" s="704"/>
      <c r="L76" s="705"/>
      <c r="M76" s="706"/>
      <c r="N76" s="2148"/>
      <c r="O76" s="2148"/>
      <c r="P76" s="2158"/>
      <c r="Q76" s="2142"/>
      <c r="R76" s="2129"/>
      <c r="S76" s="2129"/>
      <c r="T76" s="2129"/>
      <c r="U76" s="2129"/>
      <c r="V76" s="2129"/>
      <c r="W76" s="2129"/>
      <c r="X76" s="2129"/>
      <c r="Y76" s="2129"/>
      <c r="Z76" s="2129"/>
      <c r="AA76" s="2129"/>
      <c r="AB76" s="2129"/>
      <c r="AC76" s="2129"/>
    </row>
    <row r="77" spans="1:29" ht="15.75" thickBot="1">
      <c r="A77" s="668"/>
      <c r="B77" s="677"/>
      <c r="C77" s="678">
        <v>100</v>
      </c>
      <c r="D77" s="678">
        <f>C77-$K15</f>
        <v>98</v>
      </c>
      <c r="E77" s="678">
        <f>D77-$K15</f>
        <v>96</v>
      </c>
      <c r="F77" s="678">
        <f>E77-$K15</f>
        <v>94</v>
      </c>
      <c r="G77" s="678">
        <f>F77-$K15</f>
        <v>92</v>
      </c>
      <c r="H77" s="678"/>
      <c r="I77" s="678"/>
      <c r="J77" s="678"/>
      <c r="K77" s="678"/>
      <c r="L77" s="678"/>
      <c r="M77" s="679"/>
      <c r="N77" s="2150"/>
      <c r="O77" s="2150"/>
      <c r="P77" s="2149"/>
      <c r="Q77" s="2142"/>
      <c r="R77" s="2129"/>
      <c r="S77" s="2129"/>
      <c r="T77" s="2129"/>
      <c r="U77" s="2129"/>
      <c r="V77" s="2129"/>
      <c r="W77" s="2129"/>
      <c r="X77" s="2129"/>
      <c r="Y77" s="2129"/>
      <c r="Z77" s="2129"/>
      <c r="AA77" s="2129"/>
      <c r="AB77" s="2129"/>
      <c r="AC77" s="2129"/>
    </row>
    <row r="78" spans="1:29" ht="15.75" thickTop="1">
      <c r="A78" s="668"/>
      <c r="B78" s="672" t="s">
        <v>586</v>
      </c>
      <c r="C78" s="707" t="s">
        <v>579</v>
      </c>
      <c r="D78" s="707" t="s">
        <v>580</v>
      </c>
      <c r="E78" s="707" t="s">
        <v>581</v>
      </c>
      <c r="F78" s="707" t="s">
        <v>582</v>
      </c>
      <c r="G78" s="707" t="s">
        <v>583</v>
      </c>
      <c r="H78" s="673"/>
      <c r="I78" s="673"/>
      <c r="J78" s="673"/>
      <c r="K78" s="674"/>
      <c r="L78" s="675"/>
      <c r="M78" s="676"/>
      <c r="N78" s="2148"/>
      <c r="O78" s="2148"/>
      <c r="P78" s="2149"/>
      <c r="Q78" s="2142"/>
      <c r="R78" s="2129"/>
      <c r="S78" s="2129"/>
      <c r="T78" s="2129"/>
      <c r="U78" s="2129"/>
      <c r="V78" s="2129"/>
      <c r="W78" s="2129"/>
      <c r="X78" s="2129"/>
      <c r="Y78" s="2129"/>
      <c r="Z78" s="2129"/>
      <c r="AA78" s="2129"/>
      <c r="AB78" s="2129"/>
      <c r="AC78" s="2129"/>
    </row>
    <row r="79" spans="1:29" ht="15.75" thickBot="1">
      <c r="A79" s="668"/>
      <c r="B79" s="677"/>
      <c r="C79" s="678">
        <v>100</v>
      </c>
      <c r="D79" s="678">
        <f>C79-$K17</f>
        <v>98</v>
      </c>
      <c r="E79" s="678">
        <f>D79-$K17</f>
        <v>96</v>
      </c>
      <c r="F79" s="678">
        <f>E79-$K17</f>
        <v>94</v>
      </c>
      <c r="G79" s="678">
        <f>F79-$K17</f>
        <v>92</v>
      </c>
      <c r="H79" s="678"/>
      <c r="I79" s="678"/>
      <c r="J79" s="678"/>
      <c r="K79" s="678"/>
      <c r="L79" s="678"/>
      <c r="M79" s="679"/>
      <c r="N79" s="2150"/>
      <c r="O79" s="2150"/>
      <c r="P79" s="2149"/>
      <c r="Q79" s="2142"/>
      <c r="R79" s="2129"/>
      <c r="S79" s="2129"/>
      <c r="T79" s="2129"/>
      <c r="U79" s="2129"/>
      <c r="V79" s="2129"/>
      <c r="W79" s="2129"/>
      <c r="X79" s="2129"/>
      <c r="Y79" s="2129"/>
      <c r="Z79" s="2129"/>
      <c r="AA79" s="2129"/>
      <c r="AB79" s="2129"/>
      <c r="AC79" s="2129"/>
    </row>
    <row r="80" spans="1:29" ht="15.75" thickTop="1">
      <c r="A80" s="668"/>
      <c r="B80" s="1880" t="s">
        <v>2556</v>
      </c>
      <c r="C80" s="707" t="s">
        <v>579</v>
      </c>
      <c r="D80" s="707" t="s">
        <v>580</v>
      </c>
      <c r="E80" s="707" t="s">
        <v>581</v>
      </c>
      <c r="F80" s="707" t="s">
        <v>582</v>
      </c>
      <c r="G80" s="707" t="s">
        <v>583</v>
      </c>
      <c r="H80" s="673"/>
      <c r="I80" s="673"/>
      <c r="J80" s="673"/>
      <c r="K80" s="674"/>
      <c r="L80" s="675"/>
      <c r="M80" s="676"/>
      <c r="N80" s="2148"/>
      <c r="O80" s="2148"/>
      <c r="P80" s="2149"/>
      <c r="Q80" s="2142"/>
      <c r="R80" s="2129"/>
      <c r="S80" s="2129"/>
      <c r="T80" s="2129"/>
      <c r="U80" s="2129"/>
      <c r="V80" s="2129"/>
      <c r="W80" s="2129"/>
      <c r="X80" s="2129"/>
      <c r="Y80" s="2129"/>
      <c r="Z80" s="2129"/>
      <c r="AA80" s="2129"/>
      <c r="AB80" s="2129"/>
      <c r="AC80" s="2129"/>
    </row>
    <row r="81" spans="1:29" ht="15.75" thickBot="1">
      <c r="A81" s="668"/>
      <c r="B81" s="677"/>
      <c r="C81" s="678">
        <v>100</v>
      </c>
      <c r="D81" s="678">
        <f>C81-$K19</f>
        <v>98</v>
      </c>
      <c r="E81" s="678">
        <f>D81-$K19</f>
        <v>96</v>
      </c>
      <c r="F81" s="678">
        <f>E81-$K19</f>
        <v>94</v>
      </c>
      <c r="G81" s="678">
        <f>F81-$K19</f>
        <v>92</v>
      </c>
      <c r="H81" s="678"/>
      <c r="I81" s="678"/>
      <c r="J81" s="678"/>
      <c r="K81" s="678"/>
      <c r="L81" s="678"/>
      <c r="M81" s="679"/>
      <c r="N81" s="2150"/>
      <c r="O81" s="2150"/>
      <c r="P81" s="2149"/>
      <c r="Q81" s="2142"/>
      <c r="R81" s="2129"/>
      <c r="S81" s="2129"/>
      <c r="T81" s="2129"/>
      <c r="U81" s="2129"/>
      <c r="V81" s="2129"/>
      <c r="W81" s="2129"/>
      <c r="X81" s="2129"/>
      <c r="Y81" s="2129"/>
      <c r="Z81" s="2129"/>
      <c r="AA81" s="2129"/>
      <c r="AB81" s="2129"/>
      <c r="AC81" s="2129"/>
    </row>
    <row r="82" spans="1:29" ht="15.75" thickTop="1">
      <c r="A82" s="668"/>
      <c r="B82" s="2560" t="s">
        <v>2557</v>
      </c>
      <c r="C82" s="2561" t="s">
        <v>2558</v>
      </c>
      <c r="D82" s="2561" t="s">
        <v>2559</v>
      </c>
      <c r="E82" s="2561" t="s">
        <v>2560</v>
      </c>
      <c r="F82" s="2561" t="s">
        <v>2561</v>
      </c>
      <c r="G82" s="2561" t="s">
        <v>2562</v>
      </c>
      <c r="H82" s="673"/>
      <c r="I82" s="673"/>
      <c r="J82" s="673"/>
      <c r="K82" s="673"/>
      <c r="L82" s="673"/>
      <c r="M82" s="2564"/>
      <c r="N82" s="2150"/>
      <c r="O82" s="2150"/>
      <c r="P82" s="2149"/>
      <c r="Q82" s="2142"/>
      <c r="R82" s="2129"/>
      <c r="S82" s="2129"/>
      <c r="T82" s="2129"/>
      <c r="U82" s="2129"/>
      <c r="V82" s="2129"/>
      <c r="W82" s="2129"/>
      <c r="X82" s="2129"/>
      <c r="Y82" s="2129"/>
      <c r="Z82" s="2129"/>
      <c r="AA82" s="2129"/>
      <c r="AB82" s="2129"/>
      <c r="AC82" s="2129"/>
    </row>
    <row r="83" spans="1:29" ht="15.75" thickBot="1">
      <c r="A83" s="668"/>
      <c r="B83" s="680"/>
      <c r="C83" s="678">
        <v>100</v>
      </c>
      <c r="D83" s="678">
        <f>C83-$K21</f>
        <v>99</v>
      </c>
      <c r="E83" s="678">
        <f>D83-$K21</f>
        <v>98</v>
      </c>
      <c r="F83" s="678">
        <f>E83-$K21</f>
        <v>97</v>
      </c>
      <c r="G83" s="678">
        <f>F83-$K21</f>
        <v>96</v>
      </c>
      <c r="H83" s="934"/>
      <c r="I83" s="934"/>
      <c r="J83" s="934"/>
      <c r="K83" s="934"/>
      <c r="L83" s="934"/>
      <c r="M83" s="558"/>
      <c r="N83" s="2150"/>
      <c r="O83" s="2150"/>
      <c r="P83" s="2149"/>
      <c r="Q83" s="2142"/>
      <c r="R83" s="2129"/>
      <c r="S83" s="2129"/>
      <c r="T83" s="2129"/>
      <c r="U83" s="2129"/>
      <c r="V83" s="2129"/>
      <c r="W83" s="2129"/>
      <c r="X83" s="2129"/>
      <c r="Y83" s="2129"/>
      <c r="Z83" s="2129"/>
      <c r="AA83" s="2129"/>
      <c r="AB83" s="2129"/>
      <c r="AC83" s="2129"/>
    </row>
    <row r="84" spans="1:29" ht="15.75" thickTop="1">
      <c r="A84" s="668"/>
      <c r="B84" s="672" t="s">
        <v>744</v>
      </c>
      <c r="C84" s="707" t="s">
        <v>579</v>
      </c>
      <c r="D84" s="707" t="s">
        <v>580</v>
      </c>
      <c r="E84" s="707" t="s">
        <v>581</v>
      </c>
      <c r="F84" s="707" t="s">
        <v>582</v>
      </c>
      <c r="G84" s="707" t="s">
        <v>583</v>
      </c>
      <c r="H84" s="673"/>
      <c r="I84" s="673"/>
      <c r="J84" s="673"/>
      <c r="K84" s="674"/>
      <c r="L84" s="675"/>
      <c r="M84" s="676"/>
      <c r="N84" s="2148"/>
      <c r="O84" s="2148"/>
      <c r="P84" s="2149"/>
      <c r="Q84" s="2142"/>
      <c r="R84" s="2129"/>
      <c r="S84" s="2129"/>
      <c r="T84" s="2129"/>
      <c r="U84" s="2129"/>
      <c r="V84" s="2129"/>
      <c r="W84" s="2129"/>
      <c r="X84" s="2129"/>
      <c r="Y84" s="2129"/>
      <c r="Z84" s="2129"/>
      <c r="AA84" s="2129"/>
      <c r="AB84" s="2129"/>
      <c r="AC84" s="2129"/>
    </row>
    <row r="85" spans="1:29" ht="15.75" thickBot="1">
      <c r="A85" s="668"/>
      <c r="B85" s="677"/>
      <c r="C85" s="678">
        <v>100</v>
      </c>
      <c r="D85" s="678">
        <f>C85-$K23</f>
        <v>98</v>
      </c>
      <c r="E85" s="678">
        <f>D85-$K23</f>
        <v>96</v>
      </c>
      <c r="F85" s="678">
        <f>E85-$K23</f>
        <v>94</v>
      </c>
      <c r="G85" s="678">
        <f>F85-$K23</f>
        <v>92</v>
      </c>
      <c r="H85" s="678"/>
      <c r="I85" s="678"/>
      <c r="J85" s="678"/>
      <c r="K85" s="678"/>
      <c r="L85" s="678"/>
      <c r="M85" s="679"/>
      <c r="N85" s="2150"/>
      <c r="O85" s="2150"/>
      <c r="P85" s="2149"/>
      <c r="Q85" s="2142"/>
      <c r="R85" s="2129"/>
      <c r="S85" s="2129"/>
      <c r="T85" s="2129"/>
      <c r="U85" s="2129"/>
      <c r="V85" s="2129"/>
      <c r="W85" s="2129"/>
      <c r="X85" s="2129"/>
      <c r="Y85" s="2129"/>
      <c r="Z85" s="2129"/>
      <c r="AA85" s="2129"/>
      <c r="AB85" s="2129"/>
      <c r="AC85" s="2129"/>
    </row>
    <row r="86" spans="1:29" s="1215" customFormat="1" ht="15.75" thickTop="1">
      <c r="A86" s="708"/>
      <c r="B86" s="1880" t="s">
        <v>2257</v>
      </c>
      <c r="C86" s="687"/>
      <c r="D86" s="687"/>
      <c r="E86" s="687"/>
      <c r="F86" s="687"/>
      <c r="G86" s="687"/>
      <c r="H86" s="687"/>
      <c r="I86" s="687"/>
      <c r="J86" s="687"/>
      <c r="K86" s="687"/>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50"/>
      <c r="O87" s="2150"/>
      <c r="P87" s="2149"/>
      <c r="Q87" s="2142"/>
      <c r="R87" s="1977"/>
      <c r="S87" s="1977"/>
      <c r="T87" s="1977"/>
      <c r="U87" s="1977"/>
      <c r="V87" s="1977"/>
      <c r="W87" s="1977"/>
      <c r="X87" s="1977"/>
      <c r="Y87" s="1977"/>
      <c r="Z87" s="1977"/>
      <c r="AA87" s="1977"/>
      <c r="AB87" s="1977"/>
      <c r="AC87" s="1977"/>
    </row>
    <row r="88" spans="1:29" s="1215" customFormat="1" ht="15.75" thickTop="1">
      <c r="A88" s="708"/>
      <c r="B88" s="672" t="s">
        <v>746</v>
      </c>
      <c r="C88" s="687"/>
      <c r="D88" s="687"/>
      <c r="E88" s="687"/>
      <c r="F88" s="891"/>
      <c r="G88" s="687"/>
      <c r="H88" s="687"/>
      <c r="I88" s="687"/>
      <c r="J88" s="687"/>
      <c r="K88" s="687"/>
      <c r="L88" s="687"/>
      <c r="M88" s="890"/>
      <c r="N88" s="2146"/>
      <c r="O88" s="2146"/>
      <c r="P88" s="2149"/>
      <c r="Q88" s="2142"/>
      <c r="R88" s="1977"/>
      <c r="S88" s="1977"/>
      <c r="T88" s="1977"/>
      <c r="U88" s="1977"/>
      <c r="V88" s="1977"/>
      <c r="W88" s="1977"/>
      <c r="X88" s="1977"/>
      <c r="Y88" s="1977"/>
      <c r="Z88" s="1977"/>
      <c r="AA88" s="1977"/>
      <c r="AB88" s="1977"/>
      <c r="AC88" s="1977"/>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50"/>
      <c r="O89" s="2150"/>
      <c r="P89" s="2149"/>
      <c r="Q89" s="2142"/>
      <c r="R89" s="1977"/>
      <c r="S89" s="1977"/>
      <c r="T89" s="1977"/>
      <c r="U89" s="1977"/>
      <c r="V89" s="1977"/>
      <c r="W89" s="1977"/>
      <c r="X89" s="1977"/>
      <c r="Y89" s="1977"/>
      <c r="Z89" s="1977"/>
      <c r="AA89" s="1977"/>
      <c r="AB89" s="1977"/>
      <c r="AC89" s="1977"/>
    </row>
    <row r="90" spans="1:29" s="1334" customFormat="1" ht="15.75" thickTop="1">
      <c r="A90" s="686"/>
      <c r="B90" s="672" t="str">
        <f>B27</f>
        <v>道路级别</v>
      </c>
      <c r="C90" s="3185" t="s">
        <v>3022</v>
      </c>
      <c r="D90" s="3185" t="s">
        <v>3023</v>
      </c>
      <c r="E90" s="3185" t="s">
        <v>3024</v>
      </c>
      <c r="F90" s="3185" t="s">
        <v>3025</v>
      </c>
      <c r="G90" s="3185" t="s">
        <v>3026</v>
      </c>
      <c r="H90" s="688"/>
      <c r="I90" s="688"/>
      <c r="J90" s="688"/>
      <c r="K90" s="688"/>
      <c r="L90" s="689"/>
      <c r="M90" s="690"/>
      <c r="N90" s="2151"/>
      <c r="O90" s="2151"/>
      <c r="P90" s="2152"/>
      <c r="Q90" s="2153"/>
      <c r="R90" s="2154"/>
      <c r="S90" s="2154"/>
      <c r="T90" s="2154"/>
      <c r="U90" s="2154"/>
      <c r="V90" s="2154"/>
      <c r="W90" s="2154"/>
      <c r="X90" s="2154"/>
      <c r="Y90" s="2154"/>
      <c r="Z90" s="2154"/>
      <c r="AA90" s="2154"/>
      <c r="AB90" s="2154"/>
      <c r="AC90" s="2154"/>
    </row>
    <row r="91" spans="1:29" s="1334" customFormat="1" ht="15.75" thickBot="1">
      <c r="A91" s="686"/>
      <c r="B91" s="677"/>
      <c r="C91" s="691">
        <v>100</v>
      </c>
      <c r="D91" s="691">
        <v>99</v>
      </c>
      <c r="E91" s="691">
        <v>98</v>
      </c>
      <c r="F91" s="691">
        <v>97</v>
      </c>
      <c r="G91" s="691">
        <v>96</v>
      </c>
      <c r="H91" s="692"/>
      <c r="I91" s="692"/>
      <c r="J91" s="692"/>
      <c r="K91" s="692"/>
      <c r="L91" s="692"/>
      <c r="M91" s="693"/>
      <c r="N91" s="2151"/>
      <c r="O91" s="2151"/>
      <c r="P91" s="2152"/>
      <c r="Q91" s="2153"/>
      <c r="R91" s="2154"/>
      <c r="S91" s="2154"/>
      <c r="T91" s="2154"/>
      <c r="U91" s="2154"/>
      <c r="V91" s="2154"/>
      <c r="W91" s="2154"/>
      <c r="X91" s="2154"/>
      <c r="Y91" s="2154"/>
      <c r="Z91" s="2154"/>
      <c r="AA91" s="2154"/>
      <c r="AB91" s="2154"/>
      <c r="AC91" s="2154"/>
    </row>
    <row r="92" spans="1:29" ht="15.75" thickTop="1">
      <c r="A92" s="668"/>
      <c r="B92" s="672">
        <f>B28</f>
        <v>111</v>
      </c>
      <c r="C92" s="687"/>
      <c r="D92" s="687"/>
      <c r="E92" s="687"/>
      <c r="F92" s="687"/>
      <c r="G92" s="717"/>
      <c r="H92" s="717"/>
      <c r="I92" s="717"/>
      <c r="J92" s="717"/>
      <c r="K92" s="718"/>
      <c r="L92" s="719"/>
      <c r="M92" s="720"/>
      <c r="N92" s="2148"/>
      <c r="O92" s="2148"/>
      <c r="P92" s="2149"/>
      <c r="Q92" s="2142"/>
      <c r="R92" s="2129"/>
      <c r="S92" s="2129"/>
      <c r="T92" s="2129"/>
      <c r="U92" s="2129"/>
      <c r="V92" s="2129"/>
      <c r="W92" s="2129"/>
      <c r="X92" s="2129"/>
      <c r="Y92" s="2129"/>
      <c r="Z92" s="2129"/>
      <c r="AA92" s="2129"/>
      <c r="AB92" s="2129"/>
      <c r="AC92" s="2129"/>
    </row>
    <row r="93" spans="1:29" ht="15.75" thickBot="1">
      <c r="A93" s="668"/>
      <c r="B93" s="677"/>
      <c r="C93" s="691"/>
      <c r="D93" s="670"/>
      <c r="E93" s="670"/>
      <c r="F93" s="670"/>
      <c r="G93" s="670"/>
      <c r="H93" s="670"/>
      <c r="I93" s="670"/>
      <c r="J93" s="670"/>
      <c r="K93" s="670"/>
      <c r="L93" s="670"/>
      <c r="M93" s="671"/>
      <c r="N93" s="2150"/>
      <c r="O93" s="2150"/>
      <c r="P93" s="2149"/>
      <c r="Q93" s="2142"/>
      <c r="R93" s="2129"/>
      <c r="S93" s="2129"/>
      <c r="T93" s="2129"/>
      <c r="U93" s="2129"/>
      <c r="V93" s="2129"/>
      <c r="W93" s="2129"/>
      <c r="X93" s="2129"/>
      <c r="Y93" s="2129"/>
      <c r="Z93" s="2129"/>
      <c r="AA93" s="2129"/>
      <c r="AB93" s="2129"/>
      <c r="AC93" s="2129"/>
    </row>
    <row r="94" spans="1:29" ht="15.75" thickTop="1">
      <c r="A94" s="668"/>
      <c r="B94" s="672">
        <f>B29</f>
        <v>111</v>
      </c>
      <c r="C94" s="687"/>
      <c r="D94" s="687"/>
      <c r="E94" s="687"/>
      <c r="F94" s="687"/>
      <c r="G94" s="717"/>
      <c r="H94" s="717"/>
      <c r="I94" s="717"/>
      <c r="J94" s="717"/>
      <c r="K94" s="718"/>
      <c r="L94" s="719"/>
      <c r="M94" s="720"/>
      <c r="N94" s="2148"/>
      <c r="O94" s="2148"/>
      <c r="P94" s="2149"/>
      <c r="Q94" s="2142"/>
      <c r="R94" s="2129"/>
      <c r="S94" s="2129"/>
      <c r="T94" s="2129"/>
      <c r="U94" s="2129"/>
      <c r="V94" s="2129"/>
      <c r="W94" s="2129"/>
      <c r="X94" s="2129"/>
      <c r="Y94" s="2129"/>
      <c r="Z94" s="2129"/>
      <c r="AA94" s="2129"/>
      <c r="AB94" s="2129"/>
      <c r="AC94" s="2129"/>
    </row>
    <row r="95" spans="1:29" ht="15.75" thickBot="1">
      <c r="A95" s="668"/>
      <c r="B95" s="677"/>
      <c r="C95" s="691"/>
      <c r="D95" s="691"/>
      <c r="E95" s="691"/>
      <c r="F95" s="691"/>
      <c r="G95" s="670"/>
      <c r="H95" s="670"/>
      <c r="I95" s="670"/>
      <c r="J95" s="670"/>
      <c r="K95" s="670"/>
      <c r="L95" s="670"/>
      <c r="M95" s="671"/>
      <c r="N95" s="2150"/>
      <c r="O95" s="2150"/>
      <c r="P95" s="2149"/>
      <c r="Q95" s="2142"/>
      <c r="R95" s="2129"/>
      <c r="S95" s="2129"/>
      <c r="T95" s="2129"/>
      <c r="U95" s="2129"/>
      <c r="V95" s="2129"/>
      <c r="W95" s="2129"/>
      <c r="X95" s="2129"/>
      <c r="Y95" s="2129"/>
      <c r="Z95" s="2129"/>
      <c r="AA95" s="2129"/>
      <c r="AB95" s="2129"/>
      <c r="AC95" s="2129"/>
    </row>
    <row r="96" spans="1:29" ht="15.75" thickTop="1">
      <c r="A96" s="668"/>
      <c r="B96" s="672">
        <f>B30</f>
        <v>111</v>
      </c>
      <c r="C96" s="687"/>
      <c r="D96" s="687"/>
      <c r="E96" s="687"/>
      <c r="F96" s="687"/>
      <c r="G96" s="717"/>
      <c r="H96" s="717"/>
      <c r="I96" s="717"/>
      <c r="J96" s="717"/>
      <c r="K96" s="718"/>
      <c r="L96" s="719"/>
      <c r="M96" s="720"/>
      <c r="N96" s="2148"/>
      <c r="O96" s="2148"/>
      <c r="P96" s="2149"/>
      <c r="Q96" s="2142"/>
      <c r="R96" s="2129"/>
      <c r="S96" s="2129"/>
      <c r="T96" s="2129"/>
      <c r="U96" s="2129"/>
      <c r="V96" s="2129"/>
      <c r="W96" s="2129"/>
      <c r="X96" s="2129"/>
      <c r="Y96" s="2129"/>
      <c r="Z96" s="2129"/>
      <c r="AA96" s="2129"/>
      <c r="AB96" s="2129"/>
      <c r="AC96" s="2129"/>
    </row>
    <row r="97" spans="1:29" ht="15.75" thickBot="1">
      <c r="A97" s="668"/>
      <c r="B97" s="677"/>
      <c r="C97" s="699"/>
      <c r="D97" s="699"/>
      <c r="E97" s="699"/>
      <c r="F97" s="699"/>
      <c r="G97" s="670"/>
      <c r="H97" s="670"/>
      <c r="I97" s="670"/>
      <c r="J97" s="670"/>
      <c r="K97" s="670"/>
      <c r="L97" s="670"/>
      <c r="M97" s="671"/>
      <c r="N97" s="2150"/>
      <c r="O97" s="2150"/>
      <c r="P97" s="2149"/>
      <c r="Q97" s="2142"/>
      <c r="R97" s="2129"/>
      <c r="S97" s="2129"/>
      <c r="T97" s="2129"/>
      <c r="U97" s="2129"/>
      <c r="V97" s="2129"/>
      <c r="W97" s="2129"/>
      <c r="X97" s="2129"/>
      <c r="Y97" s="2129"/>
      <c r="Z97" s="2129"/>
      <c r="AA97" s="2129"/>
      <c r="AB97" s="2129"/>
      <c r="AC97" s="2129"/>
    </row>
    <row r="98" spans="1:29" ht="15.75" thickTop="1">
      <c r="A98" s="668"/>
      <c r="B98" s="680">
        <f>B31</f>
        <v>111</v>
      </c>
      <c r="C98" s="721"/>
      <c r="D98" s="721"/>
      <c r="E98" s="721"/>
      <c r="F98" s="721"/>
      <c r="G98" s="721"/>
      <c r="H98" s="721"/>
      <c r="I98" s="721"/>
      <c r="J98" s="721"/>
      <c r="K98" s="722"/>
      <c r="L98" s="723"/>
      <c r="M98" s="724"/>
      <c r="N98" s="2148"/>
      <c r="O98" s="2148"/>
      <c r="P98" s="2149"/>
      <c r="Q98" s="2142"/>
      <c r="R98" s="2129"/>
      <c r="S98" s="2129"/>
      <c r="T98" s="2129"/>
      <c r="U98" s="2129"/>
      <c r="V98" s="2129"/>
      <c r="W98" s="2129"/>
      <c r="X98" s="2129"/>
      <c r="Y98" s="2129"/>
      <c r="Z98" s="2129"/>
      <c r="AA98" s="2129"/>
      <c r="AB98" s="2129"/>
      <c r="AC98" s="2129"/>
    </row>
    <row r="99" spans="1:29" ht="15.75" thickBot="1">
      <c r="A99" s="892"/>
      <c r="B99" s="698"/>
      <c r="C99" s="725"/>
      <c r="D99" s="725"/>
      <c r="E99" s="725"/>
      <c r="F99" s="725"/>
      <c r="G99" s="725"/>
      <c r="H99" s="725"/>
      <c r="I99" s="725"/>
      <c r="J99" s="725"/>
      <c r="K99" s="725"/>
      <c r="L99" s="725"/>
      <c r="M99" s="726"/>
      <c r="N99" s="2150"/>
      <c r="O99" s="2150"/>
      <c r="P99" s="2149"/>
      <c r="Q99" s="2142"/>
      <c r="R99" s="2129"/>
      <c r="S99" s="2129"/>
      <c r="T99" s="2129"/>
      <c r="U99" s="2129"/>
      <c r="V99" s="2129"/>
      <c r="W99" s="2129"/>
      <c r="X99" s="2129"/>
      <c r="Y99" s="2129"/>
      <c r="Z99" s="2129"/>
      <c r="AA99" s="2129"/>
      <c r="AB99" s="2129"/>
      <c r="AC99" s="2129"/>
    </row>
    <row r="100" spans="1:29">
      <c r="A100" s="663" t="s">
        <v>551</v>
      </c>
      <c r="B100" s="664" t="s">
        <v>747</v>
      </c>
      <c r="C100" s="3186" t="s">
        <v>3027</v>
      </c>
      <c r="D100" s="3186" t="s">
        <v>3028</v>
      </c>
      <c r="E100" s="3186" t="s">
        <v>3030</v>
      </c>
      <c r="F100" s="3186"/>
      <c r="G100" s="597"/>
      <c r="H100" s="597"/>
      <c r="I100" s="597"/>
      <c r="J100" s="597"/>
      <c r="K100" s="665"/>
      <c r="L100" s="666"/>
      <c r="M100" s="667"/>
      <c r="N100" s="2148"/>
      <c r="O100" s="2148"/>
      <c r="P100" s="2149"/>
      <c r="Q100" s="2142"/>
      <c r="R100" s="2129"/>
      <c r="S100" s="2129"/>
      <c r="T100" s="2129"/>
      <c r="U100" s="2129"/>
      <c r="V100" s="2129"/>
      <c r="W100" s="2129"/>
      <c r="X100" s="2129"/>
      <c r="Y100" s="2129"/>
      <c r="Z100" s="2129"/>
      <c r="AA100" s="2129"/>
      <c r="AB100" s="2129"/>
      <c r="AC100" s="2129"/>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8"/>
      <c r="B102" s="672" t="s">
        <v>748</v>
      </c>
      <c r="C102" s="707" t="str">
        <f>C103&amp;"(含)"&amp;"-"&amp;D103</f>
        <v>1(含)-1</v>
      </c>
      <c r="D102" s="707" t="str">
        <f t="shared" ref="D102:L102" si="23">D103&amp;"(含)"&amp;"-"&amp;E103</f>
        <v>1(含)-1</v>
      </c>
      <c r="E102" s="707" t="str">
        <f t="shared" si="23"/>
        <v>1(含)-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7"/>
      <c r="B103" s="728"/>
      <c r="C103" s="3188">
        <v>1</v>
      </c>
      <c r="D103" s="3188">
        <v>1</v>
      </c>
      <c r="E103" s="3188">
        <v>1</v>
      </c>
      <c r="F103" s="729"/>
      <c r="G103" s="729"/>
      <c r="H103" s="729"/>
      <c r="I103" s="729"/>
      <c r="J103" s="730"/>
      <c r="K103" s="730"/>
      <c r="L103" s="731"/>
      <c r="M103" s="732"/>
      <c r="N103" s="2151"/>
      <c r="O103" s="2151"/>
      <c r="P103" s="2152"/>
      <c r="Q103" s="2153"/>
      <c r="R103" s="2154"/>
      <c r="S103" s="2154"/>
      <c r="T103" s="2154"/>
      <c r="U103" s="2154"/>
      <c r="V103" s="2154"/>
      <c r="W103" s="2154"/>
      <c r="X103" s="2154"/>
      <c r="Y103" s="2154"/>
      <c r="Z103" s="2154"/>
      <c r="AA103" s="2154"/>
      <c r="AB103" s="2154"/>
      <c r="AC103" s="2154"/>
    </row>
    <row r="104" spans="1:29" s="1334" customFormat="1" ht="15.75" thickBot="1">
      <c r="A104" s="686"/>
      <c r="B104" s="677"/>
      <c r="C104" s="691">
        <v>100</v>
      </c>
      <c r="D104" s="670">
        <v>97</v>
      </c>
      <c r="E104" s="670">
        <v>94</v>
      </c>
      <c r="F104" s="670"/>
      <c r="G104" s="670"/>
      <c r="H104" s="670"/>
      <c r="I104" s="670"/>
      <c r="J104" s="670"/>
      <c r="K104" s="670"/>
      <c r="L104" s="670"/>
      <c r="M104" s="670"/>
      <c r="N104" s="2150"/>
      <c r="O104" s="2150"/>
      <c r="P104" s="2152"/>
      <c r="Q104" s="2153"/>
      <c r="R104" s="2154"/>
      <c r="S104" s="2154"/>
      <c r="T104" s="2154"/>
      <c r="U104" s="2154"/>
      <c r="V104" s="2154"/>
      <c r="W104" s="2154"/>
      <c r="X104" s="2154"/>
      <c r="Y104" s="2154"/>
      <c r="Z104" s="2154"/>
      <c r="AA104" s="2154"/>
      <c r="AB104" s="2154"/>
      <c r="AC104" s="2154"/>
    </row>
    <row r="105" spans="1:29" ht="15" thickTop="1">
      <c r="A105" s="734"/>
      <c r="B105" s="672" t="s">
        <v>749</v>
      </c>
      <c r="C105" s="3185" t="s">
        <v>3021</v>
      </c>
      <c r="D105" s="687"/>
      <c r="E105" s="717"/>
      <c r="F105" s="717"/>
      <c r="G105" s="717"/>
      <c r="H105" s="717"/>
      <c r="I105" s="717"/>
      <c r="J105" s="717"/>
      <c r="K105" s="718"/>
      <c r="L105" s="719"/>
      <c r="M105" s="720"/>
      <c r="N105" s="2148"/>
      <c r="O105" s="2148"/>
      <c r="P105" s="2149"/>
      <c r="Q105" s="2142"/>
      <c r="R105" s="2129"/>
      <c r="S105" s="2129"/>
      <c r="T105" s="2129"/>
      <c r="U105" s="2129"/>
      <c r="V105" s="2129"/>
      <c r="W105" s="2129"/>
      <c r="X105" s="2129"/>
      <c r="Y105" s="2129"/>
      <c r="Z105" s="2129"/>
      <c r="AA105" s="2129"/>
      <c r="AB105" s="2129"/>
      <c r="AC105" s="2129"/>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4"/>
      <c r="B107" s="672" t="s">
        <v>750</v>
      </c>
      <c r="C107" s="3187" t="s">
        <v>3038</v>
      </c>
      <c r="D107" s="3187" t="s">
        <v>3039</v>
      </c>
      <c r="E107" s="3187" t="s">
        <v>3040</v>
      </c>
      <c r="F107" s="717"/>
      <c r="G107" s="717"/>
      <c r="H107" s="717"/>
      <c r="I107" s="717"/>
      <c r="J107" s="717"/>
      <c r="K107" s="718"/>
      <c r="L107" s="719"/>
      <c r="M107" s="720"/>
      <c r="N107" s="2148"/>
      <c r="O107" s="2148"/>
      <c r="P107" s="2149"/>
      <c r="Q107" s="2142"/>
      <c r="R107" s="2129"/>
      <c r="S107" s="2129"/>
      <c r="T107" s="2129"/>
      <c r="U107" s="2129"/>
      <c r="V107" s="2129"/>
      <c r="W107" s="2129"/>
      <c r="X107" s="2129"/>
      <c r="Y107" s="2129"/>
      <c r="Z107" s="2129"/>
      <c r="AA107" s="2129"/>
      <c r="AB107" s="2129"/>
      <c r="AC107" s="2129"/>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4"/>
      <c r="B109" s="672" t="s">
        <v>751</v>
      </c>
      <c r="C109" s="3185" t="s">
        <v>3018</v>
      </c>
      <c r="D109" s="687"/>
      <c r="E109" s="687"/>
      <c r="F109" s="717"/>
      <c r="G109" s="717"/>
      <c r="H109" s="717"/>
      <c r="I109" s="717"/>
      <c r="J109" s="717"/>
      <c r="K109" s="718"/>
      <c r="L109" s="719"/>
      <c r="M109" s="720"/>
      <c r="N109" s="2148"/>
      <c r="O109" s="2148"/>
      <c r="P109" s="2149"/>
      <c r="Q109" s="2142"/>
      <c r="R109" s="2129"/>
      <c r="S109" s="2129"/>
      <c r="T109" s="2129"/>
      <c r="U109" s="2129"/>
      <c r="V109" s="2129"/>
      <c r="W109" s="2129"/>
      <c r="X109" s="2129"/>
      <c r="Y109" s="2129"/>
      <c r="Z109" s="2129"/>
      <c r="AA109" s="2129"/>
      <c r="AB109" s="2129"/>
      <c r="AC109" s="2129"/>
    </row>
    <row r="110" spans="1:29" ht="15.75"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50"/>
      <c r="O110" s="2150"/>
      <c r="P110" s="2149"/>
      <c r="Q110" s="2142"/>
      <c r="R110" s="2129"/>
      <c r="S110" s="2129"/>
      <c r="T110" s="2129"/>
      <c r="U110" s="2129"/>
      <c r="V110" s="2129"/>
      <c r="W110" s="2129"/>
      <c r="X110" s="2129"/>
      <c r="Y110" s="2129"/>
      <c r="Z110" s="2129"/>
      <c r="AA110" s="2129"/>
      <c r="AB110" s="2129"/>
      <c r="AC110" s="2129"/>
    </row>
    <row r="111" spans="1:29" s="1334"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1"/>
      <c r="O111" s="2151"/>
      <c r="P111" s="2152"/>
      <c r="Q111" s="2153"/>
      <c r="R111" s="2154"/>
      <c r="S111" s="2154"/>
      <c r="T111" s="2154"/>
      <c r="U111" s="2154"/>
      <c r="V111" s="2154"/>
      <c r="W111" s="2154"/>
      <c r="X111" s="2154"/>
      <c r="Y111" s="2154"/>
      <c r="Z111" s="2154"/>
      <c r="AA111" s="2154"/>
      <c r="AB111" s="2154"/>
      <c r="AC111" s="2154"/>
    </row>
    <row r="112" spans="1:29" s="1334" customFormat="1">
      <c r="A112" s="727"/>
      <c r="B112" s="680"/>
      <c r="C112" s="893">
        <v>0.5</v>
      </c>
      <c r="D112" s="893">
        <v>0.6</v>
      </c>
      <c r="E112" s="893">
        <v>0.7</v>
      </c>
      <c r="F112" s="893">
        <v>0.8</v>
      </c>
      <c r="G112" s="893">
        <v>0.9</v>
      </c>
      <c r="H112" s="893">
        <v>1.0001</v>
      </c>
      <c r="I112" s="893"/>
      <c r="J112" s="894"/>
      <c r="K112" s="894"/>
      <c r="L112" s="895"/>
      <c r="M112" s="896"/>
      <c r="N112" s="2151"/>
      <c r="O112" s="2151"/>
      <c r="P112" s="2152"/>
      <c r="Q112" s="2153"/>
      <c r="R112" s="2154"/>
      <c r="S112" s="2154"/>
      <c r="T112" s="2154"/>
      <c r="U112" s="2154"/>
      <c r="V112" s="2154"/>
      <c r="W112" s="2154"/>
      <c r="X112" s="2154"/>
      <c r="Y112" s="2154"/>
      <c r="Z112" s="2154"/>
      <c r="AA112" s="2154"/>
      <c r="AB112" s="2154"/>
      <c r="AC112" s="2154"/>
    </row>
    <row r="113" spans="1:29" s="1334"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51"/>
      <c r="O113" s="2151"/>
      <c r="P113" s="2152"/>
      <c r="Q113" s="2153"/>
      <c r="R113" s="2154"/>
      <c r="S113" s="2154"/>
      <c r="T113" s="2154"/>
      <c r="U113" s="2154"/>
      <c r="V113" s="2154"/>
      <c r="W113" s="2154"/>
      <c r="X113" s="2154"/>
      <c r="Y113" s="2154"/>
      <c r="Z113" s="2154"/>
      <c r="AA113" s="2154"/>
      <c r="AB113" s="2154"/>
      <c r="AC113" s="2154"/>
    </row>
    <row r="114" spans="1:29" ht="15" thickTop="1">
      <c r="A114" s="734"/>
      <c r="B114" s="672" t="s">
        <v>753</v>
      </c>
      <c r="C114" s="3185" t="s">
        <v>3020</v>
      </c>
      <c r="D114" s="687"/>
      <c r="E114" s="717"/>
      <c r="F114" s="717"/>
      <c r="G114" s="717"/>
      <c r="H114" s="717"/>
      <c r="I114" s="717"/>
      <c r="J114" s="717"/>
      <c r="K114" s="718"/>
      <c r="L114" s="719"/>
      <c r="M114" s="720"/>
      <c r="N114" s="2148"/>
      <c r="O114" s="2148"/>
      <c r="P114" s="2149"/>
      <c r="Q114" s="2142"/>
      <c r="R114" s="2129"/>
      <c r="S114" s="2129"/>
      <c r="T114" s="2129"/>
      <c r="U114" s="2129"/>
      <c r="V114" s="2129"/>
      <c r="W114" s="2129"/>
      <c r="X114" s="2129"/>
      <c r="Y114" s="2129"/>
      <c r="Z114" s="2129"/>
      <c r="AA114" s="2129"/>
      <c r="AB114" s="2129"/>
      <c r="AC114" s="2129"/>
    </row>
    <row r="115" spans="1:29" ht="15.75" thickBot="1">
      <c r="A115" s="668"/>
      <c r="B115" s="677"/>
      <c r="C115" s="678">
        <v>100</v>
      </c>
      <c r="D115" s="678">
        <f t="shared" ref="D115:M115" si="27">C115-$K38</f>
        <v>97</v>
      </c>
      <c r="E115" s="678">
        <f t="shared" si="27"/>
        <v>94</v>
      </c>
      <c r="F115" s="678">
        <f t="shared" si="27"/>
        <v>91</v>
      </c>
      <c r="G115" s="678">
        <f t="shared" si="27"/>
        <v>88</v>
      </c>
      <c r="H115" s="678">
        <f t="shared" si="27"/>
        <v>85</v>
      </c>
      <c r="I115" s="678">
        <f t="shared" si="27"/>
        <v>82</v>
      </c>
      <c r="J115" s="678">
        <f t="shared" si="27"/>
        <v>79</v>
      </c>
      <c r="K115" s="678">
        <f t="shared" si="27"/>
        <v>76</v>
      </c>
      <c r="L115" s="678">
        <f t="shared" si="27"/>
        <v>73</v>
      </c>
      <c r="M115" s="678">
        <f t="shared" si="27"/>
        <v>70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4"/>
      <c r="B116" s="1880" t="s">
        <v>2555</v>
      </c>
      <c r="C116" s="3185" t="s">
        <v>3034</v>
      </c>
      <c r="D116" s="3185" t="s">
        <v>3035</v>
      </c>
      <c r="E116" s="3185" t="s">
        <v>3037</v>
      </c>
      <c r="F116" s="687"/>
      <c r="G116" s="687"/>
      <c r="H116" s="717"/>
      <c r="I116" s="717"/>
      <c r="J116" s="717"/>
      <c r="K116" s="718"/>
      <c r="L116" s="719"/>
      <c r="M116" s="720"/>
      <c r="N116" s="2148"/>
      <c r="O116" s="2148"/>
      <c r="P116" s="2149"/>
      <c r="Q116" s="2142"/>
      <c r="R116" s="2129"/>
      <c r="S116" s="2129"/>
      <c r="T116" s="2129"/>
      <c r="U116" s="2129"/>
      <c r="V116" s="2129"/>
      <c r="W116" s="2129"/>
      <c r="X116" s="2129"/>
      <c r="Y116" s="2129"/>
      <c r="Z116" s="2129"/>
      <c r="AA116" s="2129"/>
      <c r="AB116" s="2129"/>
      <c r="AC116" s="2129"/>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50"/>
      <c r="O117" s="2150"/>
      <c r="P117" s="2149"/>
      <c r="Q117" s="2142"/>
      <c r="R117" s="2129"/>
      <c r="S117" s="2129"/>
      <c r="T117" s="2129"/>
      <c r="U117" s="2129"/>
      <c r="V117" s="2129"/>
      <c r="W117" s="2129"/>
      <c r="X117" s="2129"/>
      <c r="Y117" s="2129"/>
      <c r="Z117" s="2129"/>
      <c r="AA117" s="2129"/>
      <c r="AB117" s="2129"/>
      <c r="AC117" s="2129"/>
    </row>
    <row r="118" spans="1:29" ht="15" thickTop="1">
      <c r="A118" s="734"/>
      <c r="B118" s="672" t="s">
        <v>754</v>
      </c>
      <c r="C118" s="717"/>
      <c r="D118" s="717"/>
      <c r="E118" s="717"/>
      <c r="F118" s="717"/>
      <c r="G118" s="717"/>
      <c r="H118" s="717"/>
      <c r="I118" s="717"/>
      <c r="J118" s="717"/>
      <c r="K118" s="718"/>
      <c r="L118" s="719"/>
      <c r="M118" s="720"/>
      <c r="N118" s="2148"/>
      <c r="O118" s="2148"/>
      <c r="P118" s="2149"/>
      <c r="Q118" s="2142"/>
      <c r="R118" s="2129"/>
      <c r="S118" s="2129"/>
      <c r="T118" s="2129"/>
      <c r="U118" s="2129"/>
      <c r="V118" s="2129"/>
      <c r="W118" s="2129"/>
      <c r="X118" s="2129"/>
      <c r="Y118" s="2129"/>
      <c r="Z118" s="2129"/>
      <c r="AA118" s="2129"/>
      <c r="AB118" s="2129"/>
      <c r="AC118" s="2129"/>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50"/>
      <c r="O119" s="2150"/>
      <c r="P119" s="2149"/>
      <c r="Q119" s="2142"/>
      <c r="R119" s="2129"/>
      <c r="S119" s="2129"/>
      <c r="T119" s="2129"/>
      <c r="U119" s="2129"/>
      <c r="V119" s="2129"/>
      <c r="W119" s="2129"/>
      <c r="X119" s="2129"/>
      <c r="Y119" s="2129"/>
      <c r="Z119" s="2129"/>
      <c r="AA119" s="2129"/>
      <c r="AB119" s="2129"/>
      <c r="AC119" s="2129"/>
    </row>
    <row r="120" spans="1:29" s="1334" customFormat="1" ht="28.5" thickTop="1">
      <c r="A120" s="727"/>
      <c r="B120" s="672" t="s">
        <v>733</v>
      </c>
      <c r="C120" s="687" t="s">
        <v>3041</v>
      </c>
      <c r="D120" s="687" t="s">
        <v>3042</v>
      </c>
      <c r="E120" s="687" t="s">
        <v>3044</v>
      </c>
      <c r="F120" s="687"/>
      <c r="G120" s="687"/>
      <c r="H120" s="687"/>
      <c r="I120" s="687"/>
      <c r="J120" s="687"/>
      <c r="K120" s="687"/>
      <c r="L120" s="889"/>
      <c r="M120" s="890"/>
      <c r="N120" s="2151"/>
      <c r="O120" s="2151"/>
      <c r="P120" s="2152"/>
      <c r="Q120" s="2153"/>
      <c r="R120" s="2154"/>
      <c r="S120" s="2154"/>
      <c r="T120" s="2154"/>
      <c r="U120" s="2154"/>
      <c r="V120" s="2154"/>
      <c r="W120" s="2154"/>
      <c r="X120" s="2154"/>
      <c r="Y120" s="2154"/>
      <c r="Z120" s="2154"/>
      <c r="AA120" s="2154"/>
      <c r="AB120" s="2154"/>
      <c r="AC120" s="2154"/>
    </row>
    <row r="121" spans="1:29" s="1334" customFormat="1" ht="15.75" thickBot="1">
      <c r="A121" s="686"/>
      <c r="B121" s="669"/>
      <c r="C121" s="691">
        <v>100</v>
      </c>
      <c r="D121" s="670">
        <v>98</v>
      </c>
      <c r="E121" s="670">
        <v>96</v>
      </c>
      <c r="F121" s="670"/>
      <c r="G121" s="670"/>
      <c r="H121" s="670"/>
      <c r="I121" s="670"/>
      <c r="J121" s="670"/>
      <c r="K121" s="670"/>
      <c r="L121" s="670"/>
      <c r="M121" s="670"/>
      <c r="N121" s="2151"/>
      <c r="O121" s="2151"/>
      <c r="P121" s="2152"/>
      <c r="Q121" s="2153"/>
      <c r="R121" s="2154"/>
      <c r="S121" s="2154"/>
      <c r="T121" s="2154"/>
      <c r="U121" s="2154"/>
      <c r="V121" s="2154"/>
      <c r="W121" s="2154"/>
      <c r="X121" s="2154"/>
      <c r="Y121" s="2154"/>
      <c r="Z121" s="2154"/>
      <c r="AA121" s="2154"/>
      <c r="AB121" s="2154"/>
      <c r="AC121" s="2154"/>
    </row>
    <row r="122" spans="1:29" ht="15" thickTop="1">
      <c r="A122" s="734"/>
      <c r="B122" s="672" t="s">
        <v>755</v>
      </c>
      <c r="C122" s="3185" t="s">
        <v>3033</v>
      </c>
      <c r="D122" s="687"/>
      <c r="E122" s="687"/>
      <c r="F122" s="717"/>
      <c r="G122" s="717"/>
      <c r="H122" s="717"/>
      <c r="I122" s="717"/>
      <c r="J122" s="717"/>
      <c r="K122" s="718"/>
      <c r="L122" s="719"/>
      <c r="M122" s="720"/>
      <c r="N122" s="2148"/>
      <c r="O122" s="2148"/>
      <c r="P122" s="2149"/>
      <c r="Q122" s="2142"/>
      <c r="R122" s="2129"/>
      <c r="S122" s="2129"/>
      <c r="T122" s="2129"/>
      <c r="U122" s="2129"/>
      <c r="V122" s="2129"/>
      <c r="W122" s="2129"/>
      <c r="X122" s="2129"/>
      <c r="Y122" s="2129"/>
      <c r="Z122" s="2129"/>
      <c r="AA122" s="2129"/>
      <c r="AB122" s="2129"/>
      <c r="AC122" s="2129"/>
    </row>
    <row r="123" spans="1:29" ht="15.75" thickBot="1">
      <c r="A123" s="668"/>
      <c r="B123" s="677"/>
      <c r="C123" s="678">
        <v>100</v>
      </c>
      <c r="D123" s="678">
        <f t="shared" ref="D123:M123" si="29">C123-$K42</f>
        <v>99</v>
      </c>
      <c r="E123" s="678">
        <f t="shared" si="29"/>
        <v>98</v>
      </c>
      <c r="F123" s="678">
        <f t="shared" si="29"/>
        <v>97</v>
      </c>
      <c r="G123" s="678">
        <f t="shared" si="29"/>
        <v>96</v>
      </c>
      <c r="H123" s="678">
        <f t="shared" si="29"/>
        <v>95</v>
      </c>
      <c r="I123" s="678">
        <f t="shared" si="29"/>
        <v>94</v>
      </c>
      <c r="J123" s="678">
        <f t="shared" si="29"/>
        <v>93</v>
      </c>
      <c r="K123" s="678">
        <f t="shared" si="29"/>
        <v>92</v>
      </c>
      <c r="L123" s="678">
        <f t="shared" si="29"/>
        <v>91</v>
      </c>
      <c r="M123" s="678">
        <f t="shared" si="29"/>
        <v>90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8"/>
      <c r="O124" s="2148"/>
      <c r="P124" s="2152"/>
      <c r="Q124" s="2142"/>
      <c r="R124" s="2129"/>
      <c r="S124" s="2129"/>
      <c r="T124" s="2129"/>
      <c r="U124" s="2129"/>
      <c r="V124" s="2129"/>
      <c r="W124" s="2129"/>
      <c r="X124" s="2129"/>
      <c r="Y124" s="2129"/>
      <c r="Z124" s="2129"/>
      <c r="AA124" s="2129"/>
      <c r="AB124" s="2129"/>
      <c r="AC124" s="2129"/>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50"/>
      <c r="O125" s="2150"/>
      <c r="P125" s="2149"/>
      <c r="Q125" s="2142"/>
      <c r="R125" s="2129"/>
      <c r="S125" s="2129"/>
      <c r="T125" s="2129"/>
      <c r="U125" s="2129"/>
      <c r="V125" s="2129"/>
      <c r="W125" s="2129"/>
      <c r="X125" s="2129"/>
      <c r="Y125" s="2129"/>
      <c r="Z125" s="2129"/>
      <c r="AA125" s="2129"/>
      <c r="AB125" s="2129"/>
      <c r="AC125" s="2129"/>
    </row>
    <row r="126" spans="1:29" s="1334" customFormat="1" ht="15" thickTop="1">
      <c r="A126" s="727"/>
      <c r="B126" s="672">
        <f>B44</f>
        <v>111</v>
      </c>
      <c r="C126" s="687"/>
      <c r="D126" s="687"/>
      <c r="E126" s="687"/>
      <c r="F126" s="687"/>
      <c r="G126" s="687"/>
      <c r="H126" s="688"/>
      <c r="I126" s="688"/>
      <c r="J126" s="688"/>
      <c r="K126" s="688"/>
      <c r="L126" s="689"/>
      <c r="M126" s="690"/>
      <c r="N126" s="2151"/>
      <c r="O126" s="2151"/>
      <c r="P126" s="2152"/>
      <c r="Q126" s="2153"/>
      <c r="R126" s="2154"/>
      <c r="S126" s="2154"/>
      <c r="T126" s="2154"/>
      <c r="U126" s="2154"/>
      <c r="V126" s="2154"/>
      <c r="W126" s="2154"/>
      <c r="X126" s="2154"/>
      <c r="Y126" s="2154"/>
      <c r="Z126" s="2154"/>
      <c r="AA126" s="2154"/>
      <c r="AB126" s="2154"/>
      <c r="AC126" s="2154"/>
    </row>
    <row r="127" spans="1:29" s="1334" customFormat="1" ht="15.75" thickBot="1">
      <c r="A127" s="686"/>
      <c r="B127" s="677"/>
      <c r="C127" s="691"/>
      <c r="D127" s="670"/>
      <c r="E127" s="670"/>
      <c r="F127" s="670"/>
      <c r="G127" s="691"/>
      <c r="H127" s="692"/>
      <c r="I127" s="692"/>
      <c r="J127" s="692"/>
      <c r="K127" s="692"/>
      <c r="L127" s="692"/>
      <c r="M127" s="693"/>
      <c r="N127" s="2151"/>
      <c r="O127" s="2151"/>
      <c r="P127" s="2152"/>
      <c r="Q127" s="2153"/>
      <c r="R127" s="2154"/>
      <c r="S127" s="2154"/>
      <c r="T127" s="2154"/>
      <c r="U127" s="2154"/>
      <c r="V127" s="2154"/>
      <c r="W127" s="2154"/>
      <c r="X127" s="2154"/>
      <c r="Y127" s="2154"/>
      <c r="Z127" s="2154"/>
      <c r="AA127" s="2154"/>
      <c r="AB127" s="2154"/>
      <c r="AC127" s="2154"/>
    </row>
    <row r="128" spans="1:29" ht="15" thickTop="1">
      <c r="A128" s="734"/>
      <c r="B128" s="672">
        <f>B45</f>
        <v>111</v>
      </c>
      <c r="C128" s="687"/>
      <c r="D128" s="687"/>
      <c r="E128" s="687"/>
      <c r="F128" s="687"/>
      <c r="G128" s="717"/>
      <c r="H128" s="717"/>
      <c r="I128" s="717"/>
      <c r="J128" s="717"/>
      <c r="K128" s="718"/>
      <c r="L128" s="719"/>
      <c r="M128" s="720"/>
      <c r="N128" s="2148"/>
      <c r="O128" s="2148"/>
      <c r="P128" s="2149"/>
      <c r="Q128" s="2142"/>
      <c r="R128" s="2129"/>
      <c r="S128" s="2129"/>
      <c r="T128" s="2129"/>
      <c r="U128" s="2129"/>
      <c r="V128" s="2129"/>
      <c r="W128" s="2129"/>
      <c r="X128" s="2129"/>
      <c r="Y128" s="2129"/>
      <c r="Z128" s="2129"/>
      <c r="AA128" s="2129"/>
      <c r="AB128" s="2129"/>
      <c r="AC128" s="2129"/>
    </row>
    <row r="129" spans="1:29" ht="15.75" thickBot="1">
      <c r="A129" s="668"/>
      <c r="B129" s="677"/>
      <c r="C129" s="691"/>
      <c r="D129" s="691"/>
      <c r="E129" s="691"/>
      <c r="F129" s="691"/>
      <c r="G129" s="670"/>
      <c r="H129" s="670"/>
      <c r="I129" s="670"/>
      <c r="J129" s="670"/>
      <c r="K129" s="670"/>
      <c r="L129" s="670"/>
      <c r="M129" s="671"/>
      <c r="N129" s="2150"/>
      <c r="O129" s="2150"/>
      <c r="P129" s="2149"/>
      <c r="Q129" s="2142"/>
      <c r="R129" s="2129"/>
      <c r="S129" s="2129"/>
      <c r="T129" s="2129"/>
      <c r="U129" s="2129"/>
      <c r="V129" s="2129"/>
      <c r="W129" s="2129"/>
      <c r="X129" s="2129"/>
      <c r="Y129" s="2129"/>
      <c r="Z129" s="2129"/>
      <c r="AA129" s="2129"/>
      <c r="AB129" s="2129"/>
      <c r="AC129" s="2129"/>
    </row>
    <row r="130" spans="1:29" ht="15" thickTop="1">
      <c r="A130" s="734"/>
      <c r="B130" s="680">
        <f>B46</f>
        <v>111</v>
      </c>
      <c r="C130" s="687"/>
      <c r="D130" s="687"/>
      <c r="E130" s="687"/>
      <c r="F130" s="687"/>
      <c r="G130" s="721"/>
      <c r="H130" s="721"/>
      <c r="I130" s="721"/>
      <c r="J130" s="721"/>
      <c r="K130" s="660"/>
      <c r="L130" s="661"/>
      <c r="M130" s="724"/>
      <c r="N130" s="2148"/>
      <c r="O130" s="2148"/>
      <c r="P130" s="2149"/>
      <c r="Q130" s="2142"/>
      <c r="R130" s="2129"/>
      <c r="S130" s="2129"/>
      <c r="T130" s="2129"/>
      <c r="U130" s="2129"/>
      <c r="V130" s="2129"/>
      <c r="W130" s="2129"/>
      <c r="X130" s="2129"/>
      <c r="Y130" s="2129"/>
      <c r="Z130" s="2129"/>
      <c r="AA130" s="2129"/>
      <c r="AB130" s="2129"/>
      <c r="AC130" s="2129"/>
    </row>
    <row r="131" spans="1:29" ht="15.75" thickBot="1">
      <c r="A131" s="892"/>
      <c r="B131" s="698"/>
      <c r="C131" s="699"/>
      <c r="D131" s="699"/>
      <c r="E131" s="699"/>
      <c r="F131" s="699"/>
      <c r="G131" s="725"/>
      <c r="H131" s="725"/>
      <c r="I131" s="725"/>
      <c r="J131" s="725"/>
      <c r="K131" s="725"/>
      <c r="L131" s="725"/>
      <c r="M131" s="726"/>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2258</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2259</v>
      </c>
      <c r="C137" s="1903"/>
      <c r="D137" s="1903"/>
      <c r="E137" s="1903"/>
      <c r="F137" s="1903"/>
      <c r="G137" s="1904"/>
      <c r="H137" s="1905"/>
      <c r="I137" s="1906" t="s">
        <v>2260</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2261</v>
      </c>
      <c r="D138" s="1909" t="s">
        <v>2262</v>
      </c>
      <c r="E138" s="1910" t="s">
        <v>2263</v>
      </c>
      <c r="F138" s="1911" t="s">
        <v>2264</v>
      </c>
      <c r="G138" s="1909" t="s">
        <v>2265</v>
      </c>
      <c r="H138" s="1912" t="s">
        <v>2266</v>
      </c>
      <c r="I138" s="1913"/>
      <c r="J138" s="1909" t="s">
        <v>2267</v>
      </c>
      <c r="K138" s="1912" t="s">
        <v>2268</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2269</v>
      </c>
      <c r="E139" s="1883">
        <v>100</v>
      </c>
      <c r="F139" s="1884">
        <v>102.5</v>
      </c>
      <c r="G139" s="1914" t="s">
        <v>2270</v>
      </c>
      <c r="H139" s="1885">
        <v>105</v>
      </c>
      <c r="I139" s="1915" t="s">
        <v>2271</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2272</v>
      </c>
      <c r="J140" s="845">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2273</v>
      </c>
      <c r="J141" s="845">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2274</v>
      </c>
      <c r="J142" s="845">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2275</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2276</v>
      </c>
      <c r="E144" s="1889">
        <v>102</v>
      </c>
      <c r="F144" s="1895">
        <v>100</v>
      </c>
      <c r="G144" s="1918" t="s">
        <v>2276</v>
      </c>
      <c r="H144" s="1891">
        <v>105</v>
      </c>
      <c r="I144" s="1917" t="s">
        <v>2275</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2277</v>
      </c>
      <c r="C145" s="1896">
        <f>ROUND(MAX(C139:C144)/MIN(C139:C144)-1,3)</f>
        <v>7.2999999999999995E-2</v>
      </c>
      <c r="D145" s="1920"/>
      <c r="E145" s="1920"/>
      <c r="F145" s="1921" t="s">
        <v>2278</v>
      </c>
      <c r="G145" s="1922"/>
      <c r="H145" s="1923"/>
      <c r="I145" s="1924" t="s">
        <v>2275</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2287</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2288</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C9" sqref="C9"/>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1" t="s">
        <v>1725</v>
      </c>
      <c r="B1" s="737"/>
      <c r="C1" s="772" t="s">
        <v>2997</v>
      </c>
      <c r="D1" s="3073" t="s">
        <v>3011</v>
      </c>
      <c r="E1" s="2350" t="s">
        <v>2374</v>
      </c>
      <c r="F1" s="2351">
        <f ca="1">J53</f>
        <v>32.56</v>
      </c>
      <c r="G1" s="773">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2" t="s">
        <v>1726</v>
      </c>
      <c r="B2" s="774">
        <f ca="1">C40+J29+L46</f>
        <v>-630</v>
      </c>
      <c r="C2" s="2041"/>
      <c r="D2" s="2039"/>
      <c r="E2" s="2040"/>
      <c r="F2" s="2040"/>
      <c r="G2" s="1575"/>
      <c r="H2" s="2041"/>
      <c r="I2" s="2041"/>
      <c r="J2" s="2041"/>
      <c r="K2" s="2042"/>
      <c r="L2" s="2041"/>
      <c r="M2" s="2041"/>
    </row>
    <row r="3" spans="1:33" ht="18" customHeight="1" thickBot="1">
      <c r="A3" s="832" t="s">
        <v>1727</v>
      </c>
      <c r="B3" s="833">
        <f ca="1">IF(ISERROR(B2*10000/F43),0,ROUND(B2*10000/F43,0))</f>
        <v>-694</v>
      </c>
      <c r="C3" s="2041"/>
      <c r="D3" s="2039"/>
      <c r="E3" s="2040"/>
      <c r="F3" s="2040"/>
      <c r="G3" s="1575"/>
      <c r="H3" s="775" t="s">
        <v>695</v>
      </c>
      <c r="I3" s="1358"/>
      <c r="J3" s="1358"/>
      <c r="K3" s="1576"/>
      <c r="L3" s="1358"/>
      <c r="M3" s="1358"/>
    </row>
    <row r="4" spans="1:33" ht="18" customHeight="1">
      <c r="A4" s="776" t="s">
        <v>1728</v>
      </c>
      <c r="B4" s="777" t="s">
        <v>1729</v>
      </c>
      <c r="C4" s="777" t="s">
        <v>1730</v>
      </c>
      <c r="D4" s="777" t="s">
        <v>633</v>
      </c>
      <c r="E4" s="778" t="s">
        <v>1731</v>
      </c>
      <c r="F4" s="779"/>
      <c r="G4" s="1577"/>
      <c r="H4" s="776" t="s">
        <v>1732</v>
      </c>
      <c r="I4" s="777" t="s">
        <v>1733</v>
      </c>
      <c r="J4" s="777" t="s">
        <v>1734</v>
      </c>
      <c r="K4" s="777" t="s">
        <v>1735</v>
      </c>
      <c r="L4" s="778" t="s">
        <v>1736</v>
      </c>
      <c r="M4" s="779"/>
    </row>
    <row r="5" spans="1:33" ht="18" customHeight="1">
      <c r="A5" s="780">
        <v>1</v>
      </c>
      <c r="B5" s="781" t="s">
        <v>2457</v>
      </c>
      <c r="C5" s="55">
        <f ca="1">C6+C10+C12</f>
        <v>0</v>
      </c>
      <c r="D5" s="2459" t="s">
        <v>2460</v>
      </c>
      <c r="E5" s="2453"/>
      <c r="F5" s="2454"/>
      <c r="G5" s="1577"/>
      <c r="H5" s="780">
        <v>1</v>
      </c>
      <c r="I5" s="781" t="s">
        <v>2457</v>
      </c>
      <c r="J5" s="55">
        <f ca="1">J6+J10+J12</f>
        <v>0</v>
      </c>
      <c r="K5" s="2459" t="s">
        <v>2460</v>
      </c>
      <c r="L5" s="2453"/>
      <c r="M5" s="2454"/>
    </row>
    <row r="6" spans="1:33" ht="18" customHeight="1">
      <c r="A6" s="1814" t="s">
        <v>1824</v>
      </c>
      <c r="B6" s="4091" t="s">
        <v>2462</v>
      </c>
      <c r="C6" s="782">
        <f ca="1">ROUND(F6*F8*F7*(1-F9)/10000,0)</f>
        <v>0</v>
      </c>
      <c r="D6" s="2460" t="s">
        <v>2461</v>
      </c>
      <c r="E6" s="783" t="s">
        <v>1738</v>
      </c>
      <c r="F6" s="784">
        <f ca="1">INDIRECT("'数据-取费表'!u"&amp;$G$1)</f>
        <v>0</v>
      </c>
      <c r="G6" s="1577"/>
      <c r="H6" s="2467" t="s">
        <v>2467</v>
      </c>
      <c r="I6" s="4091" t="s">
        <v>2462</v>
      </c>
      <c r="J6" s="782">
        <f ca="1">ROUND(M6*M8*M7*(1-M9)/10000,0)</f>
        <v>0</v>
      </c>
      <c r="K6" s="340" t="s">
        <v>1737</v>
      </c>
      <c r="L6" s="783" t="s">
        <v>1738</v>
      </c>
      <c r="M6" s="784">
        <f ca="1">INDIRECT("'数据-取费表'!z"&amp;$G$1)</f>
        <v>0</v>
      </c>
    </row>
    <row r="7" spans="1:33" ht="18" customHeight="1">
      <c r="A7" s="2463"/>
      <c r="B7" s="4092"/>
      <c r="C7" s="787"/>
      <c r="D7" s="788"/>
      <c r="E7" s="783" t="s">
        <v>1739</v>
      </c>
      <c r="F7" s="784">
        <f ca="1">IF(INDIRECT("'数据-取费表'!ah"&amp;$G$1)="",INDIRECT("'数据-取费表'!k"&amp;$G$1),INDIRECT("'数据-取费表'!ah"&amp;$G$1))</f>
        <v>9076.16</v>
      </c>
      <c r="G7" s="1577"/>
      <c r="H7" s="2452"/>
      <c r="I7" s="4092"/>
      <c r="J7" s="787"/>
      <c r="K7" s="788"/>
      <c r="L7" s="783" t="s">
        <v>1739</v>
      </c>
      <c r="M7" s="784">
        <f ca="1">F7</f>
        <v>9076.16</v>
      </c>
    </row>
    <row r="8" spans="1:33" ht="18" customHeight="1">
      <c r="A8" s="2456"/>
      <c r="B8" s="4093"/>
      <c r="C8" s="787"/>
      <c r="D8" s="788"/>
      <c r="E8" s="783" t="s">
        <v>1740</v>
      </c>
      <c r="F8" s="784">
        <f ca="1">INDIRECT("'数据-取费表'!ai"&amp;$G$1)</f>
        <v>365</v>
      </c>
      <c r="G8" s="1577"/>
      <c r="H8" s="2452"/>
      <c r="I8" s="4093"/>
      <c r="J8" s="787"/>
      <c r="K8" s="788"/>
      <c r="L8" s="783" t="s">
        <v>1740</v>
      </c>
      <c r="M8" s="784">
        <f ca="1">INDIRECT("'数据-取费表'!ai"&amp;$G$1)</f>
        <v>365</v>
      </c>
    </row>
    <row r="9" spans="1:33" ht="18" customHeight="1">
      <c r="A9" s="785"/>
      <c r="B9" s="4094"/>
      <c r="C9" s="787"/>
      <c r="D9" s="788"/>
      <c r="E9" s="783" t="s">
        <v>1741</v>
      </c>
      <c r="F9" s="793">
        <f ca="1">INDIRECT("'数据-取费表'!w"&amp;$G$1)</f>
        <v>0</v>
      </c>
      <c r="G9" s="1577"/>
      <c r="H9" s="2468"/>
      <c r="I9" s="4093"/>
      <c r="J9" s="787"/>
      <c r="K9" s="788"/>
      <c r="L9" s="794" t="s">
        <v>1741</v>
      </c>
      <c r="M9" s="795">
        <f ca="1">INDIRECT("'数据-取费表'!ab"&amp;$G$1)</f>
        <v>0</v>
      </c>
    </row>
    <row r="10" spans="1:33" ht="18" customHeight="1">
      <c r="A10" s="1814" t="s">
        <v>2465</v>
      </c>
      <c r="B10" s="2457" t="s">
        <v>2458</v>
      </c>
      <c r="C10" s="798">
        <f ca="1">ROUND(IF(F10="押一",C6/12*F11,IF(F10="押二",C6/12*2*F11,IF(F10="押三",C6/12*3*F11,C11*F11))),0)</f>
        <v>0</v>
      </c>
      <c r="D10" s="2464" t="s">
        <v>2970</v>
      </c>
      <c r="E10" s="2461" t="s">
        <v>2463</v>
      </c>
      <c r="F10" s="2584" t="s">
        <v>3010</v>
      </c>
      <c r="G10" s="1577"/>
      <c r="H10" s="2524" t="s">
        <v>2468</v>
      </c>
      <c r="I10" s="2529" t="s">
        <v>2458</v>
      </c>
      <c r="J10" s="782">
        <f ca="1">ROUND(IF(M10="押一",J6/12*M11,IF(M10="押二",J6/12*2*M11,IF(M10="押三",J6/12*3*M11,J11*M11))),0)</f>
        <v>0</v>
      </c>
      <c r="K10" s="2464" t="s">
        <v>2970</v>
      </c>
      <c r="L10" s="2461" t="s">
        <v>2463</v>
      </c>
      <c r="M10" s="2584"/>
    </row>
    <row r="11" spans="1:33" ht="18" customHeight="1">
      <c r="A11" s="789"/>
      <c r="B11" s="2458" t="s">
        <v>2572</v>
      </c>
      <c r="C11" s="2462"/>
      <c r="D11" s="788"/>
      <c r="E11" s="2461" t="s">
        <v>2464</v>
      </c>
      <c r="F11" s="795">
        <f ca="1">'数据-取费表'!B39</f>
        <v>1.4999999999999999E-2</v>
      </c>
      <c r="G11" s="1577"/>
      <c r="H11" s="2525"/>
      <c r="I11" s="2458" t="s">
        <v>2572</v>
      </c>
      <c r="J11" s="2462"/>
      <c r="K11" s="2526"/>
      <c r="L11" s="2461" t="s">
        <v>2464</v>
      </c>
      <c r="M11" s="2455">
        <f ca="1">'数据-取费表'!B39</f>
        <v>1.4999999999999999E-2</v>
      </c>
    </row>
    <row r="12" spans="1:33" ht="18" customHeight="1" thickBot="1">
      <c r="A12" s="2500" t="s">
        <v>2466</v>
      </c>
      <c r="B12" s="2501" t="s">
        <v>2459</v>
      </c>
      <c r="C12" s="2502"/>
      <c r="D12" s="2503"/>
      <c r="E12" s="2504"/>
      <c r="F12" s="2505"/>
      <c r="G12" s="1577"/>
      <c r="H12" s="2514" t="s">
        <v>2469</v>
      </c>
      <c r="I12" s="2527" t="s">
        <v>2459</v>
      </c>
      <c r="J12" s="2528"/>
      <c r="K12" s="2503"/>
      <c r="L12" s="2504"/>
      <c r="M12" s="2517"/>
    </row>
    <row r="13" spans="1:33" ht="18" customHeight="1" thickTop="1">
      <c r="A13" s="1813">
        <v>2</v>
      </c>
      <c r="B13" s="1811" t="s">
        <v>1742</v>
      </c>
      <c r="C13" s="791">
        <f ca="1">ROUND(C29*F13,0)</f>
        <v>2520</v>
      </c>
      <c r="D13" s="1818" t="s">
        <v>2297</v>
      </c>
      <c r="E13" s="1818" t="s">
        <v>1744</v>
      </c>
      <c r="F13" s="2499">
        <f ca="1">INDIRECT("'数据-取费表'!y"&amp;$G$1)</f>
        <v>1</v>
      </c>
      <c r="G13" s="1577"/>
      <c r="H13" s="1813">
        <v>2</v>
      </c>
      <c r="I13" s="1811" t="s">
        <v>1742</v>
      </c>
      <c r="J13" s="1803">
        <f ca="1">ROUND(J14*J15,0)</f>
        <v>0</v>
      </c>
      <c r="K13" s="1805" t="s">
        <v>1743</v>
      </c>
      <c r="L13" s="2515"/>
      <c r="M13" s="2516"/>
    </row>
    <row r="14" spans="1:33" ht="18" customHeight="1">
      <c r="A14" s="1632" t="s">
        <v>1884</v>
      </c>
      <c r="B14" s="783" t="s">
        <v>645</v>
      </c>
      <c r="C14" s="803">
        <f ca="1">INDIRECT("'数据-取费表'!m"&amp;$G$1)+INDIRECT("'数据-取费表'!t"&amp;$G$1)</f>
        <v>1663</v>
      </c>
      <c r="D14" s="1963" t="s">
        <v>1745</v>
      </c>
      <c r="E14" s="1964"/>
      <c r="F14" s="804"/>
      <c r="G14" s="1577"/>
      <c r="H14" s="1633" t="s">
        <v>1830</v>
      </c>
      <c r="I14" s="2215" t="s">
        <v>2825</v>
      </c>
      <c r="J14" s="53">
        <f ca="1">C29</f>
        <v>2520</v>
      </c>
      <c r="K14" s="26"/>
      <c r="L14" s="800"/>
      <c r="M14" s="801"/>
    </row>
    <row r="15" spans="1:33" s="2048" customFormat="1" ht="18" customHeight="1" thickBot="1">
      <c r="A15" s="1632" t="s">
        <v>1885</v>
      </c>
      <c r="B15" s="783" t="s">
        <v>647</v>
      </c>
      <c r="C15" s="53">
        <f ca="1">ROUND(C14*F15,0)</f>
        <v>50</v>
      </c>
      <c r="D15" s="805" t="s">
        <v>1746</v>
      </c>
      <c r="E15" s="805" t="s">
        <v>1747</v>
      </c>
      <c r="F15" s="806">
        <f>'数据-取费表'!B33</f>
        <v>0.03</v>
      </c>
      <c r="G15" s="1578"/>
      <c r="H15" s="2514" t="s">
        <v>1889</v>
      </c>
      <c r="I15" s="2509" t="s">
        <v>1744</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1886</v>
      </c>
      <c r="B16" s="783" t="s">
        <v>650</v>
      </c>
      <c r="C16" s="53">
        <f ca="1">ROUND(INDIRECT("'数据-取费表'!m"&amp;$G$1)*F16,0)</f>
        <v>0</v>
      </c>
      <c r="D16" s="783" t="s">
        <v>1746</v>
      </c>
      <c r="E16" s="783" t="s">
        <v>1747</v>
      </c>
      <c r="F16" s="808">
        <f ca="1">IF(INDIRECT("'数据-取费表'!c"&amp;$G$1)="住宅",'数据-取费表'!B34,0)</f>
        <v>0</v>
      </c>
      <c r="G16" s="1577"/>
      <c r="H16" s="1813" t="s">
        <v>1748</v>
      </c>
      <c r="I16" s="1811" t="s">
        <v>1749</v>
      </c>
      <c r="J16" s="791">
        <f ca="1">ROUND(J17+J22+J23+J24,0)</f>
        <v>250</v>
      </c>
      <c r="K16" s="1805" t="s">
        <v>1750</v>
      </c>
      <c r="L16" s="2449"/>
      <c r="M16" s="2454"/>
    </row>
    <row r="17" spans="1:33" s="2048" customFormat="1" ht="18" customHeight="1">
      <c r="A17" s="1632" t="s">
        <v>1887</v>
      </c>
      <c r="B17" s="783" t="s">
        <v>653</v>
      </c>
      <c r="C17" s="53">
        <f ca="1">ROUND(F17*(F43+INDIRECT("'数据-取费表'!S"&amp;$G$1))/10000,0)</f>
        <v>111</v>
      </c>
      <c r="D17" s="783" t="s">
        <v>1751</v>
      </c>
      <c r="E17" s="783" t="s">
        <v>1752</v>
      </c>
      <c r="F17" s="56">
        <f>'数据-取费表'!B35</f>
        <v>120</v>
      </c>
      <c r="G17" s="1578"/>
      <c r="H17" s="1633" t="s">
        <v>1830</v>
      </c>
      <c r="I17" s="783" t="s">
        <v>656</v>
      </c>
      <c r="J17" s="53">
        <f ca="1">ROUND(IF(项目基本情况!B11="自然人",J5*M17,J18+J19+J20),0)</f>
        <v>212</v>
      </c>
      <c r="K17" s="2448" t="s">
        <v>1753</v>
      </c>
      <c r="L17" s="2447" t="s">
        <v>1754</v>
      </c>
      <c r="M17" s="809"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1888</v>
      </c>
      <c r="B18" s="783" t="s">
        <v>659</v>
      </c>
      <c r="C18" s="53">
        <f ca="1">ROUND(C14*F18,0)</f>
        <v>25</v>
      </c>
      <c r="D18" s="783" t="s">
        <v>1746</v>
      </c>
      <c r="E18" s="783" t="s">
        <v>1747</v>
      </c>
      <c r="F18" s="808">
        <f>'数据-取费表'!B36</f>
        <v>1.4999999999999999E-2</v>
      </c>
      <c r="G18" s="1578"/>
      <c r="H18" s="1632" t="s">
        <v>1884</v>
      </c>
      <c r="I18" s="783" t="s">
        <v>1755</v>
      </c>
      <c r="J18" s="53">
        <f ca="1">ROUND(J5*M18/1.05,1)</f>
        <v>0</v>
      </c>
      <c r="K18" s="2447" t="s">
        <v>1756</v>
      </c>
      <c r="L18" s="783" t="s">
        <v>1747</v>
      </c>
      <c r="M18" s="808">
        <f>'数据-取费表'!B41</f>
        <v>5.5000000000000007E-2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1830</v>
      </c>
      <c r="B19" s="783" t="s">
        <v>662</v>
      </c>
      <c r="C19" s="53">
        <f ca="1">SUM(C14:C18)</f>
        <v>1849</v>
      </c>
      <c r="D19" s="260" t="s">
        <v>1757</v>
      </c>
      <c r="E19" s="1966"/>
      <c r="F19" s="56"/>
      <c r="G19" s="1577"/>
      <c r="H19" s="1632" t="s">
        <v>1885</v>
      </c>
      <c r="I19" s="783" t="s">
        <v>1758</v>
      </c>
      <c r="J19" s="53">
        <f ca="1">IF(K19="按租金收入计税",ROUND(J5*M19,1),ROUND(C29*F33*0.7,1))</f>
        <v>211.7</v>
      </c>
      <c r="K19" s="810" t="s">
        <v>665</v>
      </c>
      <c r="L19" s="783" t="s">
        <v>1747</v>
      </c>
      <c r="M19" s="808">
        <f>IF(K19="按租金收入计税",'数据-取费表'!B51,'数据-取费表'!B50)</f>
        <v>1.2E-2</v>
      </c>
    </row>
    <row r="20" spans="1:33" s="2048" customFormat="1" ht="18" customHeight="1">
      <c r="A20" s="1633" t="s">
        <v>1889</v>
      </c>
      <c r="B20" s="783" t="s">
        <v>666</v>
      </c>
      <c r="C20" s="53">
        <f ca="1">ROUND(C19*F20,0)</f>
        <v>28</v>
      </c>
      <c r="D20" s="811" t="s">
        <v>1759</v>
      </c>
      <c r="E20" s="783" t="s">
        <v>1747</v>
      </c>
      <c r="F20" s="808">
        <f>'数据-取费表'!B37</f>
        <v>1.4999999999999999E-2</v>
      </c>
      <c r="G20" s="1578"/>
      <c r="H20" s="1635" t="s">
        <v>1880</v>
      </c>
      <c r="I20" s="340" t="s">
        <v>1760</v>
      </c>
      <c r="J20" s="54">
        <f ca="1">ROUND(M20*M21/10000,0)</f>
        <v>0</v>
      </c>
      <c r="K20" s="813" t="s">
        <v>1761</v>
      </c>
      <c r="L20" s="783" t="s">
        <v>1762</v>
      </c>
      <c r="M20" s="639">
        <f>'数据-取费表'!B52</f>
        <v>3</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1890</v>
      </c>
      <c r="B21" s="783" t="s">
        <v>1763</v>
      </c>
      <c r="C21" s="53" t="s">
        <v>1764</v>
      </c>
      <c r="D21" s="811" t="s">
        <v>2298</v>
      </c>
      <c r="E21" s="783" t="s">
        <v>1765</v>
      </c>
      <c r="F21" s="808">
        <f>'数据-取费表'!B38</f>
        <v>1.4999999999999999E-2</v>
      </c>
      <c r="G21" s="1578"/>
      <c r="H21" s="2469"/>
      <c r="I21" s="792"/>
      <c r="J21" s="69"/>
      <c r="K21" s="815"/>
      <c r="L21" s="783" t="s">
        <v>1766</v>
      </c>
      <c r="M21" s="784">
        <f ca="1">INDIRECT("'数据-取费表'!r"&amp;$G$1)</f>
        <v>1536.88</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1891</v>
      </c>
      <c r="B22" s="783" t="s">
        <v>1767</v>
      </c>
      <c r="C22" s="53"/>
      <c r="D22" s="2535" t="str">
        <f>IF(F23&lt;=1,"单利计息。","复利计息。")&amp;"建造成本、管理费用、销售费用产生的利息。"</f>
        <v>复利计息。建造成本、管理费用、销售费用产生的利息。</v>
      </c>
      <c r="E22" s="1966"/>
      <c r="F22" s="56"/>
      <c r="G22" s="1577"/>
      <c r="H22" s="1633" t="s">
        <v>1889</v>
      </c>
      <c r="I22" s="783" t="s">
        <v>1768</v>
      </c>
      <c r="J22" s="53">
        <f ca="1">ROUND(J14*M22,0)</f>
        <v>38</v>
      </c>
      <c r="K22" s="2447" t="s">
        <v>1769</v>
      </c>
      <c r="L22" s="783" t="s">
        <v>1747</v>
      </c>
      <c r="M22" s="816">
        <f ca="1">INDIRECT("'数据-取费表'!Ak"&amp;$G$1)</f>
        <v>1.4999999999999999E-2</v>
      </c>
    </row>
    <row r="23" spans="1:33" s="2048" customFormat="1" ht="18" customHeight="1">
      <c r="A23" s="1632" t="s">
        <v>1831</v>
      </c>
      <c r="B23" s="783" t="s">
        <v>2534</v>
      </c>
      <c r="C23" s="53">
        <f ca="1">ROUND(IF('数据-取费表'!B22&lt;=1,(C19+C20)*F24*F23/2,(C19+C20)*(POWER((1+F24),F23/2)-1)),0)</f>
        <v>89</v>
      </c>
      <c r="D23" s="2534" t="str">
        <f>IF(F23&lt;=1,"(建造成本+管理费用)×利率×(建设周期÷2)","(建造成本+管理费用)×((1+利率)^(建设周期÷2)-1)")</f>
        <v>(建造成本+管理费用)×((1+利率)^(建设周期÷2)-1)</v>
      </c>
      <c r="E23" s="783" t="s">
        <v>1770</v>
      </c>
      <c r="F23" s="639">
        <f>'数据-取费表'!B20</f>
        <v>2</v>
      </c>
      <c r="G23" s="1578"/>
      <c r="H23" s="1633" t="s">
        <v>1890</v>
      </c>
      <c r="I23" s="783" t="s">
        <v>679</v>
      </c>
      <c r="J23" s="53">
        <f ca="1">ROUND(J13*M23,0)</f>
        <v>0</v>
      </c>
      <c r="K23" s="2447" t="s">
        <v>1771</v>
      </c>
      <c r="L23" s="783" t="s">
        <v>1747</v>
      </c>
      <c r="M23" s="817">
        <f ca="1">INDIRECT("'数据-取费表'!Al"&amp;$G$1)</f>
        <v>1.5E-3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1832</v>
      </c>
      <c r="B24" s="783" t="s">
        <v>1772</v>
      </c>
      <c r="C24" s="53">
        <f ca="1">ROUND(IF('数据-取费表'!B22&lt;=1,F21*F24*F23/2,F21*(POWER((1+F24),F23/2)-1)),4)</f>
        <v>6.9999999999999999E-4</v>
      </c>
      <c r="D24" s="2534" t="str">
        <f>IF(F23&lt;=1,"销售费用×利率×(建设周期÷2)","销售费用×((1+利率)^(建设周期÷2)-1)")</f>
        <v>销售费用×((1+利率)^(建设周期÷2)-1)</v>
      </c>
      <c r="E24" s="783" t="s">
        <v>1773</v>
      </c>
      <c r="F24" s="818">
        <f ca="1">'数据-取费表'!B40</f>
        <v>4.7500000000000001E-2</v>
      </c>
      <c r="G24" s="1578"/>
      <c r="H24" s="2514" t="s">
        <v>1891</v>
      </c>
      <c r="I24" s="2509" t="s">
        <v>666</v>
      </c>
      <c r="J24" s="2507">
        <f ca="1">ROUND(J5*M24,0)</f>
        <v>0</v>
      </c>
      <c r="K24" s="2508" t="s">
        <v>1774</v>
      </c>
      <c r="L24" s="2509" t="s">
        <v>1747</v>
      </c>
      <c r="M24" s="2505">
        <f ca="1">INDIRECT("'数据-取费表'!Am"&amp;$G$1)</f>
        <v>1.4999999999999999E-2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1840</v>
      </c>
      <c r="B25" s="783" t="s">
        <v>684</v>
      </c>
      <c r="C25" s="53"/>
      <c r="D25" s="260" t="s">
        <v>1775</v>
      </c>
      <c r="E25" s="1966"/>
      <c r="F25" s="56"/>
      <c r="G25" s="1577"/>
      <c r="H25" s="1813" t="s">
        <v>1776</v>
      </c>
      <c r="I25" s="2960" t="s">
        <v>2821</v>
      </c>
      <c r="J25" s="791">
        <f ca="1">J5-J16</f>
        <v>-250</v>
      </c>
      <c r="K25" s="2511" t="s">
        <v>1777</v>
      </c>
      <c r="L25" s="2512"/>
      <c r="M25" s="2513"/>
    </row>
    <row r="26" spans="1:33" ht="18" customHeight="1">
      <c r="A26" s="1632" t="s">
        <v>1831</v>
      </c>
      <c r="B26" s="783" t="s">
        <v>2438</v>
      </c>
      <c r="C26" s="53">
        <f ca="1">ROUND((C19+C20)*F26,0)</f>
        <v>375</v>
      </c>
      <c r="D26" s="811" t="s">
        <v>1778</v>
      </c>
      <c r="E26" s="794" t="s">
        <v>1779</v>
      </c>
      <c r="F26" s="793">
        <f ca="1">INDIRECT("'数据-取费表'!q"&amp;$G$1)</f>
        <v>0.2</v>
      </c>
      <c r="G26" s="1577"/>
      <c r="H26" s="2465" t="s">
        <v>1780</v>
      </c>
      <c r="I26" s="2216" t="s">
        <v>2826</v>
      </c>
      <c r="J26" s="782">
        <f ca="1">IF(J5&lt;&gt;0,ROUND(J25*(1-((1+M28)/(1+M26))^M27)/(M26-M28),0),0)</f>
        <v>0</v>
      </c>
      <c r="K26" s="813" t="s">
        <v>1781</v>
      </c>
      <c r="L26" s="783" t="s">
        <v>2419</v>
      </c>
      <c r="M26" s="793">
        <f ca="1">INDIRECT("'数据-取费表'!I"&amp;$G$1)</f>
        <v>5.5E-2</v>
      </c>
    </row>
    <row r="27" spans="1:33" ht="18" customHeight="1">
      <c r="A27" s="1632" t="s">
        <v>1832</v>
      </c>
      <c r="B27" s="783" t="s">
        <v>686</v>
      </c>
      <c r="C27" s="53">
        <f ca="1">ROUND(F21*F26,4)</f>
        <v>3.0000000000000001E-3</v>
      </c>
      <c r="D27" s="811" t="s">
        <v>1782</v>
      </c>
      <c r="E27" s="805"/>
      <c r="F27" s="806"/>
      <c r="G27" s="1577"/>
      <c r="H27" s="2466"/>
      <c r="I27" s="786"/>
      <c r="J27" s="787"/>
      <c r="K27" s="820" t="s">
        <v>1783</v>
      </c>
      <c r="L27" s="783" t="s">
        <v>1784</v>
      </c>
      <c r="M27" s="821">
        <f ca="1">INDIRECT("'数据-取费表'!ag"&amp;$G$1)</f>
        <v>0</v>
      </c>
    </row>
    <row r="28" spans="1:33" s="2048" customFormat="1" ht="18" customHeight="1">
      <c r="A28" s="1634" t="s">
        <v>1841</v>
      </c>
      <c r="B28" s="783" t="s">
        <v>687</v>
      </c>
      <c r="C28" s="53">
        <f>ROUND(F28/(1+'数据-取费表'!C42),4)</f>
        <v>5.2400000000000002E-2</v>
      </c>
      <c r="D28" s="811" t="s">
        <v>2299</v>
      </c>
      <c r="E28" s="783" t="s">
        <v>1785</v>
      </c>
      <c r="F28" s="808">
        <f>'数据-取费表'!B41</f>
        <v>5.5000000000000007E-2</v>
      </c>
      <c r="G28" s="1578"/>
      <c r="H28" s="1813"/>
      <c r="I28" s="790"/>
      <c r="J28" s="791"/>
      <c r="K28" s="815"/>
      <c r="L28" s="783" t="s">
        <v>1786</v>
      </c>
      <c r="M28" s="793">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1892</v>
      </c>
      <c r="B29" s="2504" t="s">
        <v>2300</v>
      </c>
      <c r="C29" s="2507">
        <f ca="1">ROUND((C19+C20+C23+C26)/(1-F21-C24-C27-C28),0)</f>
        <v>2520</v>
      </c>
      <c r="D29" s="2508"/>
      <c r="E29" s="2509"/>
      <c r="F29" s="2510"/>
      <c r="G29" s="1578"/>
      <c r="H29" s="822" t="s">
        <v>1787</v>
      </c>
      <c r="I29" s="823" t="s">
        <v>1788</v>
      </c>
      <c r="J29" s="824">
        <f ca="1">ROUND(J26/(1+F40)^F41,0)</f>
        <v>0</v>
      </c>
      <c r="K29" s="825" t="s">
        <v>1789</v>
      </c>
      <c r="L29" s="826"/>
      <c r="M29" s="827">
        <f ca="1">INDIRECT("'数据-取费表'!k"&amp;$G$1)</f>
        <v>9076.16</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1893</v>
      </c>
      <c r="B30" s="1811" t="s">
        <v>1790</v>
      </c>
      <c r="C30" s="791">
        <f ca="1">ROUND(C31+C36+C37+C38,0)</f>
        <v>42</v>
      </c>
      <c r="D30" s="1805" t="s">
        <v>1791</v>
      </c>
      <c r="E30" s="2449"/>
      <c r="F30" s="2454"/>
      <c r="G30" s="2046"/>
      <c r="H30" s="2049"/>
      <c r="I30" s="2050"/>
      <c r="J30" s="2051"/>
      <c r="K30" s="2052"/>
      <c r="L30" s="2053"/>
      <c r="M30" s="2054"/>
    </row>
    <row r="31" spans="1:33" ht="18" customHeight="1">
      <c r="A31" s="1633" t="s">
        <v>1830</v>
      </c>
      <c r="B31" s="783" t="s">
        <v>656</v>
      </c>
      <c r="C31" s="53">
        <f ca="1">ROUND(IF(项目基本情况!B11="自然人",C5*F31,C32+C33+C34),1)</f>
        <v>0.5</v>
      </c>
      <c r="D31" s="1963" t="s">
        <v>1792</v>
      </c>
      <c r="E31" s="1961" t="s">
        <v>1793</v>
      </c>
      <c r="F31" s="809" t="str">
        <f ca="1">IF(项目基本情况!B11="企业","",IF(INDIRECT("'数据-取费表'!c"&amp;$G$1)="住宅",5%,IF(F6*F7*F8/12/(1+'数据-取费表'!C42)&gt;20000,12%,7%)))</f>
        <v/>
      </c>
      <c r="G31" s="2046"/>
      <c r="H31" s="2049"/>
      <c r="I31" s="2050"/>
      <c r="J31" s="2051"/>
      <c r="K31" s="2052"/>
      <c r="L31" s="2053"/>
      <c r="M31" s="2054"/>
    </row>
    <row r="32" spans="1:33" ht="18" customHeight="1">
      <c r="A32" s="1632" t="s">
        <v>1831</v>
      </c>
      <c r="B32" s="783" t="s">
        <v>1794</v>
      </c>
      <c r="C32" s="53">
        <f ca="1">ROUND(C5*F32/1.05,1)</f>
        <v>0</v>
      </c>
      <c r="D32" s="1961" t="s">
        <v>1795</v>
      </c>
      <c r="E32" s="783" t="s">
        <v>1796</v>
      </c>
      <c r="F32" s="808">
        <f>'数据-取费表'!B41</f>
        <v>5.5000000000000007E-2</v>
      </c>
      <c r="G32" s="2046"/>
      <c r="H32" s="2055"/>
      <c r="I32" s="2056"/>
      <c r="J32" s="2057"/>
      <c r="K32" s="2058"/>
      <c r="L32" s="2059"/>
      <c r="M32" s="2060"/>
    </row>
    <row r="33" spans="1:18" ht="18" customHeight="1">
      <c r="A33" s="1632" t="s">
        <v>1832</v>
      </c>
      <c r="B33" s="783" t="s">
        <v>1797</v>
      </c>
      <c r="C33" s="53">
        <f ca="1">IF(D33="按租金收入计税",ROUND(C5*F33,1),IF(D33="按房产原值计税",ROUND(C29*F33*0.7,1),INDIRECT("'数据-取费表'!Aj"&amp;$G$1)))</f>
        <v>0</v>
      </c>
      <c r="D33" s="810" t="s">
        <v>3008</v>
      </c>
      <c r="E33" s="783" t="s">
        <v>1796</v>
      </c>
      <c r="F33" s="808">
        <f>IF(D33="按租金收入计税",'数据-取费表'!B51,'数据-取费表'!B50)</f>
        <v>0.12</v>
      </c>
      <c r="G33" s="2046"/>
      <c r="H33" s="2061"/>
      <c r="I33" s="2061"/>
      <c r="J33" s="2061"/>
      <c r="K33" s="2062"/>
      <c r="L33" s="2061"/>
      <c r="M33" s="2061"/>
    </row>
    <row r="34" spans="1:18" ht="18" customHeight="1">
      <c r="A34" s="1635" t="s">
        <v>1833</v>
      </c>
      <c r="B34" s="340" t="s">
        <v>1798</v>
      </c>
      <c r="C34" s="54">
        <f ca="1">ROUND(F34*F35/10000,1)</f>
        <v>0.5</v>
      </c>
      <c r="D34" s="813" t="s">
        <v>1799</v>
      </c>
      <c r="E34" s="783" t="s">
        <v>1800</v>
      </c>
      <c r="F34" s="639">
        <f>'数据-取费表'!B52</f>
        <v>3</v>
      </c>
      <c r="G34" s="2046"/>
      <c r="H34" s="2049"/>
      <c r="I34" s="834" t="s">
        <v>1813</v>
      </c>
      <c r="J34" s="835"/>
      <c r="K34" s="2064"/>
      <c r="L34" s="2063"/>
      <c r="M34" s="2063"/>
    </row>
    <row r="35" spans="1:18" ht="18" customHeight="1">
      <c r="A35" s="814"/>
      <c r="B35" s="792"/>
      <c r="C35" s="69"/>
      <c r="D35" s="815"/>
      <c r="E35" s="783" t="s">
        <v>1801</v>
      </c>
      <c r="F35" s="784">
        <f ca="1">INDIRECT("'数据-取费表'!r"&amp;$G$1)</f>
        <v>1536.88</v>
      </c>
      <c r="G35" s="2046"/>
      <c r="H35" s="2049"/>
      <c r="I35" s="836" t="s">
        <v>1814</v>
      </c>
      <c r="J35" s="837">
        <f ca="1">ROUND(C13*J36,0)</f>
        <v>202</v>
      </c>
      <c r="K35" s="2062"/>
      <c r="L35" s="2061"/>
      <c r="M35" s="2061"/>
    </row>
    <row r="36" spans="1:18" ht="18" customHeight="1">
      <c r="A36" s="1633" t="s">
        <v>1889</v>
      </c>
      <c r="B36" s="783" t="s">
        <v>1802</v>
      </c>
      <c r="C36" s="53">
        <f ca="1">ROUND(C29*F36,1)</f>
        <v>37.799999999999997</v>
      </c>
      <c r="D36" s="1961" t="s">
        <v>1803</v>
      </c>
      <c r="E36" s="783" t="s">
        <v>1796</v>
      </c>
      <c r="F36" s="816">
        <f ca="1">INDIRECT("'数据-取费表'!Ak"&amp;$G$1)</f>
        <v>1.4999999999999999E-2</v>
      </c>
      <c r="G36" s="2046"/>
      <c r="H36" s="2061"/>
      <c r="I36" s="838" t="s">
        <v>1815</v>
      </c>
      <c r="J36" s="839">
        <f ca="1">INDIRECT("'数据-取费表'!j"&amp;$G$1)</f>
        <v>0.08</v>
      </c>
      <c r="K36" s="2066"/>
      <c r="L36" s="2061"/>
      <c r="M36" s="2061"/>
    </row>
    <row r="37" spans="1:18" ht="18" customHeight="1">
      <c r="A37" s="1633" t="s">
        <v>1890</v>
      </c>
      <c r="B37" s="783" t="s">
        <v>679</v>
      </c>
      <c r="C37" s="53">
        <f ca="1">ROUND(C13*F37,1)</f>
        <v>3.8</v>
      </c>
      <c r="D37" s="1961" t="s">
        <v>1804</v>
      </c>
      <c r="E37" s="783" t="s">
        <v>1796</v>
      </c>
      <c r="F37" s="817">
        <f ca="1">INDIRECT("'数据-取费表'!Al"&amp;$G$1)</f>
        <v>1.5E-3</v>
      </c>
      <c r="G37" s="2046"/>
      <c r="H37" s="2061"/>
      <c r="I37" s="840" t="s">
        <v>1816</v>
      </c>
      <c r="J37" s="841"/>
      <c r="K37" s="2066"/>
      <c r="L37" s="2061"/>
      <c r="M37" s="2061"/>
    </row>
    <row r="38" spans="1:18" ht="18" customHeight="1" thickBot="1">
      <c r="A38" s="2514" t="s">
        <v>1891</v>
      </c>
      <c r="B38" s="2509" t="s">
        <v>666</v>
      </c>
      <c r="C38" s="2507">
        <f ca="1">ROUND(C5*F38,1)</f>
        <v>0</v>
      </c>
      <c r="D38" s="2508" t="s">
        <v>1805</v>
      </c>
      <c r="E38" s="2509" t="s">
        <v>1796</v>
      </c>
      <c r="F38" s="2505">
        <f ca="1">INDIRECT("'数据-取费表'!Am"&amp;$G$1)</f>
        <v>1.4999999999999999E-2</v>
      </c>
      <c r="G38" s="2046"/>
      <c r="H38" s="2061"/>
      <c r="I38" s="842" t="s">
        <v>1817</v>
      </c>
      <c r="J38" s="843"/>
      <c r="K38" s="2067"/>
      <c r="L38" s="2061"/>
      <c r="M38" s="2061"/>
    </row>
    <row r="39" spans="1:18" ht="24.6" customHeight="1" thickTop="1">
      <c r="A39" s="1813" t="s">
        <v>1894</v>
      </c>
      <c r="B39" s="2960" t="s">
        <v>2821</v>
      </c>
      <c r="C39" s="791">
        <f ca="1">C5-C30</f>
        <v>-42</v>
      </c>
      <c r="D39" s="2511" t="s">
        <v>1806</v>
      </c>
      <c r="E39" s="2512"/>
      <c r="F39" s="2513"/>
      <c r="G39" s="2046"/>
      <c r="H39" s="2061"/>
      <c r="I39" s="836" t="s">
        <v>1818</v>
      </c>
      <c r="J39" s="844">
        <f ca="1">ROUND(J35/C39,3)</f>
        <v>-4.8099999999999996</v>
      </c>
      <c r="K39" s="2067"/>
      <c r="L39" s="2061"/>
      <c r="M39" s="2061"/>
    </row>
    <row r="40" spans="1:18" ht="18" customHeight="1">
      <c r="A40" s="780" t="s">
        <v>1895</v>
      </c>
      <c r="B40" s="2216" t="s">
        <v>2301</v>
      </c>
      <c r="C40" s="782">
        <f ca="1">ROUND(C39*(1-((1+F42)/(1+F40))^F41)/(F40-F42),0)</f>
        <v>-630</v>
      </c>
      <c r="D40" s="813" t="s">
        <v>1807</v>
      </c>
      <c r="E40" s="783" t="s">
        <v>2419</v>
      </c>
      <c r="F40" s="793">
        <f ca="1">INDIRECT("'数据-取费表'!I"&amp;$G$1)</f>
        <v>5.5E-2</v>
      </c>
      <c r="G40" s="2046"/>
      <c r="H40" s="2046"/>
      <c r="I40" s="836" t="s">
        <v>1819</v>
      </c>
      <c r="J40" s="844">
        <f ca="1">1-J39</f>
        <v>5.81</v>
      </c>
      <c r="K40" s="2067"/>
      <c r="L40" s="2046"/>
      <c r="M40" s="2046"/>
    </row>
    <row r="41" spans="1:18" ht="18" customHeight="1">
      <c r="A41" s="785"/>
      <c r="B41" s="786"/>
      <c r="C41" s="787"/>
      <c r="D41" s="820" t="s">
        <v>1808</v>
      </c>
      <c r="E41" s="783" t="s">
        <v>2960</v>
      </c>
      <c r="F41" s="821">
        <f ca="1">IF(INDIRECT("'数据-取费表'!af"&amp;$G$1)=0,INDIRECT("'数据-取费表'!ae"&amp;$G$1),INDIRECT("'数据-取费表'!af"&amp;$G$1))</f>
        <v>32.56</v>
      </c>
      <c r="G41" s="2046"/>
      <c r="H41" s="1972"/>
      <c r="I41" s="842" t="s">
        <v>1820</v>
      </c>
      <c r="J41" s="845"/>
      <c r="K41" s="2066"/>
      <c r="L41" s="1972"/>
      <c r="M41" s="1972"/>
    </row>
    <row r="42" spans="1:18" ht="18" customHeight="1">
      <c r="A42" s="789"/>
      <c r="B42" s="790"/>
      <c r="C42" s="791"/>
      <c r="D42" s="815"/>
      <c r="E42" s="783" t="s">
        <v>1809</v>
      </c>
      <c r="F42" s="793">
        <f ca="1">INDIRECT("'数据-取费表'!v"&amp;$G$1)</f>
        <v>0</v>
      </c>
      <c r="G42" s="2046"/>
      <c r="H42" s="1972"/>
      <c r="I42" s="846" t="s">
        <v>1821</v>
      </c>
      <c r="J42" s="844">
        <f ca="1">ROUND(C13/C40,3)</f>
        <v>-4</v>
      </c>
      <c r="K42" s="2066"/>
      <c r="L42" s="1972"/>
      <c r="M42" s="1972"/>
    </row>
    <row r="43" spans="1:18" ht="18" customHeight="1" thickBot="1">
      <c r="A43" s="822" t="s">
        <v>1787</v>
      </c>
      <c r="B43" s="823" t="s">
        <v>1810</v>
      </c>
      <c r="C43" s="824">
        <f ca="1">ROUND(C40*10000/F43,0)</f>
        <v>-694</v>
      </c>
      <c r="D43" s="825" t="s">
        <v>1811</v>
      </c>
      <c r="E43" s="826" t="s">
        <v>1812</v>
      </c>
      <c r="F43" s="827">
        <f ca="1">INDIRECT("'数据-取费表'!k"&amp;$G$1)</f>
        <v>9076.16</v>
      </c>
      <c r="G43" s="2046"/>
      <c r="H43" s="1972"/>
      <c r="I43" s="846" t="s">
        <v>1822</v>
      </c>
      <c r="J43" s="847">
        <f ca="1">1-J42</f>
        <v>5</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2295</v>
      </c>
      <c r="B46" s="2069"/>
      <c r="C46" s="2537">
        <f ca="1">C67-C40</f>
        <v>0</v>
      </c>
      <c r="D46" s="2069"/>
      <c r="E46" s="2069"/>
      <c r="F46" s="2069"/>
      <c r="I46" s="2341" t="s">
        <v>2343</v>
      </c>
      <c r="J46" s="2342"/>
      <c r="K46" s="2343"/>
      <c r="L46" s="3105">
        <f>IF(OR(M47="住宅",D1="土地（套用方法）"),0,IF(L48&gt;J51,L60,J60))</f>
        <v>0</v>
      </c>
      <c r="O46" s="2357" t="s">
        <v>2410</v>
      </c>
      <c r="P46" s="1577"/>
      <c r="Q46" s="1588"/>
      <c r="R46" s="1577"/>
    </row>
    <row r="47" spans="1:18" s="2043" customFormat="1" ht="18" customHeight="1" thickBot="1">
      <c r="A47" s="2335">
        <v>1</v>
      </c>
      <c r="B47" s="2336" t="s">
        <v>635</v>
      </c>
      <c r="C47" s="2537">
        <f ca="1">C48+C52+C54</f>
        <v>0</v>
      </c>
      <c r="D47" s="2069"/>
      <c r="E47" s="2069"/>
      <c r="F47" s="2069"/>
      <c r="I47" s="3095" t="s">
        <v>2344</v>
      </c>
      <c r="J47" s="2344" t="s">
        <v>3009</v>
      </c>
      <c r="K47" s="3102" t="s">
        <v>2349</v>
      </c>
      <c r="L47" s="3106">
        <f ca="1">INDIRECT("'数据-取费表'!d"&amp;$G$1)</f>
        <v>40</v>
      </c>
      <c r="M47" s="1588" t="str">
        <f>IF(ISNUMBER(FIND("住宅",C1)),"住宅","非住宅")</f>
        <v>非住宅</v>
      </c>
      <c r="O47" s="2358" t="s">
        <v>2375</v>
      </c>
      <c r="P47" s="2359" t="s">
        <v>2376</v>
      </c>
      <c r="Q47" s="2360" t="s">
        <v>2377</v>
      </c>
      <c r="R47" s="2359" t="s">
        <v>2378</v>
      </c>
    </row>
    <row r="48" spans="1:18" s="2043" customFormat="1" ht="18" customHeight="1" thickBot="1">
      <c r="A48" s="2605" t="s">
        <v>2536</v>
      </c>
      <c r="B48" s="2606" t="s">
        <v>2537</v>
      </c>
      <c r="C48" s="2337">
        <f ca="1">ROUND(F48*F50*F49*(1-F51)/10000,0)</f>
        <v>0</v>
      </c>
      <c r="D48" s="2338" t="s">
        <v>636</v>
      </c>
      <c r="E48" s="2339" t="s">
        <v>2296</v>
      </c>
      <c r="F48" s="2340"/>
      <c r="G48" s="2074"/>
      <c r="I48" s="3074" t="s">
        <v>2345</v>
      </c>
      <c r="J48" s="2345" t="s">
        <v>2350</v>
      </c>
      <c r="K48" s="3103" t="s">
        <v>2351</v>
      </c>
      <c r="L48" s="1892">
        <f ca="1">INDIRECT("'数据-取费表'!f"&amp;$G$1)</f>
        <v>34.56</v>
      </c>
      <c r="O48" s="2361" t="s">
        <v>2379</v>
      </c>
      <c r="P48" s="2362" t="s">
        <v>2405</v>
      </c>
      <c r="Q48" s="2363">
        <f ca="1">C40+J29</f>
        <v>-630</v>
      </c>
      <c r="R48" s="2362" t="s">
        <v>2380</v>
      </c>
    </row>
    <row r="49" spans="1:18" s="2043" customFormat="1" ht="18" customHeight="1" thickBot="1">
      <c r="A49" s="785"/>
      <c r="B49" s="786"/>
      <c r="C49" s="787"/>
      <c r="D49" s="788"/>
      <c r="E49" s="783" t="s">
        <v>1739</v>
      </c>
      <c r="F49" s="784">
        <f ca="1">F7</f>
        <v>9076.16</v>
      </c>
      <c r="G49" s="2074"/>
      <c r="H49" s="2077"/>
      <c r="I49" s="3074" t="s">
        <v>2346</v>
      </c>
      <c r="J49" s="2346">
        <v>2020</v>
      </c>
      <c r="K49" s="3104" t="s">
        <v>2352</v>
      </c>
      <c r="L49" s="2347"/>
      <c r="O49" s="2361" t="s">
        <v>2381</v>
      </c>
      <c r="P49" s="2362" t="s">
        <v>2406</v>
      </c>
      <c r="Q49" s="2363">
        <f ca="1">J60</f>
        <v>1111</v>
      </c>
      <c r="R49" s="2362" t="s">
        <v>2382</v>
      </c>
    </row>
    <row r="50" spans="1:18" s="2043" customFormat="1" ht="18" customHeight="1" thickBot="1">
      <c r="A50" s="785"/>
      <c r="B50" s="786"/>
      <c r="C50" s="787"/>
      <c r="D50" s="788"/>
      <c r="E50" s="783" t="s">
        <v>1740</v>
      </c>
      <c r="F50" s="784">
        <f ca="1">F8</f>
        <v>365</v>
      </c>
      <c r="G50" s="2079"/>
      <c r="H50" s="2077"/>
      <c r="I50" s="3074" t="s">
        <v>2347</v>
      </c>
      <c r="J50" s="3099">
        <f>SUMPRODUCT((I63:I65=J47)*(J62:L62=J48)*(J63:L65))</f>
        <v>60</v>
      </c>
      <c r="K50" s="3104" t="s">
        <v>2353</v>
      </c>
      <c r="L50" s="2347"/>
      <c r="O50" s="2364" t="s">
        <v>2383</v>
      </c>
      <c r="P50" s="2362" t="s">
        <v>2407</v>
      </c>
      <c r="Q50" s="2363">
        <f ca="1">C29</f>
        <v>2520</v>
      </c>
      <c r="R50" s="2362" t="s">
        <v>2380</v>
      </c>
    </row>
    <row r="51" spans="1:18" s="2043" customFormat="1" ht="18" customHeight="1" thickBot="1">
      <c r="A51" s="785"/>
      <c r="B51" s="786"/>
      <c r="C51" s="787"/>
      <c r="D51" s="788"/>
      <c r="E51" s="783" t="s">
        <v>640</v>
      </c>
      <c r="F51" s="2334"/>
      <c r="H51" s="2077"/>
      <c r="I51" s="3096" t="s">
        <v>2348</v>
      </c>
      <c r="J51" s="3100">
        <f>IF(J49="",J50,J49+J50-YEAR('数据-取费表'!B2))</f>
        <v>61</v>
      </c>
      <c r="K51" s="3074" t="s">
        <v>2354</v>
      </c>
      <c r="L51" s="3107">
        <f ca="1">ROUND(-PV(INDIRECT("'数据-取费表'!h"&amp;$G$1),L48,(C39-C13*J36),0),0)</f>
        <v>-3970</v>
      </c>
      <c r="O51" s="2364" t="s">
        <v>2384</v>
      </c>
      <c r="P51" s="2362" t="s">
        <v>2385</v>
      </c>
      <c r="Q51" s="2365">
        <f ca="1">J58</f>
        <v>0.441</v>
      </c>
      <c r="R51" s="2366"/>
    </row>
    <row r="52" spans="1:18" s="2043" customFormat="1" ht="18" customHeight="1" thickBot="1">
      <c r="A52" s="780" t="s">
        <v>2535</v>
      </c>
      <c r="B52" s="2457" t="s">
        <v>2458</v>
      </c>
      <c r="C52" s="798">
        <f ca="1">ROUND(IF(F52="押一",C48/12*F11,IF(F52="押二",C48/12*2*F11,IF(F52="押三",C48/12*3*F11,C53*F11))),0)</f>
        <v>0</v>
      </c>
      <c r="D52" s="2464" t="s">
        <v>2971</v>
      </c>
      <c r="E52" s="2461" t="s">
        <v>2463</v>
      </c>
      <c r="F52" s="2584"/>
      <c r="I52" s="3097" t="s">
        <v>2421</v>
      </c>
      <c r="J52" s="2348"/>
      <c r="K52" s="3097" t="s">
        <v>2420</v>
      </c>
      <c r="L52" s="2348"/>
      <c r="O52" s="2364" t="s">
        <v>2386</v>
      </c>
      <c r="P52" s="2362" t="s">
        <v>2387</v>
      </c>
      <c r="Q52" s="2365">
        <f>J52</f>
        <v>0</v>
      </c>
      <c r="R52" s="2366"/>
    </row>
    <row r="53" spans="1:18" s="2043" customFormat="1" ht="39.75" customHeight="1" thickBot="1">
      <c r="A53" s="785"/>
      <c r="B53" s="2458" t="s">
        <v>2572</v>
      </c>
      <c r="C53" s="2462"/>
      <c r="D53" s="2464"/>
      <c r="E53" s="2461"/>
      <c r="F53" s="799"/>
      <c r="I53" s="3098" t="s">
        <v>2974</v>
      </c>
      <c r="J53" s="3101">
        <f ca="1">IF(M47="住宅",IF(D1="——",MAX(J51,L48),MAX(J51,L48-'数据-取费表'!B20)),IF(D1="——",MIN(J51,L48),MIN(J51,L48-'数据-取费表'!B20)))</f>
        <v>32.56</v>
      </c>
      <c r="K53" s="4102" t="s">
        <v>2962</v>
      </c>
      <c r="L53" s="4103"/>
      <c r="O53" s="2364" t="s">
        <v>2388</v>
      </c>
      <c r="P53" s="2362" t="s">
        <v>2389</v>
      </c>
      <c r="Q53" s="2363">
        <f ca="1">J53</f>
        <v>32.56</v>
      </c>
      <c r="R53" s="2362" t="s">
        <v>2390</v>
      </c>
    </row>
    <row r="54" spans="1:18" s="2043" customFormat="1" ht="18" customHeight="1" thickBot="1">
      <c r="A54" s="2500" t="s">
        <v>2466</v>
      </c>
      <c r="B54" s="2501" t="s">
        <v>2459</v>
      </c>
      <c r="C54" s="2502"/>
      <c r="D54" s="2464"/>
      <c r="E54" s="2461"/>
      <c r="F54" s="799"/>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2391</v>
      </c>
      <c r="P54" s="2362" t="s">
        <v>2408</v>
      </c>
      <c r="Q54" s="2363">
        <f ca="1">Q48+Q49</f>
        <v>481</v>
      </c>
      <c r="R54" s="2366" t="s">
        <v>2392</v>
      </c>
    </row>
    <row r="55" spans="1:18" s="2043" customFormat="1" ht="18" customHeight="1" thickTop="1" thickBot="1">
      <c r="A55" s="796">
        <v>2</v>
      </c>
      <c r="B55" s="797" t="s">
        <v>644</v>
      </c>
      <c r="C55" s="798">
        <f ca="1">C13</f>
        <v>2520</v>
      </c>
      <c r="D55" s="794"/>
      <c r="E55" s="794"/>
      <c r="F55" s="799"/>
      <c r="I55" s="3110" t="s">
        <v>2355</v>
      </c>
      <c r="J55" s="3049">
        <f ca="1">ROUND(IF(J47="钢混",J57/J50,1-(1-2%)*(J50-J57)/J50),3)</f>
        <v>0.441</v>
      </c>
      <c r="K55" s="3111" t="s">
        <v>2356</v>
      </c>
      <c r="L55" s="2349"/>
      <c r="O55" s="2367" t="s">
        <v>2411</v>
      </c>
      <c r="P55" s="1577"/>
      <c r="Q55" s="1588"/>
      <c r="R55" s="1577"/>
    </row>
    <row r="56" spans="1:18" s="2043" customFormat="1" ht="42.75" customHeight="1" thickBot="1">
      <c r="A56" s="1634"/>
      <c r="B56" s="2215" t="s">
        <v>2302</v>
      </c>
      <c r="C56" s="53">
        <f ca="1">C29</f>
        <v>2520</v>
      </c>
      <c r="D56" s="2602"/>
      <c r="E56" s="783"/>
      <c r="F56" s="808"/>
      <c r="I56" s="3112" t="s">
        <v>2357</v>
      </c>
      <c r="J56" s="3122" t="s">
        <v>2999</v>
      </c>
      <c r="K56" s="3074" t="s">
        <v>2362</v>
      </c>
      <c r="L56" s="1892" t="str">
        <f ca="1">IF(L48&lt;J51,"——",L48-J51)</f>
        <v>——</v>
      </c>
      <c r="O56" s="2358" t="s">
        <v>2375</v>
      </c>
      <c r="P56" s="2359" t="s">
        <v>2376</v>
      </c>
      <c r="Q56" s="2360" t="s">
        <v>2377</v>
      </c>
      <c r="R56" s="2359" t="s">
        <v>2378</v>
      </c>
    </row>
    <row r="57" spans="1:18" s="2043" customFormat="1" ht="28.5" customHeight="1" thickBot="1">
      <c r="A57" s="796" t="s">
        <v>1748</v>
      </c>
      <c r="B57" s="797" t="s">
        <v>651</v>
      </c>
      <c r="C57" s="798">
        <f ca="1">ROUND(C58+C63+C64+C65,0)</f>
        <v>42</v>
      </c>
      <c r="D57" s="26" t="s">
        <v>1750</v>
      </c>
      <c r="E57" s="2603"/>
      <c r="F57" s="56"/>
      <c r="I57" s="3113" t="s">
        <v>2358</v>
      </c>
      <c r="J57" s="3114">
        <f ca="1">IF(OR(M47="住宅",J51&lt;L48,J56="是"),"——",J51-L48)</f>
        <v>26.439999999999998</v>
      </c>
      <c r="K57" s="3074" t="s">
        <v>2363</v>
      </c>
      <c r="L57" s="1892" t="str">
        <f ca="1">IF(L48&lt;J51,"——",IF(L55="比较法",L49,IF(L55="基准地价",L50,L51)))</f>
        <v>——</v>
      </c>
      <c r="O57" s="2361" t="s">
        <v>2379</v>
      </c>
      <c r="P57" s="2362" t="s">
        <v>2409</v>
      </c>
      <c r="Q57" s="2363">
        <f ca="1">C40+J29</f>
        <v>-630</v>
      </c>
      <c r="R57" s="2362" t="s">
        <v>2380</v>
      </c>
    </row>
    <row r="58" spans="1:18" s="2043" customFormat="1" ht="28.5" customHeight="1" thickBot="1">
      <c r="A58" s="1633" t="s">
        <v>1824</v>
      </c>
      <c r="B58" s="783" t="s">
        <v>656</v>
      </c>
      <c r="C58" s="53">
        <f ca="1">ROUND(IF(项目基本情况!B11="自然人",C47*F58,C59+C60+C61),1)</f>
        <v>0.5</v>
      </c>
      <c r="D58" s="2601" t="s">
        <v>657</v>
      </c>
      <c r="E58" s="2602" t="s">
        <v>690</v>
      </c>
      <c r="F58" s="809" t="str">
        <f ca="1">IF(项目基本情况!B11="企业","",IF(INDIRECT("'数据-取费表'!c"&amp;$G$1)="住宅",5%,IF(F48*F49*F50/12/(1+'数据-取费表'!C42)&gt;20000,12%,7%)))</f>
        <v/>
      </c>
      <c r="I58" s="3113" t="s">
        <v>2359</v>
      </c>
      <c r="J58" s="3050">
        <f ca="1">IF(J55&lt;0.4,0.4,J55)</f>
        <v>0.441</v>
      </c>
      <c r="K58" s="3074" t="s">
        <v>2364</v>
      </c>
      <c r="L58" s="1892" t="e">
        <f ca="1">ROUND(POWER(1+L52,L47-L48)*(POWER(1+L52,L48)-1)/(POWER(1+L52,L47)-1),4)</f>
        <v>#DIV/0!</v>
      </c>
      <c r="O58" s="2361" t="s">
        <v>2381</v>
      </c>
      <c r="P58" s="2362" t="s">
        <v>2412</v>
      </c>
      <c r="Q58" s="2363">
        <f ca="1">L60</f>
        <v>0</v>
      </c>
      <c r="R58" s="2366" t="s">
        <v>2414</v>
      </c>
    </row>
    <row r="59" spans="1:18" s="2043" customFormat="1" ht="28.5" customHeight="1" thickBot="1">
      <c r="A59" s="1632" t="s">
        <v>1831</v>
      </c>
      <c r="B59" s="783" t="s">
        <v>660</v>
      </c>
      <c r="C59" s="53">
        <f ca="1">ROUND(C47*F59/1.05,1)</f>
        <v>0</v>
      </c>
      <c r="D59" s="2602" t="s">
        <v>1756</v>
      </c>
      <c r="E59" s="783" t="s">
        <v>1747</v>
      </c>
      <c r="F59" s="808">
        <f t="shared" ref="F59:F65" si="0">F32</f>
        <v>5.5000000000000007E-2</v>
      </c>
      <c r="I59" s="3113" t="s">
        <v>2360</v>
      </c>
      <c r="J59" s="3114">
        <f ca="1">IF(OR(M47="住宅",J51&lt;L48,J56="是"),"——",ROUND(C29*J58,0))</f>
        <v>1111</v>
      </c>
      <c r="K59" s="3074"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2383</v>
      </c>
      <c r="P59" s="2362" t="s">
        <v>2413</v>
      </c>
      <c r="Q59" s="2363">
        <f>IF(L55="比较法",L49,IF(L55="基准地价",L50,0))</f>
        <v>0</v>
      </c>
      <c r="R59" s="2362" t="s">
        <v>2380</v>
      </c>
    </row>
    <row r="60" spans="1:18" s="2043" customFormat="1" ht="18" customHeight="1" thickBot="1">
      <c r="A60" s="1632" t="s">
        <v>1832</v>
      </c>
      <c r="B60" s="783" t="s">
        <v>1758</v>
      </c>
      <c r="C60" s="53">
        <f ca="1">IF(D60="按租金收入计税",ROUND(C47*F60,1),IF(D60="按房产原值计税",ROUND(C56*F60*0.7,1),INDIRECT("'数据-取费表'!Aj"&amp;$G$1)))</f>
        <v>0</v>
      </c>
      <c r="D60" s="2602" t="str">
        <f>D33</f>
        <v>按租金收入计税</v>
      </c>
      <c r="E60" s="783" t="s">
        <v>1747</v>
      </c>
      <c r="F60" s="808">
        <f t="shared" si="0"/>
        <v>0.12</v>
      </c>
      <c r="I60" s="3115" t="s">
        <v>2361</v>
      </c>
      <c r="J60" s="3116">
        <f ca="1">IF(OR(M47="住宅",J51&lt;L48,J56="是"),"0",ROUND(J59/(1+J52)^J53,0))</f>
        <v>1111</v>
      </c>
      <c r="K60" s="3117" t="s">
        <v>2366</v>
      </c>
      <c r="L60" s="3116">
        <f ca="1">IF(OR(M47="住宅",L48&lt;J51),0,ROUND(L57*(L58/L59-1),0))</f>
        <v>0</v>
      </c>
      <c r="O60" s="2364" t="s">
        <v>2384</v>
      </c>
      <c r="P60" s="2362" t="s">
        <v>2393</v>
      </c>
      <c r="Q60" s="2365">
        <f>L52</f>
        <v>0</v>
      </c>
      <c r="R60" s="2366"/>
    </row>
    <row r="61" spans="1:18" s="2043" customFormat="1" ht="18" customHeight="1" thickBot="1">
      <c r="A61" s="1635" t="s">
        <v>1833</v>
      </c>
      <c r="B61" s="340" t="s">
        <v>668</v>
      </c>
      <c r="C61" s="54">
        <f ca="1">ROUND(F61*F62/10000,1)</f>
        <v>0.5</v>
      </c>
      <c r="D61" s="813" t="s">
        <v>669</v>
      </c>
      <c r="E61" s="783" t="s">
        <v>670</v>
      </c>
      <c r="F61" s="639">
        <f t="shared" si="0"/>
        <v>3</v>
      </c>
      <c r="K61" s="2070"/>
      <c r="O61" s="2364" t="s">
        <v>2386</v>
      </c>
      <c r="P61" s="2362" t="s">
        <v>2394</v>
      </c>
      <c r="Q61" s="2363" t="e">
        <f ca="1">L58</f>
        <v>#DIV/0!</v>
      </c>
      <c r="R61" s="2366" t="s">
        <v>2395</v>
      </c>
    </row>
    <row r="62" spans="1:18" s="2043" customFormat="1" ht="15.75" thickBot="1">
      <c r="A62" s="814"/>
      <c r="B62" s="792"/>
      <c r="C62" s="69"/>
      <c r="D62" s="815"/>
      <c r="E62" s="783" t="s">
        <v>674</v>
      </c>
      <c r="F62" s="784">
        <f t="shared" ca="1" si="0"/>
        <v>1536.88</v>
      </c>
      <c r="I62" s="3118" t="s">
        <v>2367</v>
      </c>
      <c r="J62" s="3119" t="s">
        <v>2368</v>
      </c>
      <c r="K62" s="3119" t="s">
        <v>2369</v>
      </c>
      <c r="L62" s="3119" t="s">
        <v>2350</v>
      </c>
      <c r="M62" s="3120" t="s">
        <v>2939</v>
      </c>
      <c r="O62" s="2364" t="s">
        <v>2388</v>
      </c>
      <c r="P62" s="2362" t="str">
        <f>K59</f>
        <v>建设期及建筑物耐用年限下的土地年期修正系数Kn</v>
      </c>
      <c r="Q62" s="2363" t="e">
        <f ca="1">L59</f>
        <v>#DIV/0!</v>
      </c>
      <c r="R62" s="2366" t="s">
        <v>2397</v>
      </c>
    </row>
    <row r="63" spans="1:18" s="2043" customFormat="1" ht="15.75" thickBot="1">
      <c r="A63" s="1633" t="s">
        <v>1889</v>
      </c>
      <c r="B63" s="783" t="s">
        <v>676</v>
      </c>
      <c r="C63" s="53">
        <f ca="1">ROUND(C56*F63,1)</f>
        <v>37.799999999999997</v>
      </c>
      <c r="D63" s="2602" t="s">
        <v>1803</v>
      </c>
      <c r="E63" s="783" t="s">
        <v>1747</v>
      </c>
      <c r="F63" s="816">
        <f t="shared" ca="1" si="0"/>
        <v>1.4999999999999999E-2</v>
      </c>
      <c r="I63" s="3118" t="s">
        <v>2370</v>
      </c>
      <c r="J63" s="3119">
        <v>70</v>
      </c>
      <c r="K63" s="3119">
        <v>50</v>
      </c>
      <c r="L63" s="3119">
        <v>80</v>
      </c>
      <c r="M63" s="3121">
        <v>0.02</v>
      </c>
      <c r="O63" s="2361" t="s">
        <v>2391</v>
      </c>
      <c r="P63" s="2362" t="s">
        <v>2408</v>
      </c>
      <c r="Q63" s="2363">
        <f ca="1">Q57+Q58</f>
        <v>-630</v>
      </c>
      <c r="R63" s="2366" t="s">
        <v>2392</v>
      </c>
    </row>
    <row r="64" spans="1:18" s="2043" customFormat="1" ht="16.5" thickBot="1">
      <c r="A64" s="1633" t="s">
        <v>1890</v>
      </c>
      <c r="B64" s="783" t="s">
        <v>679</v>
      </c>
      <c r="C64" s="53">
        <f ca="1">ROUND(C55*F64,1)</f>
        <v>3.8</v>
      </c>
      <c r="D64" s="2602" t="s">
        <v>680</v>
      </c>
      <c r="E64" s="783" t="s">
        <v>1747</v>
      </c>
      <c r="F64" s="817">
        <f t="shared" ca="1" si="0"/>
        <v>1.5E-3</v>
      </c>
      <c r="I64" s="3118" t="s">
        <v>2371</v>
      </c>
      <c r="J64" s="3119">
        <v>50</v>
      </c>
      <c r="K64" s="3119">
        <v>35</v>
      </c>
      <c r="L64" s="3119">
        <v>60</v>
      </c>
      <c r="M64" s="845">
        <v>0</v>
      </c>
      <c r="O64" s="2367" t="s">
        <v>2415</v>
      </c>
      <c r="P64" s="1577"/>
      <c r="Q64" s="1588"/>
      <c r="R64" s="1577"/>
    </row>
    <row r="65" spans="1:18" s="2043" customFormat="1" ht="15.75" thickBot="1">
      <c r="A65" s="1633" t="s">
        <v>1891</v>
      </c>
      <c r="B65" s="783" t="s">
        <v>666</v>
      </c>
      <c r="C65" s="53">
        <f ca="1">ROUND(C47*F65,1)</f>
        <v>0</v>
      </c>
      <c r="D65" s="2602" t="s">
        <v>683</v>
      </c>
      <c r="E65" s="783" t="s">
        <v>1747</v>
      </c>
      <c r="F65" s="793">
        <f t="shared" ca="1" si="0"/>
        <v>1.4999999999999999E-2</v>
      </c>
      <c r="I65" s="3118" t="s">
        <v>2372</v>
      </c>
      <c r="J65" s="3119">
        <v>40</v>
      </c>
      <c r="K65" s="3119">
        <v>30</v>
      </c>
      <c r="L65" s="3119">
        <v>50</v>
      </c>
      <c r="M65" s="3121">
        <v>0.02</v>
      </c>
      <c r="O65" s="2358" t="s">
        <v>2375</v>
      </c>
      <c r="P65" s="2359" t="s">
        <v>2376</v>
      </c>
      <c r="Q65" s="2360" t="s">
        <v>2377</v>
      </c>
      <c r="R65" s="2359" t="s">
        <v>2378</v>
      </c>
    </row>
    <row r="66" spans="1:18" s="2043" customFormat="1" ht="24.75" thickBot="1">
      <c r="A66" s="796" t="s">
        <v>1776</v>
      </c>
      <c r="B66" s="2961" t="s">
        <v>2821</v>
      </c>
      <c r="C66" s="798">
        <f ca="1">C47-C57</f>
        <v>-42</v>
      </c>
      <c r="D66" s="2601" t="s">
        <v>700</v>
      </c>
      <c r="E66" s="2600"/>
      <c r="F66" s="819"/>
      <c r="K66" s="2070"/>
      <c r="O66" s="2361" t="s">
        <v>2379</v>
      </c>
      <c r="P66" s="2362" t="s">
        <v>2409</v>
      </c>
      <c r="Q66" s="2363">
        <f ca="1">C40+J29</f>
        <v>-630</v>
      </c>
      <c r="R66" s="2362" t="s">
        <v>2380</v>
      </c>
    </row>
    <row r="67" spans="1:18" s="2043" customFormat="1" ht="20.25" thickBot="1">
      <c r="A67" s="780" t="s">
        <v>1780</v>
      </c>
      <c r="B67" s="2216" t="s">
        <v>2301</v>
      </c>
      <c r="C67" s="782">
        <f ca="1">ROUND(C66*(1-((1+F69)/(1+F67))^F68)/(F67-F69),0)</f>
        <v>-630</v>
      </c>
      <c r="D67" s="813" t="s">
        <v>704</v>
      </c>
      <c r="E67" s="783" t="s">
        <v>705</v>
      </c>
      <c r="F67" s="793">
        <f ca="1">F40</f>
        <v>5.5E-2</v>
      </c>
      <c r="K67" s="2070"/>
      <c r="O67" s="2361" t="s">
        <v>2381</v>
      </c>
      <c r="P67" s="2362" t="s">
        <v>2412</v>
      </c>
      <c r="Q67" s="2363">
        <f ca="1">L60</f>
        <v>0</v>
      </c>
      <c r="R67" s="2366" t="s">
        <v>2414</v>
      </c>
    </row>
    <row r="68" spans="1:18" ht="21.75" thickBot="1">
      <c r="A68" s="785"/>
      <c r="B68" s="786"/>
      <c r="C68" s="787"/>
      <c r="D68" s="820" t="s">
        <v>1808</v>
      </c>
      <c r="E68" s="783" t="s">
        <v>1784</v>
      </c>
      <c r="F68" s="821">
        <f ca="1">F41</f>
        <v>32.56</v>
      </c>
      <c r="O68" s="2364" t="s">
        <v>2383</v>
      </c>
      <c r="P68" s="2362" t="s">
        <v>2413</v>
      </c>
      <c r="Q68" s="2368">
        <f ca="1">L51</f>
        <v>-3970</v>
      </c>
      <c r="R68" s="2369" t="s">
        <v>2416</v>
      </c>
    </row>
    <row r="69" spans="1:18" ht="20.25" thickBot="1">
      <c r="A69" s="789"/>
      <c r="B69" s="790"/>
      <c r="C69" s="791"/>
      <c r="D69" s="815"/>
      <c r="E69" s="783" t="s">
        <v>710</v>
      </c>
      <c r="F69" s="2334"/>
      <c r="O69" s="2364" t="s">
        <v>2384</v>
      </c>
      <c r="P69" s="2370" t="s">
        <v>2398</v>
      </c>
      <c r="Q69" s="2363">
        <f ca="1">ROUND(Q70-Q71*Q72,0)</f>
        <v>-244</v>
      </c>
      <c r="R69" s="2366"/>
    </row>
    <row r="70" spans="1:18" ht="15.75" thickBot="1">
      <c r="A70" s="822" t="s">
        <v>1787</v>
      </c>
      <c r="B70" s="823" t="s">
        <v>1810</v>
      </c>
      <c r="C70" s="824">
        <f ca="1">ROUND(C67*10000/F70,0)</f>
        <v>-694</v>
      </c>
      <c r="D70" s="825" t="s">
        <v>1811</v>
      </c>
      <c r="E70" s="826" t="s">
        <v>1812</v>
      </c>
      <c r="F70" s="827">
        <f ca="1">F43</f>
        <v>9076.16</v>
      </c>
      <c r="O70" s="2364" t="s">
        <v>2399</v>
      </c>
      <c r="P70" s="2370" t="s">
        <v>2400</v>
      </c>
      <c r="Q70" s="2363">
        <f ca="1">C39</f>
        <v>-42</v>
      </c>
      <c r="R70" s="2362" t="s">
        <v>2380</v>
      </c>
    </row>
    <row r="71" spans="1:18" ht="15.75" thickBot="1">
      <c r="O71" s="2364" t="s">
        <v>2401</v>
      </c>
      <c r="P71" s="2370" t="s">
        <v>2402</v>
      </c>
      <c r="Q71" s="2363">
        <f ca="1">C13</f>
        <v>2520</v>
      </c>
      <c r="R71" s="2362" t="s">
        <v>2380</v>
      </c>
    </row>
    <row r="72" spans="1:18" ht="15.75" thickBot="1">
      <c r="O72" s="2364" t="s">
        <v>2403</v>
      </c>
      <c r="P72" s="2370" t="s">
        <v>2404</v>
      </c>
      <c r="Q72" s="2365">
        <f ca="1">J36</f>
        <v>0.08</v>
      </c>
      <c r="R72" s="2366"/>
    </row>
    <row r="73" spans="1:18" ht="15.75" thickBot="1">
      <c r="O73" s="2364" t="s">
        <v>2386</v>
      </c>
      <c r="P73" s="2362" t="s">
        <v>2393</v>
      </c>
      <c r="Q73" s="2365">
        <f>L52</f>
        <v>0</v>
      </c>
      <c r="R73" s="2366"/>
    </row>
    <row r="74" spans="1:18" ht="20.25" thickBot="1">
      <c r="O74" s="2364" t="s">
        <v>2388</v>
      </c>
      <c r="P74" s="2362" t="s">
        <v>2394</v>
      </c>
      <c r="Q74" s="2363" t="e">
        <f ca="1">L58</f>
        <v>#DIV/0!</v>
      </c>
      <c r="R74" s="2366" t="s">
        <v>2395</v>
      </c>
    </row>
    <row r="75" spans="1:18" ht="15.75" thickBot="1">
      <c r="O75" s="2364" t="s">
        <v>2417</v>
      </c>
      <c r="P75" s="2362" t="str">
        <f>K59</f>
        <v>建设期及建筑物耐用年限下的土地年期修正系数Kn</v>
      </c>
      <c r="Q75" s="2363" t="e">
        <f ca="1">L59</f>
        <v>#DIV/0!</v>
      </c>
      <c r="R75" s="2366" t="s">
        <v>2397</v>
      </c>
    </row>
    <row r="76" spans="1:18" ht="15.75" thickBot="1">
      <c r="O76" s="2361" t="s">
        <v>2391</v>
      </c>
      <c r="P76" s="2362" t="s">
        <v>2408</v>
      </c>
      <c r="Q76" s="2363">
        <f ca="1">Q66+Q67</f>
        <v>-630</v>
      </c>
      <c r="R76" s="2366"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4120" t="s">
        <v>2470</v>
      </c>
      <c r="B1" s="4121"/>
      <c r="C1" s="4122"/>
      <c r="D1" s="4123">
        <f>SUM(I10,I15,I20,I21,I23)</f>
        <v>0</v>
      </c>
      <c r="E1" s="4123"/>
      <c r="F1" s="4123"/>
      <c r="G1" s="4123"/>
      <c r="H1" s="4123"/>
      <c r="I1" s="4124"/>
    </row>
    <row r="2" spans="1:9">
      <c r="A2" s="4110" t="s">
        <v>2471</v>
      </c>
      <c r="B2" s="4111" t="s">
        <v>2472</v>
      </c>
      <c r="C2" s="4111"/>
      <c r="D2" s="2470" t="s">
        <v>2473</v>
      </c>
      <c r="E2" s="2470" t="s">
        <v>2474</v>
      </c>
      <c r="F2" s="2470" t="s">
        <v>2475</v>
      </c>
      <c r="G2" s="2470" t="s">
        <v>2476</v>
      </c>
      <c r="H2" s="2470" t="s">
        <v>2477</v>
      </c>
      <c r="I2" s="2471" t="s">
        <v>2478</v>
      </c>
    </row>
    <row r="3" spans="1:9">
      <c r="A3" s="4110"/>
      <c r="B3" s="4111" t="s">
        <v>2479</v>
      </c>
      <c r="C3" s="4111"/>
      <c r="D3" s="2472"/>
      <c r="E3" s="2470"/>
      <c r="F3" s="2473"/>
      <c r="G3" s="2473"/>
      <c r="H3" s="2474"/>
      <c r="I3" s="2475">
        <f>ROUND(D3*E3*F3*G3*H3/10000,0)</f>
        <v>0</v>
      </c>
    </row>
    <row r="4" spans="1:9">
      <c r="A4" s="4110"/>
      <c r="B4" s="4111" t="s">
        <v>2480</v>
      </c>
      <c r="C4" s="4111"/>
      <c r="D4" s="2472"/>
      <c r="E4" s="2470"/>
      <c r="F4" s="2473"/>
      <c r="G4" s="2473"/>
      <c r="H4" s="2474"/>
      <c r="I4" s="2475">
        <f t="shared" ref="I4:I9" si="0">ROUND(D4*E4*F4*G4*H4/10000,0)</f>
        <v>0</v>
      </c>
    </row>
    <row r="5" spans="1:9">
      <c r="A5" s="4110"/>
      <c r="B5" s="4111" t="s">
        <v>2481</v>
      </c>
      <c r="C5" s="4111"/>
      <c r="D5" s="2472"/>
      <c r="E5" s="2470"/>
      <c r="F5" s="2473"/>
      <c r="G5" s="2473"/>
      <c r="H5" s="2474"/>
      <c r="I5" s="2475">
        <f t="shared" si="0"/>
        <v>0</v>
      </c>
    </row>
    <row r="6" spans="1:9">
      <c r="A6" s="4110"/>
      <c r="B6" s="4111" t="s">
        <v>2482</v>
      </c>
      <c r="C6" s="4111"/>
      <c r="D6" s="2472"/>
      <c r="E6" s="2470"/>
      <c r="F6" s="2473"/>
      <c r="G6" s="2473"/>
      <c r="H6" s="2474"/>
      <c r="I6" s="2475">
        <f t="shared" si="0"/>
        <v>0</v>
      </c>
    </row>
    <row r="7" spans="1:9">
      <c r="A7" s="4110"/>
      <c r="B7" s="4111" t="s">
        <v>2483</v>
      </c>
      <c r="C7" s="4111"/>
      <c r="D7" s="2472"/>
      <c r="E7" s="2470"/>
      <c r="F7" s="2473"/>
      <c r="G7" s="2473"/>
      <c r="H7" s="2474"/>
      <c r="I7" s="2475">
        <f t="shared" si="0"/>
        <v>0</v>
      </c>
    </row>
    <row r="8" spans="1:9">
      <c r="A8" s="4110"/>
      <c r="B8" s="4111" t="s">
        <v>2484</v>
      </c>
      <c r="C8" s="4111"/>
      <c r="D8" s="2472"/>
      <c r="E8" s="2470"/>
      <c r="F8" s="2473"/>
      <c r="G8" s="2473"/>
      <c r="H8" s="2474"/>
      <c r="I8" s="2475">
        <f t="shared" si="0"/>
        <v>0</v>
      </c>
    </row>
    <row r="9" spans="1:9">
      <c r="A9" s="4110"/>
      <c r="B9" s="4111" t="s">
        <v>2485</v>
      </c>
      <c r="C9" s="4111"/>
      <c r="D9" s="2472"/>
      <c r="E9" s="2470"/>
      <c r="F9" s="2473"/>
      <c r="G9" s="2473"/>
      <c r="H9" s="2474"/>
      <c r="I9" s="2475">
        <f t="shared" si="0"/>
        <v>0</v>
      </c>
    </row>
    <row r="10" spans="1:9">
      <c r="A10" s="4110"/>
      <c r="B10" s="4112" t="s">
        <v>2486</v>
      </c>
      <c r="C10" s="4112"/>
      <c r="D10" s="2476">
        <v>527</v>
      </c>
      <c r="E10" s="2476" t="e">
        <f>ROUND(D1*10000/D10/H9,0)</f>
        <v>#DIV/0!</v>
      </c>
      <c r="F10" s="2477"/>
      <c r="G10" s="2477"/>
      <c r="H10" s="2478"/>
      <c r="I10" s="2479">
        <f>SUM(I3:I9)</f>
        <v>0</v>
      </c>
    </row>
    <row r="11" spans="1:9" ht="14.25">
      <c r="A11" s="4110" t="s">
        <v>2487</v>
      </c>
      <c r="B11" s="4111" t="s">
        <v>2488</v>
      </c>
      <c r="C11" s="4111"/>
      <c r="D11" s="2472" t="s">
        <v>2489</v>
      </c>
      <c r="E11" s="2472" t="s">
        <v>2490</v>
      </c>
      <c r="F11" s="2473" t="s">
        <v>2491</v>
      </c>
      <c r="G11" s="2473" t="s">
        <v>2492</v>
      </c>
      <c r="H11" s="2480" t="s">
        <v>2493</v>
      </c>
      <c r="I11" s="2471" t="s">
        <v>2494</v>
      </c>
    </row>
    <row r="12" spans="1:9">
      <c r="A12" s="4110"/>
      <c r="B12" s="4111" t="s">
        <v>2495</v>
      </c>
      <c r="C12" s="4111"/>
      <c r="D12" s="2472"/>
      <c r="E12" s="2472"/>
      <c r="F12" s="2473"/>
      <c r="G12" s="2474"/>
      <c r="H12" s="2481"/>
      <c r="I12" s="2471">
        <f>ROUND(D12*E12*F12*G12/10000,0)</f>
        <v>0</v>
      </c>
    </row>
    <row r="13" spans="1:9">
      <c r="A13" s="4110"/>
      <c r="B13" s="4111" t="s">
        <v>2496</v>
      </c>
      <c r="C13" s="4111"/>
      <c r="D13" s="2472"/>
      <c r="E13" s="2472"/>
      <c r="F13" s="2473"/>
      <c r="G13" s="2474"/>
      <c r="H13" s="2481"/>
      <c r="I13" s="2471">
        <f>ROUND(D13*E13*F13*G13/10000,0)</f>
        <v>0</v>
      </c>
    </row>
    <row r="14" spans="1:9">
      <c r="A14" s="4110"/>
      <c r="B14" s="4111" t="s">
        <v>2497</v>
      </c>
      <c r="C14" s="4111"/>
      <c r="D14" s="2472"/>
      <c r="E14" s="2472"/>
      <c r="F14" s="2473"/>
      <c r="G14" s="2474"/>
      <c r="H14" s="2481"/>
      <c r="I14" s="2471">
        <f>ROUND(D14*E14*F14*G14/10000,0)</f>
        <v>0</v>
      </c>
    </row>
    <row r="15" spans="1:9">
      <c r="A15" s="4110"/>
      <c r="B15" s="4112" t="s">
        <v>2486</v>
      </c>
      <c r="C15" s="4112"/>
      <c r="D15" s="2476"/>
      <c r="E15" s="2476">
        <f>SUM(E12:E14)</f>
        <v>0</v>
      </c>
      <c r="F15" s="2477"/>
      <c r="G15" s="2474"/>
      <c r="H15" s="2481"/>
      <c r="I15" s="2482">
        <f>SUM(I12:I14)</f>
        <v>0</v>
      </c>
    </row>
    <row r="16" spans="1:9" ht="24">
      <c r="A16" s="4110" t="s">
        <v>2498</v>
      </c>
      <c r="B16" s="4111" t="s">
        <v>2499</v>
      </c>
      <c r="C16" s="4111"/>
      <c r="D16" s="2472" t="s">
        <v>2500</v>
      </c>
      <c r="E16" s="2483" t="s">
        <v>2501</v>
      </c>
      <c r="F16" s="2473" t="s">
        <v>2502</v>
      </c>
      <c r="G16" s="2474" t="s">
        <v>2492</v>
      </c>
      <c r="H16" s="2480" t="s">
        <v>2493</v>
      </c>
      <c r="I16" s="2471" t="s">
        <v>2494</v>
      </c>
    </row>
    <row r="17" spans="1:9" ht="14.25">
      <c r="A17" s="4110"/>
      <c r="B17" s="4111" t="s">
        <v>2503</v>
      </c>
      <c r="C17" s="4111"/>
      <c r="D17" s="2472"/>
      <c r="E17" s="2472"/>
      <c r="F17" s="2473"/>
      <c r="G17" s="2474"/>
      <c r="H17" s="2484"/>
      <c r="I17" s="2485">
        <f>ROUND(D17*E17*F17*G17/10000,0)</f>
        <v>0</v>
      </c>
    </row>
    <row r="18" spans="1:9" ht="14.25">
      <c r="A18" s="4110"/>
      <c r="B18" s="4111" t="s">
        <v>2504</v>
      </c>
      <c r="C18" s="4111"/>
      <c r="D18" s="2472"/>
      <c r="E18" s="2472"/>
      <c r="F18" s="2473"/>
      <c r="G18" s="2474"/>
      <c r="H18" s="2484"/>
      <c r="I18" s="2485">
        <f>ROUND(D18*E18*F18*G18/10000,0)</f>
        <v>0</v>
      </c>
    </row>
    <row r="19" spans="1:9" ht="14.25">
      <c r="A19" s="4110"/>
      <c r="B19" s="4111" t="s">
        <v>2505</v>
      </c>
      <c r="C19" s="4111"/>
      <c r="D19" s="2472"/>
      <c r="E19" s="2472"/>
      <c r="F19" s="2473"/>
      <c r="G19" s="2474"/>
      <c r="H19" s="2484"/>
      <c r="I19" s="2485">
        <f>ROUND(D19*E19*F19*G19/10000,0)</f>
        <v>0</v>
      </c>
    </row>
    <row r="20" spans="1:9">
      <c r="A20" s="4110"/>
      <c r="B20" s="4112" t="s">
        <v>2486</v>
      </c>
      <c r="C20" s="4112"/>
      <c r="D20" s="2476">
        <f>SUM(D17:D19)</f>
        <v>0</v>
      </c>
      <c r="E20" s="2476"/>
      <c r="F20" s="2477"/>
      <c r="G20" s="2474"/>
      <c r="H20" s="2481"/>
      <c r="I20" s="2482">
        <f>SUM(I17:I19)</f>
        <v>0</v>
      </c>
    </row>
    <row r="21" spans="1:9">
      <c r="A21" s="4110" t="s">
        <v>2506</v>
      </c>
      <c r="B21" s="4113"/>
      <c r="C21" s="4113"/>
      <c r="D21" s="4113"/>
      <c r="E21" s="4113"/>
      <c r="F21" s="4113"/>
      <c r="G21" s="4113"/>
      <c r="H21" s="2486">
        <v>0.1</v>
      </c>
      <c r="I21" s="2479">
        <f>ROUND(I10*H21,0)</f>
        <v>0</v>
      </c>
    </row>
    <row r="22" spans="1:9" ht="14.25">
      <c r="A22" s="4114" t="s">
        <v>2507</v>
      </c>
      <c r="B22" s="4115"/>
      <c r="C22" s="4116"/>
      <c r="D22" s="2487" t="s">
        <v>2508</v>
      </c>
      <c r="E22" s="2487" t="s">
        <v>2509</v>
      </c>
      <c r="F22" s="2488" t="s">
        <v>2510</v>
      </c>
      <c r="G22" s="2488" t="s">
        <v>2511</v>
      </c>
      <c r="H22" s="2480" t="s">
        <v>2512</v>
      </c>
      <c r="I22" s="2471" t="s">
        <v>2513</v>
      </c>
    </row>
    <row r="23" spans="1:9" ht="14.25" thickBot="1">
      <c r="A23" s="4117"/>
      <c r="B23" s="4118"/>
      <c r="C23" s="4119"/>
      <c r="D23" s="2489"/>
      <c r="E23" s="2489"/>
      <c r="F23" s="2489"/>
      <c r="G23" s="2490"/>
      <c r="H23" s="2491"/>
      <c r="I23" s="2492">
        <f>ROUND(E23*D23*F23*(1-G23)/10000,0)</f>
        <v>0</v>
      </c>
    </row>
    <row r="26" spans="1:9">
      <c r="A26" s="2493" t="s">
        <v>2514</v>
      </c>
      <c r="B26" s="2493"/>
      <c r="C26" s="2493"/>
      <c r="D26" s="2493"/>
      <c r="E26" s="4107">
        <f>C27-C30-C31-C32</f>
        <v>0</v>
      </c>
      <c r="F26" s="4107"/>
      <c r="G26" s="4107"/>
      <c r="H26" s="2992" t="s">
        <v>2842</v>
      </c>
    </row>
    <row r="27" spans="1:9">
      <c r="A27" s="2494">
        <v>1</v>
      </c>
      <c r="B27" s="2495" t="s">
        <v>2515</v>
      </c>
      <c r="C27" s="2495"/>
      <c r="D27" s="2495"/>
      <c r="E27" s="4108"/>
      <c r="F27" s="4108"/>
      <c r="G27" s="4108"/>
    </row>
    <row r="28" spans="1:9">
      <c r="A28" s="2496" t="s">
        <v>2516</v>
      </c>
      <c r="B28" s="2495" t="s">
        <v>2517</v>
      </c>
      <c r="C28" s="2495"/>
      <c r="D28" s="2495"/>
      <c r="E28" s="4108"/>
      <c r="F28" s="4108"/>
      <c r="G28" s="4108"/>
    </row>
    <row r="29" spans="1:9">
      <c r="A29" s="2496" t="s">
        <v>2518</v>
      </c>
      <c r="B29" s="2495" t="s">
        <v>2459</v>
      </c>
      <c r="C29" s="2495"/>
      <c r="D29" s="2495"/>
      <c r="E29" s="2495" t="s">
        <v>2519</v>
      </c>
      <c r="F29" s="2495"/>
      <c r="G29" s="2495"/>
    </row>
    <row r="30" spans="1:9">
      <c r="A30" s="2494">
        <v>2</v>
      </c>
      <c r="B30" s="2495" t="s">
        <v>2520</v>
      </c>
      <c r="C30" s="2495">
        <f>C27*D30</f>
        <v>0</v>
      </c>
      <c r="D30" s="2497">
        <v>0.2</v>
      </c>
      <c r="E30" s="2495" t="s">
        <v>2521</v>
      </c>
      <c r="F30" s="2495"/>
      <c r="G30" s="2495"/>
    </row>
    <row r="31" spans="1:9">
      <c r="A31" s="2494">
        <v>3</v>
      </c>
      <c r="B31" s="2495" t="s">
        <v>2522</v>
      </c>
      <c r="C31" s="2495">
        <f>C25*D31</f>
        <v>0</v>
      </c>
      <c r="D31" s="2497">
        <v>0.15</v>
      </c>
      <c r="E31" s="2495" t="s">
        <v>2523</v>
      </c>
      <c r="F31" s="2495"/>
      <c r="G31" s="2495"/>
    </row>
    <row r="32" spans="1:9">
      <c r="A32" s="2494">
        <v>4</v>
      </c>
      <c r="B32" s="2495" t="s">
        <v>2524</v>
      </c>
      <c r="C32" s="2495">
        <f>C27*D32</f>
        <v>0</v>
      </c>
      <c r="D32" s="2497">
        <v>0.05</v>
      </c>
      <c r="E32" s="4109"/>
      <c r="F32" s="4109"/>
      <c r="G32" s="4109"/>
    </row>
    <row r="33" spans="1:7" hidden="1">
      <c r="A33" s="4104" t="s">
        <v>2525</v>
      </c>
      <c r="B33" s="4105"/>
      <c r="C33" s="4105"/>
      <c r="D33" s="4106"/>
      <c r="E33" s="4107"/>
      <c r="F33" s="4107"/>
      <c r="G33" s="4107"/>
    </row>
    <row r="34" spans="1:7" hidden="1">
      <c r="A34" s="2498">
        <v>1</v>
      </c>
      <c r="B34" s="2495" t="s">
        <v>2526</v>
      </c>
      <c r="C34" s="2495"/>
      <c r="D34" s="2495"/>
      <c r="E34" s="4108"/>
      <c r="F34" s="4108"/>
      <c r="G34" s="4108"/>
    </row>
    <row r="35" spans="1:7" hidden="1">
      <c r="A35" s="2498">
        <v>2</v>
      </c>
      <c r="B35" s="2495" t="s">
        <v>2527</v>
      </c>
      <c r="C35" s="2495"/>
      <c r="D35" s="2495"/>
      <c r="E35" s="4108"/>
      <c r="F35" s="4108"/>
      <c r="G35" s="4108"/>
    </row>
    <row r="36" spans="1:7" hidden="1">
      <c r="A36" s="2498">
        <v>3</v>
      </c>
      <c r="B36" s="2495" t="s">
        <v>2528</v>
      </c>
      <c r="C36" s="2495"/>
      <c r="D36" s="2495"/>
      <c r="E36" s="4108"/>
      <c r="F36" s="4108"/>
      <c r="G36" s="4108"/>
    </row>
    <row r="37" spans="1:7" hidden="1">
      <c r="A37" s="2498">
        <v>4</v>
      </c>
      <c r="B37" s="2495" t="s">
        <v>2529</v>
      </c>
      <c r="C37" s="2495"/>
      <c r="D37" s="2495"/>
      <c r="E37" s="4108"/>
      <c r="F37" s="4108"/>
      <c r="G37" s="4108"/>
    </row>
    <row r="38" spans="1:7" hidden="1">
      <c r="A38" s="4104" t="s">
        <v>2530</v>
      </c>
      <c r="B38" s="4105"/>
      <c r="C38" s="4105"/>
      <c r="D38" s="4106"/>
      <c r="E38" s="4107"/>
      <c r="F38" s="4107"/>
      <c r="G38" s="410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0" t="s">
        <v>603</v>
      </c>
      <c r="B1" s="741"/>
      <c r="C1" s="2166"/>
      <c r="D1" s="2166"/>
      <c r="E1" s="2166"/>
      <c r="F1" s="2166"/>
      <c r="G1" s="2092"/>
    </row>
    <row r="2" spans="1:25" s="2043" customFormat="1" ht="18" customHeight="1">
      <c r="A2" s="422" t="s">
        <v>467</v>
      </c>
      <c r="B2" s="424">
        <f ca="1">C23</f>
        <v>0</v>
      </c>
      <c r="C2" s="2092"/>
      <c r="D2" s="2092"/>
      <c r="E2" s="2092"/>
      <c r="F2" s="2092"/>
      <c r="G2" s="2092"/>
    </row>
    <row r="3" spans="1:25" s="2043" customFormat="1" ht="18" customHeight="1">
      <c r="A3" s="1374" t="s">
        <v>1685</v>
      </c>
      <c r="B3" s="424">
        <f ca="1">ROUND(B2*10000/'数据-汇总表'!E3,0)</f>
        <v>0</v>
      </c>
      <c r="C3" s="2092"/>
      <c r="D3" s="2092"/>
      <c r="E3" s="2092"/>
      <c r="F3" s="2092"/>
      <c r="G3" s="2092"/>
    </row>
    <row r="4" spans="1:25" s="2043" customFormat="1" ht="18" customHeight="1">
      <c r="A4" s="425" t="s">
        <v>468</v>
      </c>
      <c r="B4" s="426">
        <f ca="1">ROUND(B2*10000/'数据-汇总表'!D3,0)</f>
        <v>0</v>
      </c>
      <c r="C4" s="2045"/>
      <c r="D4" s="2092"/>
      <c r="E4" s="2092"/>
      <c r="F4" s="2092"/>
      <c r="G4" s="2092"/>
    </row>
    <row r="5" spans="1:25" s="2043" customFormat="1" ht="18" customHeight="1" thickBot="1">
      <c r="A5" s="428"/>
      <c r="B5" s="429">
        <f ca="1">ROUND(B2/('数据-汇总表'!D3/666.67),0)</f>
        <v>0</v>
      </c>
      <c r="C5" s="430" t="s">
        <v>469</v>
      </c>
      <c r="D5" s="2092"/>
      <c r="E5" s="2092"/>
      <c r="F5" s="2092"/>
      <c r="G5" s="2092"/>
    </row>
    <row r="6" spans="1:25" s="2167" customFormat="1" ht="13.5" customHeight="1">
      <c r="A6" s="742"/>
      <c r="B6" s="743" t="s">
        <v>604</v>
      </c>
      <c r="C6" s="744" t="s">
        <v>605</v>
      </c>
      <c r="D6" s="744" t="s">
        <v>606</v>
      </c>
      <c r="E6" s="745" t="s">
        <v>607</v>
      </c>
      <c r="F6" s="745" t="s">
        <v>608</v>
      </c>
      <c r="G6" s="746"/>
    </row>
    <row r="7" spans="1:25" s="2167" customFormat="1" ht="13.5" customHeight="1">
      <c r="A7" s="2432">
        <v>1</v>
      </c>
      <c r="B7" s="747" t="s">
        <v>609</v>
      </c>
      <c r="C7" s="748">
        <f>C8+C9</f>
        <v>0</v>
      </c>
      <c r="D7" s="748"/>
      <c r="E7" s="749"/>
      <c r="F7" s="749"/>
      <c r="G7" s="2442"/>
    </row>
    <row r="8" spans="1:25" s="2167" customFormat="1" ht="13.5" customHeight="1">
      <c r="A8" s="2432" t="s">
        <v>2440</v>
      </c>
      <c r="B8" s="2435" t="s">
        <v>2442</v>
      </c>
      <c r="C8" s="2436"/>
      <c r="D8" s="748"/>
      <c r="E8" s="749"/>
      <c r="F8" s="749"/>
      <c r="G8" s="750"/>
    </row>
    <row r="9" spans="1:25" s="2167" customFormat="1" ht="13.5" customHeight="1">
      <c r="A9" s="2432" t="s">
        <v>2441</v>
      </c>
      <c r="B9" s="2435" t="s">
        <v>2443</v>
      </c>
      <c r="C9" s="2436"/>
      <c r="D9" s="748"/>
      <c r="E9" s="749"/>
      <c r="F9" s="749"/>
      <c r="G9" s="750"/>
    </row>
    <row r="10" spans="1:25" s="2167" customFormat="1" ht="36">
      <c r="A10" s="2432">
        <v>2</v>
      </c>
      <c r="B10" s="747" t="s">
        <v>613</v>
      </c>
      <c r="C10" s="748">
        <f>C11+C14+C15</f>
        <v>0</v>
      </c>
      <c r="D10" s="759">
        <f>'数据-汇总表'!E3</f>
        <v>163564.33000000002</v>
      </c>
      <c r="E10" s="748">
        <f>'数据-取费表'!B31</f>
        <v>200</v>
      </c>
      <c r="F10" s="760"/>
      <c r="G10" s="758" t="s">
        <v>614</v>
      </c>
    </row>
    <row r="11" spans="1:25" s="2167" customFormat="1" ht="13.5" customHeight="1">
      <c r="A11" s="2432" t="s">
        <v>2440</v>
      </c>
      <c r="B11" s="751" t="s">
        <v>610</v>
      </c>
      <c r="C11" s="752">
        <f>'数据-取费表'!B29</f>
        <v>0</v>
      </c>
      <c r="D11" s="753"/>
      <c r="E11" s="752"/>
      <c r="F11" s="754"/>
      <c r="G11" s="2441" t="s">
        <v>2451</v>
      </c>
    </row>
    <row r="12" spans="1:25" s="2167" customFormat="1" ht="13.5" customHeight="1">
      <c r="A12" s="2439" t="s">
        <v>2448</v>
      </c>
      <c r="B12" s="755" t="s">
        <v>611</v>
      </c>
      <c r="C12" s="756">
        <f>ROUND(D12*E12/10000,0)</f>
        <v>2196</v>
      </c>
      <c r="D12" s="757">
        <f>'数据-汇总表'!E5</f>
        <v>122022.8</v>
      </c>
      <c r="E12" s="756">
        <f>'数据-取费表'!B27</f>
        <v>180</v>
      </c>
      <c r="F12" s="754"/>
      <c r="G12" s="758"/>
    </row>
    <row r="13" spans="1:25" s="2167" customFormat="1" ht="13.5" customHeight="1">
      <c r="A13" s="2439" t="s">
        <v>2447</v>
      </c>
      <c r="B13" s="755" t="s">
        <v>612</v>
      </c>
      <c r="C13" s="756">
        <f>ROUND(D13*E13/10000,0)</f>
        <v>748</v>
      </c>
      <c r="D13" s="757">
        <f>'数据-汇总表'!E6</f>
        <v>41541.530000000013</v>
      </c>
      <c r="E13" s="756">
        <f>'数据-取费表'!B28</f>
        <v>180</v>
      </c>
      <c r="F13" s="754"/>
      <c r="G13" s="758"/>
    </row>
    <row r="14" spans="1:25" s="2167" customFormat="1" ht="13.5" customHeight="1">
      <c r="A14" s="2432" t="s">
        <v>2441</v>
      </c>
      <c r="B14" s="2438" t="s">
        <v>2444</v>
      </c>
      <c r="C14" s="2436"/>
      <c r="D14" s="757"/>
      <c r="E14" s="756"/>
      <c r="F14" s="2437"/>
      <c r="G14" s="2440" t="s">
        <v>2449</v>
      </c>
    </row>
    <row r="15" spans="1:25" s="2167" customFormat="1" ht="13.5" customHeight="1">
      <c r="A15" s="2432" t="s">
        <v>2446</v>
      </c>
      <c r="B15" s="2438" t="s">
        <v>2445</v>
      </c>
      <c r="C15" s="2436"/>
      <c r="D15" s="757"/>
      <c r="E15" s="756"/>
      <c r="F15" s="2437"/>
      <c r="G15" s="2440" t="s">
        <v>2450</v>
      </c>
    </row>
    <row r="16" spans="1:25" s="2168" customFormat="1" ht="48">
      <c r="A16" s="2432">
        <v>3</v>
      </c>
      <c r="B16" s="747" t="s">
        <v>615</v>
      </c>
      <c r="C16" s="2436"/>
      <c r="D16" s="759"/>
      <c r="E16" s="748"/>
      <c r="F16" s="760"/>
      <c r="G16" s="758" t="s">
        <v>2452</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7" t="s">
        <v>616</v>
      </c>
      <c r="C17" s="2536">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7" t="s">
        <v>617</v>
      </c>
      <c r="C18" s="748">
        <f>ROUND((C7+C10+C16)*F18,0)</f>
        <v>0</v>
      </c>
      <c r="D18" s="761"/>
      <c r="E18" s="762"/>
      <c r="F18" s="760">
        <f>'数据-取费表'!Q16</f>
        <v>0.13</v>
      </c>
      <c r="G18" s="764" t="s">
        <v>618</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7" t="s">
        <v>619</v>
      </c>
      <c r="C19" s="748">
        <f ca="1">C7+C10+C16+C17+C18</f>
        <v>0</v>
      </c>
      <c r="D19" s="759"/>
      <c r="E19" s="748"/>
      <c r="F19" s="760"/>
      <c r="G19" s="764" t="s">
        <v>620</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7" t="s">
        <v>621</v>
      </c>
      <c r="C20" s="748">
        <f ca="1">ROUND(C19*F20,0)</f>
        <v>0</v>
      </c>
      <c r="D20" s="759"/>
      <c r="E20" s="748"/>
      <c r="F20" s="1344"/>
      <c r="G20" s="764" t="s">
        <v>622</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7" t="s">
        <v>623</v>
      </c>
      <c r="C21" s="748">
        <f ca="1">C19+C20</f>
        <v>0</v>
      </c>
      <c r="D21" s="759"/>
      <c r="E21" s="748"/>
      <c r="F21" s="760"/>
      <c r="G21" s="764" t="s">
        <v>624</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7" t="s">
        <v>625</v>
      </c>
      <c r="C22" s="748">
        <f ca="1">ROUND(C21*F22,0)</f>
        <v>0</v>
      </c>
      <c r="D22" s="759"/>
      <c r="E22" s="748"/>
      <c r="F22" s="765">
        <f>'数据-取费表'!AP16</f>
        <v>0.83599999999999997</v>
      </c>
      <c r="G22" s="764" t="s">
        <v>626</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6" t="s">
        <v>627</v>
      </c>
      <c r="C23" s="767">
        <f ca="1">C22</f>
        <v>0</v>
      </c>
      <c r="D23" s="768"/>
      <c r="E23" s="767"/>
      <c r="F23" s="769"/>
      <c r="G23" s="770"/>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22" zoomScale="80" zoomScaleNormal="80" workbookViewId="0">
      <selection activeCell="G15" sqref="G15"/>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502" t="s">
        <v>757</v>
      </c>
      <c r="C1" s="503" t="s">
        <v>720</v>
      </c>
      <c r="D1" s="2333" t="s">
        <v>2997</v>
      </c>
      <c r="E1" s="505"/>
      <c r="F1" s="2761" t="s">
        <v>3048</v>
      </c>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467</v>
      </c>
      <c r="B2" s="849">
        <f>ROUND(B3*D3/10000,0)</f>
        <v>9543</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8" t="s">
        <v>519</v>
      </c>
      <c r="B3" s="509">
        <f>C49</f>
        <v>10514</v>
      </c>
      <c r="C3" s="851" t="s">
        <v>722</v>
      </c>
      <c r="D3" s="850">
        <f>'数据-汇总表'!F20</f>
        <v>9076.16</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7"/>
    </row>
    <row r="4" spans="1:29" ht="15">
      <c r="A4" s="511" t="s">
        <v>521</v>
      </c>
      <c r="B4" s="512"/>
      <c r="C4" s="4023" t="s">
        <v>522</v>
      </c>
      <c r="D4" s="4024"/>
      <c r="E4" s="4047" t="s">
        <v>523</v>
      </c>
      <c r="F4" s="4048"/>
      <c r="G4" s="4023" t="s">
        <v>524</v>
      </c>
      <c r="H4" s="4024"/>
      <c r="I4" s="4023" t="s">
        <v>525</v>
      </c>
      <c r="J4" s="4024"/>
      <c r="K4" s="513" t="s">
        <v>526</v>
      </c>
      <c r="L4" s="2117"/>
      <c r="M4" s="2118"/>
      <c r="N4" s="2118"/>
      <c r="O4" s="2118"/>
      <c r="P4" s="4025" t="s">
        <v>527</v>
      </c>
      <c r="Q4" s="4026"/>
      <c r="R4" s="4011" t="s">
        <v>523</v>
      </c>
      <c r="S4" s="4012"/>
      <c r="T4" s="4011" t="s">
        <v>524</v>
      </c>
      <c r="U4" s="4012"/>
      <c r="V4" s="4031" t="s">
        <v>525</v>
      </c>
      <c r="W4" s="4031"/>
      <c r="X4" s="1552"/>
      <c r="Y4" s="4011" t="s">
        <v>527</v>
      </c>
      <c r="Z4" s="4012"/>
      <c r="AA4" s="4006" t="s">
        <v>523</v>
      </c>
      <c r="AB4" s="4031" t="s">
        <v>524</v>
      </c>
      <c r="AC4" s="4006" t="s">
        <v>525</v>
      </c>
    </row>
    <row r="5" spans="1:29" ht="15">
      <c r="A5" s="514"/>
      <c r="B5" s="515"/>
      <c r="C5" s="4034" t="s">
        <v>2926</v>
      </c>
      <c r="D5" s="4035"/>
      <c r="E5" s="4097" t="s">
        <v>3553</v>
      </c>
      <c r="F5" s="4050"/>
      <c r="G5" s="4098" t="s">
        <v>3321</v>
      </c>
      <c r="H5" s="4035"/>
      <c r="I5" s="4098" t="s">
        <v>3345</v>
      </c>
      <c r="J5" s="4035"/>
      <c r="K5" s="513"/>
      <c r="L5" s="2117"/>
      <c r="M5" s="2118"/>
      <c r="N5" s="2118"/>
      <c r="O5" s="2118"/>
      <c r="P5" s="4027"/>
      <c r="Q5" s="4028"/>
      <c r="R5" s="4013"/>
      <c r="S5" s="4014"/>
      <c r="T5" s="4013"/>
      <c r="U5" s="4014"/>
      <c r="V5" s="4031"/>
      <c r="W5" s="4031"/>
      <c r="X5" s="1552"/>
      <c r="Y5" s="4013"/>
      <c r="Z5" s="4014"/>
      <c r="AA5" s="4007"/>
      <c r="AB5" s="4031"/>
      <c r="AC5" s="4007"/>
    </row>
    <row r="6" spans="1:29" ht="15.75" thickBot="1">
      <c r="A6" s="516"/>
      <c r="B6" s="517"/>
      <c r="C6" s="4032" t="s">
        <v>2930</v>
      </c>
      <c r="D6" s="4033"/>
      <c r="E6" s="4051" t="s">
        <v>2930</v>
      </c>
      <c r="F6" s="4052"/>
      <c r="G6" s="4032" t="s">
        <v>2930</v>
      </c>
      <c r="H6" s="4033"/>
      <c r="I6" s="4032" t="s">
        <v>2930</v>
      </c>
      <c r="J6" s="4033"/>
      <c r="K6" s="513" t="s">
        <v>528</v>
      </c>
      <c r="L6" s="2117"/>
      <c r="M6" s="2118"/>
      <c r="N6" s="2118"/>
      <c r="O6" s="2118"/>
      <c r="P6" s="4029"/>
      <c r="Q6" s="4030"/>
      <c r="R6" s="4013"/>
      <c r="S6" s="4014"/>
      <c r="T6" s="4015"/>
      <c r="U6" s="4016"/>
      <c r="V6" s="4031"/>
      <c r="W6" s="4031"/>
      <c r="X6" s="1552"/>
      <c r="Y6" s="4015"/>
      <c r="Z6" s="4016"/>
      <c r="AA6" s="4008"/>
      <c r="AB6" s="4031"/>
      <c r="AC6" s="4008"/>
    </row>
    <row r="7" spans="1:29" s="1215" customFormat="1" ht="15.75" thickBot="1">
      <c r="A7" s="2865"/>
      <c r="B7" s="2872" t="s">
        <v>529</v>
      </c>
      <c r="C7" s="518">
        <f>'数据-取费表'!B2</f>
        <v>43647</v>
      </c>
      <c r="D7" s="519">
        <v>100</v>
      </c>
      <c r="E7" s="520">
        <f>C7</f>
        <v>43647</v>
      </c>
      <c r="F7" s="521">
        <f>SUMIF(58:58,YEAR(E7)&amp;"-"&amp;MONTH(E7),59:59)</f>
        <v>100</v>
      </c>
      <c r="G7" s="520">
        <f>C7</f>
        <v>43647</v>
      </c>
      <c r="H7" s="519">
        <f>SUMIF(58:58,YEAR(G7)&amp;"-"&amp;MONTH(G7),59:59)</f>
        <v>100</v>
      </c>
      <c r="I7" s="520">
        <f>C7</f>
        <v>43647</v>
      </c>
      <c r="J7" s="519">
        <f>SUMIF(58:58,YEAR(I7)&amp;"-"&amp;MONTH(I7),59:59)</f>
        <v>100</v>
      </c>
      <c r="K7" s="523"/>
      <c r="L7" s="2119"/>
      <c r="M7" s="2120"/>
      <c r="N7" s="2120"/>
      <c r="O7" s="2120"/>
      <c r="P7" s="4009" t="s">
        <v>530</v>
      </c>
      <c r="Q7" s="4018"/>
      <c r="R7" s="1553" t="s">
        <v>8</v>
      </c>
      <c r="S7" s="1554">
        <f t="shared" ref="S7:S15" si="0">F7</f>
        <v>100</v>
      </c>
      <c r="T7" s="1553" t="s">
        <v>8</v>
      </c>
      <c r="U7" s="1554">
        <f t="shared" ref="U7:U15" si="1">H7</f>
        <v>100</v>
      </c>
      <c r="V7" s="1553" t="s">
        <v>8</v>
      </c>
      <c r="W7" s="1554">
        <f t="shared" ref="W7:W15" si="2">J7</f>
        <v>100</v>
      </c>
      <c r="X7" s="1555"/>
      <c r="Y7" s="4009" t="s">
        <v>530</v>
      </c>
      <c r="Z7" s="4010"/>
      <c r="AA7" s="1556">
        <f>D7/F7</f>
        <v>1</v>
      </c>
      <c r="AB7" s="1556">
        <f>D7/H7</f>
        <v>1</v>
      </c>
      <c r="AC7" s="1556">
        <f>D7/J7</f>
        <v>1</v>
      </c>
    </row>
    <row r="8" spans="1:29" s="1215" customFormat="1" ht="15.75" thickBot="1">
      <c r="A8" s="2866"/>
      <c r="B8" s="2873" t="s">
        <v>531</v>
      </c>
      <c r="C8" s="524" t="s">
        <v>576</v>
      </c>
      <c r="D8" s="519">
        <v>100</v>
      </c>
      <c r="E8" s="524" t="s">
        <v>3012</v>
      </c>
      <c r="F8" s="521">
        <f>SUMIF(61:61,E8,62:62)-SUMIF(61:61,C8,62:62)+100</f>
        <v>100</v>
      </c>
      <c r="G8" s="524" t="s">
        <v>3012</v>
      </c>
      <c r="H8" s="519">
        <f>SUMIF(61:61,G8,62:62)-SUMIF(61:61,C8,62:62)+100</f>
        <v>100</v>
      </c>
      <c r="I8" s="524" t="s">
        <v>3012</v>
      </c>
      <c r="J8" s="519">
        <f>SUMIF(61:61,I8,62:62)-SUMIF(61:61,C8,62:62)+100</f>
        <v>100</v>
      </c>
      <c r="K8" s="523"/>
      <c r="L8" s="2119"/>
      <c r="M8" s="2120"/>
      <c r="N8" s="2120"/>
      <c r="O8" s="2120"/>
      <c r="P8" s="4009" t="s">
        <v>533</v>
      </c>
      <c r="Q8" s="4010"/>
      <c r="R8" s="1553" t="s">
        <v>8</v>
      </c>
      <c r="S8" s="1554">
        <f t="shared" si="0"/>
        <v>100</v>
      </c>
      <c r="T8" s="1553" t="s">
        <v>8</v>
      </c>
      <c r="U8" s="1554">
        <f t="shared" si="1"/>
        <v>100</v>
      </c>
      <c r="V8" s="1553" t="s">
        <v>8</v>
      </c>
      <c r="W8" s="1554">
        <f t="shared" si="2"/>
        <v>100</v>
      </c>
      <c r="X8" s="1555"/>
      <c r="Y8" s="4009" t="s">
        <v>533</v>
      </c>
      <c r="Z8" s="4010"/>
      <c r="AA8" s="1556">
        <f t="shared" ref="AA8:AA46" si="3">D8/F8</f>
        <v>1</v>
      </c>
      <c r="AB8" s="1556">
        <f t="shared" ref="AB8:AB46" si="4">D8/H8</f>
        <v>1</v>
      </c>
      <c r="AC8" s="1556">
        <f t="shared" ref="AC8:AC46" si="5">D8/J8</f>
        <v>1</v>
      </c>
    </row>
    <row r="9" spans="1:29" s="1215" customFormat="1" ht="15">
      <c r="A9" s="2867"/>
      <c r="B9" s="2874" t="s">
        <v>2755</v>
      </c>
      <c r="C9" s="3184" t="s">
        <v>3551</v>
      </c>
      <c r="D9" s="253">
        <v>100</v>
      </c>
      <c r="E9" s="859" t="s">
        <v>2997</v>
      </c>
      <c r="F9" s="253">
        <f>SUMIF(63:63,E9,64:64)-SUMIF(63:63,C9,64:64)+100</f>
        <v>100</v>
      </c>
      <c r="G9" s="857" t="s">
        <v>2997</v>
      </c>
      <c r="H9" s="253">
        <f>SUMIF(63:63,G9,64:64)-SUMIF(63:63,C9,64:64)+100</f>
        <v>100</v>
      </c>
      <c r="I9" s="857" t="s">
        <v>2997</v>
      </c>
      <c r="J9" s="253">
        <f>SUMIF(63:63,I9,64:64)-SUMIF(63:63,C9,64:64)+100</f>
        <v>100</v>
      </c>
      <c r="K9" s="523"/>
      <c r="L9" s="2119"/>
      <c r="M9" s="2120"/>
      <c r="N9" s="2120"/>
      <c r="O9" s="2121"/>
      <c r="P9" s="4017" t="s">
        <v>535</v>
      </c>
      <c r="Q9" s="1146" t="str">
        <f t="shared" ref="Q9:Q15" si="6">B9</f>
        <v>用途</v>
      </c>
      <c r="R9" s="1553" t="s">
        <v>8</v>
      </c>
      <c r="S9" s="1554">
        <f t="shared" si="0"/>
        <v>100</v>
      </c>
      <c r="T9" s="1553" t="s">
        <v>8</v>
      </c>
      <c r="U9" s="1554">
        <f t="shared" si="1"/>
        <v>100</v>
      </c>
      <c r="V9" s="1553" t="s">
        <v>8</v>
      </c>
      <c r="W9" s="1554">
        <f t="shared" si="2"/>
        <v>100</v>
      </c>
      <c r="X9" s="1555"/>
      <c r="Y9" s="3974" t="s">
        <v>536</v>
      </c>
      <c r="Z9" s="1145" t="str">
        <f t="shared" ref="Z9:Z15" si="7">Q9</f>
        <v>用途</v>
      </c>
      <c r="AA9" s="1556">
        <f t="shared" si="3"/>
        <v>1</v>
      </c>
      <c r="AB9" s="1556">
        <f t="shared" si="4"/>
        <v>1</v>
      </c>
      <c r="AC9" s="1556">
        <f t="shared" si="5"/>
        <v>1</v>
      </c>
    </row>
    <row r="10" spans="1:29" s="1333" customFormat="1" ht="27">
      <c r="A10" s="2868"/>
      <c r="B10" s="2873" t="s">
        <v>2756</v>
      </c>
      <c r="C10" s="860" t="s">
        <v>3552</v>
      </c>
      <c r="D10" s="254">
        <v>100</v>
      </c>
      <c r="E10" s="860" t="s">
        <v>3552</v>
      </c>
      <c r="F10" s="254">
        <f>SUMIF(65:65,E10,66:66)-SUMIF(65:65,C10,66:66)+100</f>
        <v>100</v>
      </c>
      <c r="G10" s="861" t="s">
        <v>3552</v>
      </c>
      <c r="H10" s="254">
        <f>SUMIF(65:65,G10,66:66)-SUMIF(65:65,C10,66:66)+100</f>
        <v>100</v>
      </c>
      <c r="I10" s="860" t="s">
        <v>3552</v>
      </c>
      <c r="J10" s="254">
        <f>SUMIF(65:65,I10,66:66)-SUMIF(65:65,C10,66:66)+100</f>
        <v>100</v>
      </c>
      <c r="K10" s="583">
        <v>2</v>
      </c>
      <c r="L10" s="2122"/>
      <c r="M10" s="2162"/>
      <c r="N10" s="2162"/>
      <c r="O10" s="2123"/>
      <c r="P10" s="4017"/>
      <c r="Q10" s="1146" t="str">
        <f t="shared" si="6"/>
        <v>土地使用年限（年）</v>
      </c>
      <c r="R10" s="1553" t="s">
        <v>8</v>
      </c>
      <c r="S10" s="1554">
        <f t="shared" si="0"/>
        <v>100</v>
      </c>
      <c r="T10" s="1553" t="s">
        <v>8</v>
      </c>
      <c r="U10" s="1554">
        <f t="shared" si="1"/>
        <v>100</v>
      </c>
      <c r="V10" s="1553" t="s">
        <v>8</v>
      </c>
      <c r="W10" s="1554">
        <f t="shared" si="2"/>
        <v>100</v>
      </c>
      <c r="X10" s="1555"/>
      <c r="Y10" s="3974"/>
      <c r="Z10" s="1145" t="str">
        <f t="shared" si="7"/>
        <v>土地使用年限（年）</v>
      </c>
      <c r="AA10" s="1556">
        <f t="shared" si="3"/>
        <v>1</v>
      </c>
      <c r="AB10" s="1556">
        <f t="shared" si="4"/>
        <v>1</v>
      </c>
      <c r="AC10" s="1556">
        <f t="shared" si="5"/>
        <v>1</v>
      </c>
    </row>
    <row r="11" spans="1:29" ht="15">
      <c r="A11" s="2869"/>
      <c r="B11" s="2873" t="s">
        <v>2757</v>
      </c>
      <c r="C11" s="532">
        <v>4.8</v>
      </c>
      <c r="D11" s="254">
        <v>100</v>
      </c>
      <c r="E11" s="532">
        <v>2.6</v>
      </c>
      <c r="F11" s="254">
        <f>LOOKUP(E11,68:68,69:69)-LOOKUP(C11,68:68,69:69)+100</f>
        <v>104</v>
      </c>
      <c r="G11" s="533">
        <v>3</v>
      </c>
      <c r="H11" s="254">
        <f>LOOKUP(G11,68:68,69:69)-LOOKUP(C11,68:68,69:69)+100</f>
        <v>102</v>
      </c>
      <c r="I11" s="532">
        <v>2.39</v>
      </c>
      <c r="J11" s="254">
        <f>LOOKUP(I11,68:68,69:69)-LOOKUP(C11,68:68,69:69)+100</f>
        <v>104</v>
      </c>
      <c r="K11" s="583">
        <v>2</v>
      </c>
      <c r="L11" s="2124"/>
      <c r="M11" s="2118"/>
      <c r="N11" s="2118"/>
      <c r="O11" s="2125"/>
      <c r="P11" s="4017"/>
      <c r="Q11" s="1146" t="str">
        <f t="shared" si="6"/>
        <v>容积率</v>
      </c>
      <c r="R11" s="1553" t="s">
        <v>8</v>
      </c>
      <c r="S11" s="1554">
        <f t="shared" si="0"/>
        <v>104</v>
      </c>
      <c r="T11" s="1553" t="s">
        <v>8</v>
      </c>
      <c r="U11" s="1554">
        <f t="shared" si="1"/>
        <v>102</v>
      </c>
      <c r="V11" s="1553" t="s">
        <v>8</v>
      </c>
      <c r="W11" s="1554">
        <f t="shared" si="2"/>
        <v>104</v>
      </c>
      <c r="X11" s="1555"/>
      <c r="Y11" s="3974"/>
      <c r="Z11" s="1145" t="str">
        <f t="shared" si="7"/>
        <v>容积率</v>
      </c>
      <c r="AA11" s="1556">
        <f t="shared" si="3"/>
        <v>0.96153846153846156</v>
      </c>
      <c r="AB11" s="1556">
        <f t="shared" si="4"/>
        <v>0.98039215686274506</v>
      </c>
      <c r="AC11" s="1556">
        <f t="shared" si="5"/>
        <v>0.96153846153846156</v>
      </c>
    </row>
    <row r="12" spans="1:29" s="1215" customFormat="1" ht="15">
      <c r="A12" s="2870"/>
      <c r="B12" s="2876">
        <v>111</v>
      </c>
      <c r="C12" s="527"/>
      <c r="D12" s="537">
        <v>100</v>
      </c>
      <c r="E12" s="538"/>
      <c r="F12" s="254">
        <f>SUMIF(70:70,E12,71:71)-SUMIF(70:70,C12,71:71)+100</f>
        <v>100</v>
      </c>
      <c r="G12" s="911"/>
      <c r="H12" s="254">
        <f>SUMIF(70:70,G12,71:71)-SUMIF(70:70,C12,71:71)+100</f>
        <v>100</v>
      </c>
      <c r="I12" s="538"/>
      <c r="J12" s="254">
        <f>SUMIF(70:70,I12,71:71)-SUMIF(70:70,C12,71:71)+100</f>
        <v>100</v>
      </c>
      <c r="K12" s="580"/>
      <c r="L12" s="2119"/>
      <c r="M12" s="2120"/>
      <c r="N12" s="2120"/>
      <c r="O12" s="2121"/>
      <c r="P12" s="4017"/>
      <c r="Q12" s="1146">
        <f t="shared" si="6"/>
        <v>111</v>
      </c>
      <c r="R12" s="1553" t="s">
        <v>8</v>
      </c>
      <c r="S12" s="1554">
        <f t="shared" si="0"/>
        <v>100</v>
      </c>
      <c r="T12" s="1553" t="s">
        <v>8</v>
      </c>
      <c r="U12" s="1554">
        <f t="shared" si="1"/>
        <v>100</v>
      </c>
      <c r="V12" s="1553" t="s">
        <v>8</v>
      </c>
      <c r="W12" s="1554">
        <f t="shared" si="2"/>
        <v>100</v>
      </c>
      <c r="X12" s="1555"/>
      <c r="Y12" s="3974"/>
      <c r="Z12" s="1145">
        <f t="shared" si="7"/>
        <v>111</v>
      </c>
      <c r="AA12" s="1556">
        <f>D12/F12</f>
        <v>1</v>
      </c>
      <c r="AB12" s="1556">
        <f>D12/H12</f>
        <v>1</v>
      </c>
      <c r="AC12" s="1556">
        <f>D12/J12</f>
        <v>1</v>
      </c>
    </row>
    <row r="13" spans="1:29" ht="15">
      <c r="A13" s="2870"/>
      <c r="B13" s="2876">
        <v>111</v>
      </c>
      <c r="C13" s="538"/>
      <c r="D13" s="539">
        <v>100</v>
      </c>
      <c r="E13" s="538"/>
      <c r="F13" s="254">
        <f>SUMIF(72:72,E13,73:73)-SUMIF(72:72,C13,73:73)+100</f>
        <v>100</v>
      </c>
      <c r="G13" s="911"/>
      <c r="H13" s="539">
        <f>SUMIF(72:72,G13,73:73)-SUMIF(72:72,C13,73:73)+100</f>
        <v>100</v>
      </c>
      <c r="I13" s="538"/>
      <c r="J13" s="539">
        <f>SUMIF(72:72,I13,73:73)-SUMIF(72:72,C13,73:73)+100</f>
        <v>100</v>
      </c>
      <c r="K13" s="580"/>
      <c r="L13" s="2126"/>
      <c r="M13" s="2118"/>
      <c r="N13" s="2118"/>
      <c r="O13" s="2125"/>
      <c r="P13" s="4017"/>
      <c r="Q13" s="1146">
        <f t="shared" si="6"/>
        <v>111</v>
      </c>
      <c r="R13" s="1553" t="s">
        <v>8</v>
      </c>
      <c r="S13" s="1554">
        <f t="shared" si="0"/>
        <v>100</v>
      </c>
      <c r="T13" s="1553" t="s">
        <v>8</v>
      </c>
      <c r="U13" s="1554">
        <f t="shared" si="1"/>
        <v>100</v>
      </c>
      <c r="V13" s="1553" t="s">
        <v>8</v>
      </c>
      <c r="W13" s="1554">
        <f t="shared" si="2"/>
        <v>100</v>
      </c>
      <c r="X13" s="1555"/>
      <c r="Y13" s="3974"/>
      <c r="Z13" s="1145">
        <f t="shared" si="7"/>
        <v>111</v>
      </c>
      <c r="AA13" s="1556">
        <f t="shared" si="3"/>
        <v>1</v>
      </c>
      <c r="AB13" s="1556">
        <f t="shared" si="4"/>
        <v>1</v>
      </c>
      <c r="AC13" s="1556">
        <f t="shared" si="5"/>
        <v>1</v>
      </c>
    </row>
    <row r="14" spans="1:29" ht="15.75" thickBot="1">
      <c r="A14" s="2871"/>
      <c r="B14" s="2877">
        <v>111</v>
      </c>
      <c r="C14" s="544"/>
      <c r="D14" s="545">
        <v>100</v>
      </c>
      <c r="E14" s="544"/>
      <c r="F14" s="545">
        <f>SUMIF(74:74,E14,75:75)-SUMIF(74:74,C14,75:75)+100</f>
        <v>100</v>
      </c>
      <c r="G14" s="911"/>
      <c r="H14" s="545">
        <f>SUMIF(74:74,G14,75:75)-SUMIF(74:74,C14,75:75)+100</f>
        <v>100</v>
      </c>
      <c r="I14" s="538"/>
      <c r="J14" s="545">
        <f>SUMIF(74:74,I14,75:75)-SUMIF(74:74,C14,75:75)+100</f>
        <v>100</v>
      </c>
      <c r="K14" s="580"/>
      <c r="L14" s="2126"/>
      <c r="M14" s="2118"/>
      <c r="N14" s="2118"/>
      <c r="O14" s="2125"/>
      <c r="P14" s="4017"/>
      <c r="Q14" s="1146">
        <f t="shared" si="6"/>
        <v>111</v>
      </c>
      <c r="R14" s="1553" t="s">
        <v>8</v>
      </c>
      <c r="S14" s="1554">
        <f t="shared" si="0"/>
        <v>100</v>
      </c>
      <c r="T14" s="1553" t="s">
        <v>8</v>
      </c>
      <c r="U14" s="1554">
        <f t="shared" si="1"/>
        <v>100</v>
      </c>
      <c r="V14" s="1553" t="s">
        <v>8</v>
      </c>
      <c r="W14" s="1554">
        <f t="shared" si="2"/>
        <v>100</v>
      </c>
      <c r="X14" s="1555"/>
      <c r="Y14" s="3974"/>
      <c r="Z14" s="1145">
        <f t="shared" si="7"/>
        <v>111</v>
      </c>
      <c r="AA14" s="1556">
        <f t="shared" si="3"/>
        <v>1</v>
      </c>
      <c r="AB14" s="1556">
        <f t="shared" si="4"/>
        <v>1</v>
      </c>
      <c r="AC14" s="1556">
        <f t="shared" si="5"/>
        <v>1</v>
      </c>
    </row>
    <row r="15" spans="1:29" ht="85.5">
      <c r="A15" s="2863" t="s">
        <v>2753</v>
      </c>
      <c r="B15" s="166" t="s">
        <v>541</v>
      </c>
      <c r="C15" s="866" t="str">
        <f>估价对象房地状况!C4</f>
        <v>估价对象周边商业为项目内部商业街，周边商业氛围较好，人流量较大，商业繁华度较好</v>
      </c>
      <c r="D15" s="548">
        <v>100</v>
      </c>
      <c r="E15" s="549"/>
      <c r="F15" s="550">
        <f>SUMIF(76:76,E16,77:77)-SUMIF(76:76,C16,77:77)+100</f>
        <v>100</v>
      </c>
      <c r="G15" s="551"/>
      <c r="H15" s="548">
        <f>SUMIF(76:76,G16,77:77)-SUMIF(76:76,C16,77:77)+100</f>
        <v>100</v>
      </c>
      <c r="I15" s="549"/>
      <c r="J15" s="548">
        <f>SUMIF(76:76,I16,77:77)-SUMIF(76:76,C16,77:77)+100</f>
        <v>100</v>
      </c>
      <c r="K15" s="897">
        <v>2</v>
      </c>
      <c r="L15" s="2126"/>
      <c r="M15" s="2118"/>
      <c r="N15" s="2118"/>
      <c r="O15" s="2125"/>
      <c r="P15" s="4019" t="s">
        <v>540</v>
      </c>
      <c r="Q15" s="1557" t="str">
        <f t="shared" si="6"/>
        <v>商业繁华度</v>
      </c>
      <c r="R15" s="1558" t="s">
        <v>8</v>
      </c>
      <c r="S15" s="1559">
        <f t="shared" si="0"/>
        <v>100</v>
      </c>
      <c r="T15" s="1558" t="s">
        <v>8</v>
      </c>
      <c r="U15" s="1559">
        <f t="shared" si="1"/>
        <v>100</v>
      </c>
      <c r="V15" s="1558" t="s">
        <v>8</v>
      </c>
      <c r="W15" s="1559">
        <f t="shared" si="2"/>
        <v>100</v>
      </c>
      <c r="X15" s="1552"/>
      <c r="Y15" s="4019" t="s">
        <v>540</v>
      </c>
      <c r="Z15" s="1560" t="str">
        <f t="shared" si="7"/>
        <v>商业繁华度</v>
      </c>
      <c r="AA15" s="1561">
        <f t="shared" si="3"/>
        <v>1</v>
      </c>
      <c r="AB15" s="1561">
        <f t="shared" si="4"/>
        <v>1</v>
      </c>
      <c r="AC15" s="1561">
        <f t="shared" si="5"/>
        <v>1</v>
      </c>
    </row>
    <row r="16" spans="1:29" ht="15">
      <c r="A16" s="531"/>
      <c r="B16" s="868"/>
      <c r="C16" s="575" t="s">
        <v>3014</v>
      </c>
      <c r="D16" s="554"/>
      <c r="E16" s="575" t="s">
        <v>3014</v>
      </c>
      <c r="F16" s="556"/>
      <c r="G16" s="575" t="s">
        <v>3014</v>
      </c>
      <c r="H16" s="558"/>
      <c r="I16" s="575" t="s">
        <v>3014</v>
      </c>
      <c r="J16" s="554"/>
      <c r="K16" s="898"/>
      <c r="L16" s="2126"/>
      <c r="M16" s="2118"/>
      <c r="N16" s="2118"/>
      <c r="O16" s="2125"/>
      <c r="P16" s="4020"/>
      <c r="Q16" s="1557"/>
      <c r="R16" s="1558"/>
      <c r="S16" s="1559"/>
      <c r="T16" s="1558"/>
      <c r="U16" s="1559"/>
      <c r="V16" s="1558"/>
      <c r="W16" s="1559"/>
      <c r="X16" s="1552"/>
      <c r="Y16" s="4020"/>
      <c r="Z16" s="1560"/>
      <c r="AA16" s="1561">
        <v>1</v>
      </c>
      <c r="AB16" s="1561">
        <v>1</v>
      </c>
      <c r="AC16" s="1561">
        <v>1</v>
      </c>
    </row>
    <row r="17" spans="1:29" ht="128.25">
      <c r="A17" s="531"/>
      <c r="B17" s="870" t="s">
        <v>296</v>
      </c>
      <c r="C17" s="871" t="str">
        <f>估价对象房地状况!C6</f>
        <v>周边道路密集程度一般、公共交通通达情况一般，有107路，203路、等公交线路通过，停车便捷程度一般，综合评价交通便捷度一般。</v>
      </c>
      <c r="D17" s="558">
        <v>100</v>
      </c>
      <c r="E17" s="561"/>
      <c r="F17" s="562">
        <f>SUMIF(78:78,E18,79:79)-SUMIF(78:78,C18,79:79)+100</f>
        <v>100</v>
      </c>
      <c r="G17" s="563"/>
      <c r="H17" s="564">
        <f>SUMIF(78:78,G18,79:79)-SUMIF(78:78,C18,79:79)+100</f>
        <v>100</v>
      </c>
      <c r="I17" s="561"/>
      <c r="J17" s="564">
        <f>SUMIF(78:78,I18,79:79)-SUMIF(78:78,C18,79:79)+100</f>
        <v>100</v>
      </c>
      <c r="K17" s="897">
        <v>2</v>
      </c>
      <c r="L17" s="2126"/>
      <c r="M17" s="2118"/>
      <c r="N17" s="2118"/>
      <c r="O17" s="2125"/>
      <c r="P17" s="4020"/>
      <c r="Q17" s="1557" t="str">
        <f>B17</f>
        <v>交通便捷度</v>
      </c>
      <c r="R17" s="1558" t="s">
        <v>8</v>
      </c>
      <c r="S17" s="1559">
        <f>F17</f>
        <v>100</v>
      </c>
      <c r="T17" s="1558" t="s">
        <v>8</v>
      </c>
      <c r="U17" s="1559">
        <f>H17</f>
        <v>100</v>
      </c>
      <c r="V17" s="1558" t="s">
        <v>8</v>
      </c>
      <c r="W17" s="1559">
        <f>J17</f>
        <v>100</v>
      </c>
      <c r="X17" s="1552"/>
      <c r="Y17" s="4020"/>
      <c r="Z17" s="1560" t="str">
        <f>Q17</f>
        <v>交通便捷度</v>
      </c>
      <c r="AA17" s="1561">
        <f t="shared" si="3"/>
        <v>1</v>
      </c>
      <c r="AB17" s="1561">
        <f t="shared" si="4"/>
        <v>1</v>
      </c>
      <c r="AC17" s="1561">
        <f t="shared" si="5"/>
        <v>1</v>
      </c>
    </row>
    <row r="18" spans="1:29" ht="15">
      <c r="A18" s="531"/>
      <c r="B18" s="594"/>
      <c r="C18" s="872" t="s">
        <v>3015</v>
      </c>
      <c r="D18" s="558"/>
      <c r="E18" s="567" t="s">
        <v>3015</v>
      </c>
      <c r="F18" s="562"/>
      <c r="G18" s="568" t="s">
        <v>3015</v>
      </c>
      <c r="H18" s="554"/>
      <c r="I18" s="567" t="s">
        <v>3015</v>
      </c>
      <c r="J18" s="554"/>
      <c r="K18" s="898"/>
      <c r="L18" s="2126"/>
      <c r="M18" s="2118"/>
      <c r="N18" s="2118"/>
      <c r="O18" s="2125"/>
      <c r="P18" s="4020"/>
      <c r="Q18" s="1557"/>
      <c r="R18" s="1558"/>
      <c r="S18" s="1559"/>
      <c r="T18" s="1558"/>
      <c r="U18" s="1559"/>
      <c r="V18" s="1558"/>
      <c r="W18" s="1559"/>
      <c r="X18" s="1552"/>
      <c r="Y18" s="4020"/>
      <c r="Z18" s="1560"/>
      <c r="AA18" s="1561">
        <v>1</v>
      </c>
      <c r="AB18" s="1561">
        <v>1</v>
      </c>
      <c r="AC18" s="1561">
        <v>1</v>
      </c>
    </row>
    <row r="19" spans="1:29" ht="128.25">
      <c r="A19" s="531"/>
      <c r="B19" s="2563" t="s">
        <v>2545</v>
      </c>
      <c r="C19" s="871" t="str">
        <f>估价对象房地状况!C7</f>
        <v>所在区域2公里范围内有银行（中国邮政储蓄银行）、学校（巴川中学）、商业（无）、医院（无）等配套设施，公共配套设施一般；</v>
      </c>
      <c r="D19" s="564">
        <v>100</v>
      </c>
      <c r="E19" s="569"/>
      <c r="F19" s="570">
        <f>SUMIF(80:80,E20,81:81)-SUMIF(80:80,C20,81:81)+100</f>
        <v>100</v>
      </c>
      <c r="G19" s="571"/>
      <c r="H19" s="558">
        <f>SUMIF(80:80,G20,81:81)-SUMIF(80:80,C20,81:81)+100</f>
        <v>102</v>
      </c>
      <c r="I19" s="569"/>
      <c r="J19" s="558">
        <f>SUMIF(80:80,I20,81:81)-SUMIF(80:80,C20,81:81)+100</f>
        <v>102</v>
      </c>
      <c r="K19" s="897">
        <v>2</v>
      </c>
      <c r="L19" s="2126"/>
      <c r="M19" s="2118"/>
      <c r="N19" s="2118"/>
      <c r="O19" s="2125"/>
      <c r="P19" s="4020"/>
      <c r="Q19" s="1557" t="str">
        <f>B19</f>
        <v>公共配套设施</v>
      </c>
      <c r="R19" s="1558" t="s">
        <v>8</v>
      </c>
      <c r="S19" s="1559">
        <f>F19</f>
        <v>100</v>
      </c>
      <c r="T19" s="1558" t="s">
        <v>8</v>
      </c>
      <c r="U19" s="1559">
        <f>H19</f>
        <v>102</v>
      </c>
      <c r="V19" s="1558" t="s">
        <v>8</v>
      </c>
      <c r="W19" s="1559">
        <f>J19</f>
        <v>102</v>
      </c>
      <c r="X19" s="1552"/>
      <c r="Y19" s="4020"/>
      <c r="Z19" s="1560" t="str">
        <f>Q19</f>
        <v>公共配套设施</v>
      </c>
      <c r="AA19" s="1561">
        <f t="shared" si="3"/>
        <v>1</v>
      </c>
      <c r="AB19" s="1561">
        <f t="shared" si="4"/>
        <v>0.98039215686274506</v>
      </c>
      <c r="AC19" s="1561">
        <f t="shared" si="5"/>
        <v>0.98039215686274506</v>
      </c>
    </row>
    <row r="20" spans="1:29" ht="15">
      <c r="A20" s="531"/>
      <c r="B20" s="594"/>
      <c r="C20" s="575" t="s">
        <v>3015</v>
      </c>
      <c r="D20" s="554"/>
      <c r="E20" s="555" t="s">
        <v>3015</v>
      </c>
      <c r="F20" s="556"/>
      <c r="G20" s="557" t="s">
        <v>3014</v>
      </c>
      <c r="H20" s="554"/>
      <c r="I20" s="555" t="s">
        <v>3014</v>
      </c>
      <c r="J20" s="554"/>
      <c r="K20" s="898"/>
      <c r="L20" s="2126"/>
      <c r="M20" s="2118"/>
      <c r="N20" s="2118"/>
      <c r="O20" s="2125"/>
      <c r="P20" s="4020"/>
      <c r="Q20" s="1557"/>
      <c r="R20" s="1558"/>
      <c r="S20" s="1559"/>
      <c r="T20" s="1558"/>
      <c r="U20" s="1559"/>
      <c r="V20" s="1558"/>
      <c r="W20" s="1559"/>
      <c r="X20" s="1552"/>
      <c r="Y20" s="4020"/>
      <c r="Z20" s="1560"/>
      <c r="AA20" s="1561">
        <v>1</v>
      </c>
      <c r="AB20" s="1561">
        <v>1</v>
      </c>
      <c r="AC20" s="1561">
        <v>1</v>
      </c>
    </row>
    <row r="21" spans="1:29" ht="28.5">
      <c r="A21" s="531"/>
      <c r="B21" s="2556" t="s">
        <v>2557</v>
      </c>
      <c r="C21" s="871" t="str">
        <f>估价对象房地状况!C8</f>
        <v>所在区域基础设施水平达六通</v>
      </c>
      <c r="D21" s="564">
        <v>100</v>
      </c>
      <c r="E21" s="571"/>
      <c r="F21" s="570">
        <f>SUMIF(82:82,E22,83:83)-SUMIF(82:82,C22,83:83)+100</f>
        <v>100</v>
      </c>
      <c r="G21" s="571"/>
      <c r="H21" s="564">
        <f>SUMIF(82:82,G22,83:83)-SUMIF(82:82,C22,83:83)+100</f>
        <v>100</v>
      </c>
      <c r="I21" s="569"/>
      <c r="J21" s="564">
        <f>SUMIF(82:82,I22,83:83)-SUMIF(82:82,C22,83:83)+100</f>
        <v>100</v>
      </c>
      <c r="K21" s="897">
        <v>1</v>
      </c>
      <c r="L21" s="2126"/>
      <c r="M21" s="2118"/>
      <c r="N21" s="2118"/>
      <c r="O21" s="2125"/>
      <c r="P21" s="4020"/>
      <c r="Q21" s="2542" t="str">
        <f>B21</f>
        <v>基础设施水平</v>
      </c>
      <c r="R21" s="1558" t="s">
        <v>8</v>
      </c>
      <c r="S21" s="1559">
        <f>F21</f>
        <v>100</v>
      </c>
      <c r="T21" s="1558" t="s">
        <v>8</v>
      </c>
      <c r="U21" s="1559">
        <f>H21</f>
        <v>100</v>
      </c>
      <c r="V21" s="1558" t="s">
        <v>8</v>
      </c>
      <c r="W21" s="1559">
        <f>J21</f>
        <v>100</v>
      </c>
      <c r="X21" s="2544"/>
      <c r="Y21" s="4020"/>
      <c r="Z21" s="2543" t="str">
        <f>Q21</f>
        <v>基础设施水平</v>
      </c>
      <c r="AA21" s="1561">
        <f t="shared" ref="AA21" si="8">D21/F21</f>
        <v>1</v>
      </c>
      <c r="AB21" s="1561">
        <f t="shared" ref="AB21" si="9">D21/H21</f>
        <v>1</v>
      </c>
      <c r="AC21" s="1561">
        <f t="shared" ref="AC21" si="10">D21/J21</f>
        <v>1</v>
      </c>
    </row>
    <row r="22" spans="1:29" ht="15">
      <c r="A22" s="531"/>
      <c r="B22" s="921"/>
      <c r="C22" s="872" t="s">
        <v>3031</v>
      </c>
      <c r="D22" s="554"/>
      <c r="E22" s="575" t="s">
        <v>3031</v>
      </c>
      <c r="F22" s="556"/>
      <c r="G22" s="575" t="s">
        <v>3031</v>
      </c>
      <c r="H22" s="554"/>
      <c r="I22" s="575" t="s">
        <v>3031</v>
      </c>
      <c r="J22" s="554"/>
      <c r="K22" s="2565"/>
      <c r="L22" s="2126"/>
      <c r="M22" s="2118"/>
      <c r="N22" s="2118"/>
      <c r="O22" s="2125"/>
      <c r="P22" s="4020"/>
      <c r="Q22" s="2542"/>
      <c r="R22" s="1558"/>
      <c r="S22" s="1559"/>
      <c r="T22" s="1558"/>
      <c r="U22" s="1559"/>
      <c r="V22" s="1558"/>
      <c r="W22" s="1559"/>
      <c r="X22" s="2544"/>
      <c r="Y22" s="4020"/>
      <c r="Z22" s="2543"/>
      <c r="AA22" s="1561">
        <v>1</v>
      </c>
      <c r="AB22" s="1561">
        <v>1</v>
      </c>
      <c r="AC22" s="1561">
        <v>1</v>
      </c>
    </row>
    <row r="23" spans="1:29" ht="85.5">
      <c r="A23" s="531"/>
      <c r="B23" s="870" t="s">
        <v>297</v>
      </c>
      <c r="C23" s="899" t="str">
        <f>估价对象房地状况!C9</f>
        <v>周边自然环境（项目内部天鹅湖）；人文环境（潼南区图书馆），综合评价环境状况较好；</v>
      </c>
      <c r="D23" s="558">
        <v>100</v>
      </c>
      <c r="E23" s="561"/>
      <c r="F23" s="562">
        <f>SUMIF(84:84,E24,85:85)-SUMIF(84:84,C24,85:85)+100</f>
        <v>100</v>
      </c>
      <c r="G23" s="563"/>
      <c r="H23" s="558">
        <f>SUMIF(84:84,G24,85:85)-SUMIF(84:84,C24,85:85)+100</f>
        <v>100</v>
      </c>
      <c r="I23" s="561"/>
      <c r="J23" s="558">
        <f>SUMIF(84:84,I24,85:85)-SUMIF(84:84,C24,85:85)+100</f>
        <v>100</v>
      </c>
      <c r="K23" s="897">
        <v>2</v>
      </c>
      <c r="L23" s="2126"/>
      <c r="M23" s="2118"/>
      <c r="N23" s="2118"/>
      <c r="O23" s="2125"/>
      <c r="P23" s="4020"/>
      <c r="Q23" s="1557" t="str">
        <f>B23</f>
        <v>自然及人文环境</v>
      </c>
      <c r="R23" s="1558" t="s">
        <v>8</v>
      </c>
      <c r="S23" s="1559">
        <f>F23</f>
        <v>100</v>
      </c>
      <c r="T23" s="1558" t="s">
        <v>8</v>
      </c>
      <c r="U23" s="1559">
        <f>H23</f>
        <v>100</v>
      </c>
      <c r="V23" s="1558" t="s">
        <v>8</v>
      </c>
      <c r="W23" s="1559">
        <f>J23</f>
        <v>100</v>
      </c>
      <c r="X23" s="1552"/>
      <c r="Y23" s="4020"/>
      <c r="Z23" s="1560" t="str">
        <f>Q23</f>
        <v>自然及人文环境</v>
      </c>
      <c r="AA23" s="1561">
        <f t="shared" si="3"/>
        <v>1</v>
      </c>
      <c r="AB23" s="1561">
        <f t="shared" si="4"/>
        <v>1</v>
      </c>
      <c r="AC23" s="1561">
        <f t="shared" si="5"/>
        <v>1</v>
      </c>
    </row>
    <row r="24" spans="1:29" ht="15">
      <c r="A24" s="531"/>
      <c r="B24" s="594"/>
      <c r="C24" s="575" t="s">
        <v>3014</v>
      </c>
      <c r="D24" s="554"/>
      <c r="E24" s="555" t="s">
        <v>3014</v>
      </c>
      <c r="F24" s="556"/>
      <c r="G24" s="557" t="s">
        <v>3014</v>
      </c>
      <c r="H24" s="554"/>
      <c r="I24" s="555" t="s">
        <v>3014</v>
      </c>
      <c r="J24" s="554"/>
      <c r="K24" s="898"/>
      <c r="L24" s="2126"/>
      <c r="M24" s="2118"/>
      <c r="N24" s="2118"/>
      <c r="O24" s="2125"/>
      <c r="P24" s="4020"/>
      <c r="Q24" s="1557"/>
      <c r="R24" s="1558"/>
      <c r="S24" s="1559"/>
      <c r="T24" s="1558"/>
      <c r="U24" s="1559"/>
      <c r="V24" s="1558"/>
      <c r="W24" s="1559"/>
      <c r="X24" s="1552"/>
      <c r="Y24" s="4020"/>
      <c r="Z24" s="1560"/>
      <c r="AA24" s="1561">
        <v>1</v>
      </c>
      <c r="AB24" s="1561">
        <v>1</v>
      </c>
      <c r="AC24" s="1561">
        <v>1</v>
      </c>
    </row>
    <row r="25" spans="1:29" ht="15">
      <c r="A25" s="531"/>
      <c r="B25" s="526" t="s">
        <v>547</v>
      </c>
      <c r="C25" s="582" t="s">
        <v>3554</v>
      </c>
      <c r="D25" s="539">
        <v>100</v>
      </c>
      <c r="E25" s="582" t="s">
        <v>3554</v>
      </c>
      <c r="F25" s="574">
        <f>SUMIF(86:86,E25,87:87)-SUMIF(86:86,C25,87:87)+100</f>
        <v>100</v>
      </c>
      <c r="G25" s="582" t="s">
        <v>3554</v>
      </c>
      <c r="H25" s="539">
        <f>SUMIF(86:86,G25,87:87)-SUMIF(86:86,C25,87:87)+100</f>
        <v>100</v>
      </c>
      <c r="I25" s="582" t="s">
        <v>3554</v>
      </c>
      <c r="J25" s="539">
        <f>SUMIF(86:86,I25,87:87)-SUMIF(86:86,C25,87:87)+100</f>
        <v>100</v>
      </c>
      <c r="K25" s="583">
        <v>3</v>
      </c>
      <c r="L25" s="2126"/>
      <c r="M25" s="2118"/>
      <c r="N25" s="2118"/>
      <c r="O25" s="2125"/>
      <c r="P25" s="4020"/>
      <c r="Q25" s="1557" t="str">
        <f t="shared" ref="Q25:Q46" si="11">B25</f>
        <v>临街状况</v>
      </c>
      <c r="R25" s="1558" t="s">
        <v>8</v>
      </c>
      <c r="S25" s="1559">
        <f>F25</f>
        <v>100</v>
      </c>
      <c r="T25" s="1558" t="s">
        <v>8</v>
      </c>
      <c r="U25" s="1559">
        <f>H25</f>
        <v>100</v>
      </c>
      <c r="V25" s="1558" t="s">
        <v>8</v>
      </c>
      <c r="W25" s="1559">
        <f>J25</f>
        <v>100</v>
      </c>
      <c r="X25" s="1552"/>
      <c r="Y25" s="4020"/>
      <c r="Z25" s="1560" t="str">
        <f>Q25</f>
        <v>临街状况</v>
      </c>
      <c r="AA25" s="1561">
        <f t="shared" si="3"/>
        <v>1</v>
      </c>
      <c r="AB25" s="1561">
        <f t="shared" si="4"/>
        <v>1</v>
      </c>
      <c r="AC25" s="1561">
        <f t="shared" si="5"/>
        <v>1</v>
      </c>
    </row>
    <row r="26" spans="1:29" ht="15">
      <c r="A26" s="531"/>
      <c r="B26" s="876" t="s">
        <v>758</v>
      </c>
      <c r="C26" s="3740" t="s">
        <v>3556</v>
      </c>
      <c r="D26" s="539">
        <v>100</v>
      </c>
      <c r="E26" s="3740" t="s">
        <v>3014</v>
      </c>
      <c r="F26" s="574">
        <f>SUMIF(88:88,E26,89:89)-SUMIF(88:88,C26,89:89)+100</f>
        <v>100</v>
      </c>
      <c r="G26" s="3740" t="s">
        <v>3014</v>
      </c>
      <c r="H26" s="539">
        <f>SUMIF(88:88,G26,89:89)-SUMIF(88:88,C26,89:89)+100</f>
        <v>100</v>
      </c>
      <c r="I26" s="3740" t="s">
        <v>3014</v>
      </c>
      <c r="J26" s="539">
        <f>SUMIF(88:88,I26,89:89)-SUMIF(88:88,C26,89:89)+100</f>
        <v>100</v>
      </c>
      <c r="K26" s="580"/>
      <c r="L26" s="2126"/>
      <c r="M26" s="2118"/>
      <c r="N26" s="2118"/>
      <c r="O26" s="2125"/>
      <c r="P26" s="4020"/>
      <c r="Q26" s="1557" t="str">
        <f t="shared" si="11"/>
        <v>平面位置/可视性</v>
      </c>
      <c r="R26" s="1558" t="s">
        <v>8</v>
      </c>
      <c r="S26" s="1559">
        <f>F26</f>
        <v>100</v>
      </c>
      <c r="T26" s="1558" t="s">
        <v>8</v>
      </c>
      <c r="U26" s="1559">
        <f>H26</f>
        <v>100</v>
      </c>
      <c r="V26" s="1558" t="s">
        <v>8</v>
      </c>
      <c r="W26" s="1559">
        <f>J26</f>
        <v>100</v>
      </c>
      <c r="X26" s="1552"/>
      <c r="Y26" s="4020"/>
      <c r="Z26" s="1560" t="str">
        <f>Q26</f>
        <v>平面位置/可视性</v>
      </c>
      <c r="AA26" s="1561">
        <f t="shared" si="3"/>
        <v>1</v>
      </c>
      <c r="AB26" s="1561">
        <f t="shared" si="4"/>
        <v>1</v>
      </c>
      <c r="AC26" s="1561">
        <f t="shared" si="5"/>
        <v>1</v>
      </c>
    </row>
    <row r="27" spans="1:29" s="1215" customFormat="1" ht="15">
      <c r="A27" s="535"/>
      <c r="B27" s="870" t="s">
        <v>759</v>
      </c>
      <c r="C27" s="900" t="s">
        <v>3557</v>
      </c>
      <c r="D27" s="874">
        <v>100</v>
      </c>
      <c r="E27" s="900" t="s">
        <v>3557</v>
      </c>
      <c r="F27" s="875">
        <f>SUMIF(90:90,E27,91:91)-SUMIF(90:90,C27,91:91)+100</f>
        <v>100</v>
      </c>
      <c r="G27" s="900" t="s">
        <v>3557</v>
      </c>
      <c r="H27" s="874">
        <f>SUMIF(90:90,G27,91:91)-SUMIF(90:90,C27,91:91)+100</f>
        <v>100</v>
      </c>
      <c r="I27" s="900" t="s">
        <v>3557</v>
      </c>
      <c r="J27" s="874">
        <f>SUMIF(90:90,I27,91:91)-SUMIF(90:90,C27,91:91)+100</f>
        <v>100</v>
      </c>
      <c r="K27" s="583">
        <v>5</v>
      </c>
      <c r="L27" s="2119"/>
      <c r="M27" s="2120"/>
      <c r="N27" s="2120"/>
      <c r="O27" s="2121"/>
      <c r="P27" s="4020"/>
      <c r="Q27" s="1146" t="str">
        <f t="shared" si="11"/>
        <v>人流量</v>
      </c>
      <c r="R27" s="1553" t="s">
        <v>8</v>
      </c>
      <c r="S27" s="1554">
        <f>F27</f>
        <v>100</v>
      </c>
      <c r="T27" s="1553" t="s">
        <v>8</v>
      </c>
      <c r="U27" s="1554">
        <f>H27</f>
        <v>100</v>
      </c>
      <c r="V27" s="1553" t="s">
        <v>8</v>
      </c>
      <c r="W27" s="1554">
        <f>J27</f>
        <v>100</v>
      </c>
      <c r="X27" s="1555"/>
      <c r="Y27" s="4020"/>
      <c r="Z27" s="1145" t="str">
        <f>Q27</f>
        <v>人流量</v>
      </c>
      <c r="AA27" s="1561">
        <f>D27/F27</f>
        <v>1</v>
      </c>
      <c r="AB27" s="1561">
        <f>D27/H27</f>
        <v>1</v>
      </c>
      <c r="AC27" s="1561">
        <f>D27/J27</f>
        <v>1</v>
      </c>
    </row>
    <row r="28" spans="1:29" ht="15">
      <c r="A28" s="531"/>
      <c r="B28" s="526" t="s">
        <v>761</v>
      </c>
      <c r="C28" s="582" t="s">
        <v>3567</v>
      </c>
      <c r="D28" s="539">
        <v>100</v>
      </c>
      <c r="E28" s="582">
        <v>1</v>
      </c>
      <c r="F28" s="574">
        <f>SUMIF(92:92,E28,93:93)-SUMIF(92:92,C28,93:93)+100</f>
        <v>125</v>
      </c>
      <c r="G28" s="582">
        <v>1</v>
      </c>
      <c r="H28" s="539">
        <f>SUMIF(92:92,G28,93:93)-SUMIF(92:92,C28,93:93)+100</f>
        <v>125</v>
      </c>
      <c r="I28" s="582">
        <v>1</v>
      </c>
      <c r="J28" s="539">
        <f>SUMIF(92:92,I28,93:93)-SUMIF(92:92,C28,93:93)+100</f>
        <v>125</v>
      </c>
      <c r="K28" s="580"/>
      <c r="L28" s="2126"/>
      <c r="M28" s="2118"/>
      <c r="N28" s="2118"/>
      <c r="O28" s="2125"/>
      <c r="P28" s="4020"/>
      <c r="Q28" s="1557" t="str">
        <f t="shared" si="11"/>
        <v>楼层</v>
      </c>
      <c r="R28" s="1558" t="s">
        <v>8</v>
      </c>
      <c r="S28" s="1559">
        <f t="shared" ref="S28:S46" si="12">F28</f>
        <v>125</v>
      </c>
      <c r="T28" s="1558" t="s">
        <v>8</v>
      </c>
      <c r="U28" s="1559">
        <f t="shared" ref="U28:U46" si="13">H28</f>
        <v>125</v>
      </c>
      <c r="V28" s="1558" t="s">
        <v>8</v>
      </c>
      <c r="W28" s="1559">
        <f t="shared" ref="W28:W46" si="14">J28</f>
        <v>125</v>
      </c>
      <c r="X28" s="1552"/>
      <c r="Y28" s="4020"/>
      <c r="Z28" s="1560" t="str">
        <f t="shared" ref="Z28:Z46" si="15">Q28</f>
        <v>楼层</v>
      </c>
      <c r="AA28" s="1561">
        <f t="shared" si="3"/>
        <v>0.8</v>
      </c>
      <c r="AB28" s="1561">
        <f t="shared" si="4"/>
        <v>0.8</v>
      </c>
      <c r="AC28" s="1561">
        <f t="shared" si="5"/>
        <v>0.8</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6"/>
      <c r="M29" s="2118"/>
      <c r="N29" s="2118"/>
      <c r="O29" s="2125"/>
      <c r="P29" s="4020"/>
      <c r="Q29" s="1557">
        <f t="shared" si="11"/>
        <v>111</v>
      </c>
      <c r="R29" s="1558" t="s">
        <v>8</v>
      </c>
      <c r="S29" s="1559">
        <f t="shared" si="12"/>
        <v>100</v>
      </c>
      <c r="T29" s="1558" t="s">
        <v>8</v>
      </c>
      <c r="U29" s="1559">
        <f t="shared" si="13"/>
        <v>100</v>
      </c>
      <c r="V29" s="1558" t="s">
        <v>8</v>
      </c>
      <c r="W29" s="1559">
        <f t="shared" si="14"/>
        <v>100</v>
      </c>
      <c r="X29" s="1552"/>
      <c r="Y29" s="4020"/>
      <c r="Z29" s="1560">
        <f t="shared" si="15"/>
        <v>111</v>
      </c>
      <c r="AA29" s="1561">
        <f t="shared" si="3"/>
        <v>1</v>
      </c>
      <c r="AB29" s="1561">
        <f t="shared" si="4"/>
        <v>1</v>
      </c>
      <c r="AC29" s="1561">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6"/>
      <c r="M30" s="2118"/>
      <c r="N30" s="2118"/>
      <c r="O30" s="2125"/>
      <c r="P30" s="4020"/>
      <c r="Q30" s="1557">
        <f t="shared" si="11"/>
        <v>111</v>
      </c>
      <c r="R30" s="1558" t="s">
        <v>8</v>
      </c>
      <c r="S30" s="1559">
        <f t="shared" si="12"/>
        <v>100</v>
      </c>
      <c r="T30" s="1558" t="s">
        <v>8</v>
      </c>
      <c r="U30" s="1559">
        <f t="shared" si="13"/>
        <v>100</v>
      </c>
      <c r="V30" s="1558" t="s">
        <v>8</v>
      </c>
      <c r="W30" s="1559">
        <f t="shared" si="14"/>
        <v>100</v>
      </c>
      <c r="X30" s="1552"/>
      <c r="Y30" s="4020"/>
      <c r="Z30" s="1560">
        <f t="shared" si="15"/>
        <v>111</v>
      </c>
      <c r="AA30" s="1561">
        <f t="shared" si="3"/>
        <v>1</v>
      </c>
      <c r="AB30" s="1561">
        <f t="shared" si="4"/>
        <v>1</v>
      </c>
      <c r="AC30" s="1561">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6"/>
      <c r="M31" s="2118"/>
      <c r="N31" s="2118"/>
      <c r="O31" s="2125"/>
      <c r="P31" s="4020"/>
      <c r="Q31" s="1557">
        <f t="shared" si="11"/>
        <v>111</v>
      </c>
      <c r="R31" s="1558" t="s">
        <v>8</v>
      </c>
      <c r="S31" s="1559">
        <f t="shared" si="12"/>
        <v>100</v>
      </c>
      <c r="T31" s="1558" t="s">
        <v>8</v>
      </c>
      <c r="U31" s="1559">
        <f t="shared" si="13"/>
        <v>100</v>
      </c>
      <c r="V31" s="1558" t="s">
        <v>8</v>
      </c>
      <c r="W31" s="1559">
        <f t="shared" si="14"/>
        <v>100</v>
      </c>
      <c r="X31" s="1552"/>
      <c r="Y31" s="4020"/>
      <c r="Z31" s="1560">
        <f t="shared" si="15"/>
        <v>111</v>
      </c>
      <c r="AA31" s="1561">
        <f t="shared" si="3"/>
        <v>1</v>
      </c>
      <c r="AB31" s="1561">
        <f t="shared" si="4"/>
        <v>1</v>
      </c>
      <c r="AC31" s="1561">
        <f t="shared" si="5"/>
        <v>1</v>
      </c>
    </row>
    <row r="32" spans="1:29" ht="15">
      <c r="A32" s="2861" t="s">
        <v>2754</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6"/>
      <c r="M32" s="2118"/>
      <c r="N32" s="2118"/>
      <c r="O32" s="2125"/>
      <c r="P32" s="4021" t="s">
        <v>550</v>
      </c>
      <c r="Q32" s="1557" t="str">
        <f t="shared" si="11"/>
        <v>商业类型</v>
      </c>
      <c r="R32" s="1558" t="s">
        <v>8</v>
      </c>
      <c r="S32" s="1559">
        <f t="shared" si="12"/>
        <v>100</v>
      </c>
      <c r="T32" s="1558" t="s">
        <v>8</v>
      </c>
      <c r="U32" s="1559">
        <f t="shared" si="13"/>
        <v>100</v>
      </c>
      <c r="V32" s="1558" t="s">
        <v>8</v>
      </c>
      <c r="W32" s="1559">
        <f t="shared" si="14"/>
        <v>100</v>
      </c>
      <c r="X32" s="1552"/>
      <c r="Y32" s="4022" t="s">
        <v>550</v>
      </c>
      <c r="Z32" s="1560" t="str">
        <f t="shared" si="15"/>
        <v>商业类型</v>
      </c>
      <c r="AA32" s="1561">
        <f t="shared" si="3"/>
        <v>1</v>
      </c>
      <c r="AB32" s="1561">
        <f t="shared" si="4"/>
        <v>1</v>
      </c>
      <c r="AC32" s="1561">
        <f t="shared" si="5"/>
        <v>1</v>
      </c>
    </row>
    <row r="33" spans="1:29" s="1334" customFormat="1" ht="15">
      <c r="A33" s="602"/>
      <c r="B33" s="526" t="s">
        <v>726</v>
      </c>
      <c r="C33" s="3742">
        <v>1</v>
      </c>
      <c r="D33" s="254">
        <v>100</v>
      </c>
      <c r="E33" s="533">
        <v>1</v>
      </c>
      <c r="F33" s="862">
        <f>LOOKUP(E33,103:103,104:104)-LOOKUP(C33,103:103,104:104)+100</f>
        <v>100</v>
      </c>
      <c r="G33" s="532">
        <v>1</v>
      </c>
      <c r="H33" s="254">
        <f>LOOKUP(G33,103:103,104:104)-LOOKUP(C33,103:103,104:104)+100</f>
        <v>100</v>
      </c>
      <c r="I33" s="532">
        <v>1</v>
      </c>
      <c r="J33" s="254">
        <f>LOOKUP(I33,103:103,104:104)-LOOKUP(C33,103:103,104:104)+100</f>
        <v>100</v>
      </c>
      <c r="K33" s="580"/>
      <c r="L33" s="2124"/>
      <c r="M33" s="2155"/>
      <c r="N33" s="2155"/>
      <c r="O33" s="2127"/>
      <c r="P33" s="4022"/>
      <c r="Q33" s="1589" t="str">
        <f t="shared" si="11"/>
        <v>项目建筑规模</v>
      </c>
      <c r="R33" s="1562" t="s">
        <v>8</v>
      </c>
      <c r="S33" s="1563">
        <f t="shared" si="12"/>
        <v>100</v>
      </c>
      <c r="T33" s="1562" t="s">
        <v>8</v>
      </c>
      <c r="U33" s="1563">
        <f t="shared" si="13"/>
        <v>100</v>
      </c>
      <c r="V33" s="1562" t="s">
        <v>8</v>
      </c>
      <c r="W33" s="1563">
        <f t="shared" si="14"/>
        <v>100</v>
      </c>
      <c r="X33" s="1564"/>
      <c r="Y33" s="4022"/>
      <c r="Z33" s="1565" t="str">
        <f t="shared" si="15"/>
        <v>项目建筑规模</v>
      </c>
      <c r="AA33" s="1561">
        <f t="shared" si="3"/>
        <v>1</v>
      </c>
      <c r="AB33" s="1561">
        <f t="shared" si="4"/>
        <v>1</v>
      </c>
      <c r="AC33" s="1561">
        <f t="shared" si="5"/>
        <v>1</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6"/>
      <c r="M34" s="2118"/>
      <c r="N34" s="2118"/>
      <c r="O34" s="2125"/>
      <c r="P34" s="4022"/>
      <c r="Q34" s="1557" t="str">
        <f t="shared" si="11"/>
        <v>建筑结构</v>
      </c>
      <c r="R34" s="1558" t="s">
        <v>8</v>
      </c>
      <c r="S34" s="1559">
        <f t="shared" si="12"/>
        <v>100</v>
      </c>
      <c r="T34" s="1558" t="s">
        <v>8</v>
      </c>
      <c r="U34" s="1559">
        <f t="shared" si="13"/>
        <v>100</v>
      </c>
      <c r="V34" s="1558" t="s">
        <v>8</v>
      </c>
      <c r="W34" s="1559">
        <f t="shared" si="14"/>
        <v>100</v>
      </c>
      <c r="X34" s="1552"/>
      <c r="Y34" s="4022"/>
      <c r="Z34" s="1560" t="str">
        <f t="shared" si="15"/>
        <v>建筑结构</v>
      </c>
      <c r="AA34" s="1561">
        <f t="shared" si="3"/>
        <v>1</v>
      </c>
      <c r="AB34" s="1561">
        <f t="shared" si="4"/>
        <v>1</v>
      </c>
      <c r="AC34" s="1561">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6"/>
      <c r="M35" s="2118"/>
      <c r="N35" s="2118"/>
      <c r="O35" s="2125"/>
      <c r="P35" s="4022"/>
      <c r="Q35" s="1557" t="str">
        <f t="shared" si="11"/>
        <v>公共部分装修</v>
      </c>
      <c r="R35" s="1558" t="s">
        <v>8</v>
      </c>
      <c r="S35" s="1559">
        <f t="shared" si="12"/>
        <v>100</v>
      </c>
      <c r="T35" s="1558" t="s">
        <v>8</v>
      </c>
      <c r="U35" s="1559">
        <f t="shared" si="13"/>
        <v>100</v>
      </c>
      <c r="V35" s="1558" t="s">
        <v>8</v>
      </c>
      <c r="W35" s="1559">
        <f t="shared" si="14"/>
        <v>100</v>
      </c>
      <c r="X35" s="1552"/>
      <c r="Y35" s="4022"/>
      <c r="Z35" s="1560" t="str">
        <f t="shared" si="15"/>
        <v>公共部分装修</v>
      </c>
      <c r="AA35" s="1561">
        <f t="shared" si="3"/>
        <v>1</v>
      </c>
      <c r="AB35" s="1561">
        <f t="shared" si="4"/>
        <v>1</v>
      </c>
      <c r="AC35" s="1561">
        <f t="shared" si="5"/>
        <v>1</v>
      </c>
    </row>
    <row r="36" spans="1:29" ht="15">
      <c r="A36" s="593"/>
      <c r="B36" s="526" t="s">
        <v>764</v>
      </c>
      <c r="C36" s="882">
        <v>1</v>
      </c>
      <c r="D36" s="539">
        <v>100</v>
      </c>
      <c r="E36" s="882">
        <v>1</v>
      </c>
      <c r="F36" s="574">
        <f>LOOKUP(E36,110:110,111:111)-LOOKUP(C36,110:110,111:111)+100</f>
        <v>100</v>
      </c>
      <c r="G36" s="882">
        <v>1</v>
      </c>
      <c r="H36" s="574">
        <f>LOOKUP(G36,110:110,111:111)-LOOKUP(C36,110:110,111:111)+100</f>
        <v>100</v>
      </c>
      <c r="I36" s="882">
        <v>1</v>
      </c>
      <c r="J36" s="539">
        <f>LOOKUP(I36,110:110,111:111)-LOOKUP(C36,110:110,111:111)+100</f>
        <v>100</v>
      </c>
      <c r="K36" s="583">
        <v>1</v>
      </c>
      <c r="L36" s="2126"/>
      <c r="M36" s="2118"/>
      <c r="N36" s="2118"/>
      <c r="O36" s="2125"/>
      <c r="P36" s="4022"/>
      <c r="Q36" s="1557" t="str">
        <f t="shared" si="11"/>
        <v>成新度</v>
      </c>
      <c r="R36" s="1558" t="s">
        <v>8</v>
      </c>
      <c r="S36" s="1559">
        <f t="shared" si="12"/>
        <v>100</v>
      </c>
      <c r="T36" s="1558" t="s">
        <v>8</v>
      </c>
      <c r="U36" s="1559">
        <f t="shared" si="13"/>
        <v>100</v>
      </c>
      <c r="V36" s="1558" t="s">
        <v>8</v>
      </c>
      <c r="W36" s="1559">
        <f t="shared" si="14"/>
        <v>100</v>
      </c>
      <c r="X36" s="1552"/>
      <c r="Y36" s="4022"/>
      <c r="Z36" s="1560" t="str">
        <f t="shared" si="15"/>
        <v>成新度</v>
      </c>
      <c r="AA36" s="1561">
        <f t="shared" si="3"/>
        <v>1</v>
      </c>
      <c r="AB36" s="1561">
        <f t="shared" si="4"/>
        <v>1</v>
      </c>
      <c r="AC36" s="1561">
        <f t="shared" si="5"/>
        <v>1</v>
      </c>
    </row>
    <row r="37" spans="1:29" s="1215" customFormat="1" ht="15">
      <c r="A37" s="599"/>
      <c r="B37" s="1879" t="s">
        <v>2564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19"/>
      <c r="M37" s="2120"/>
      <c r="N37" s="2120"/>
      <c r="O37" s="2121"/>
      <c r="P37" s="4022"/>
      <c r="Q37" s="1146" t="str">
        <f t="shared" si="11"/>
        <v>市政基础设施</v>
      </c>
      <c r="R37" s="1553" t="s">
        <v>8</v>
      </c>
      <c r="S37" s="1554">
        <f t="shared" si="12"/>
        <v>100</v>
      </c>
      <c r="T37" s="1553" t="s">
        <v>8</v>
      </c>
      <c r="U37" s="1554">
        <f t="shared" si="13"/>
        <v>100</v>
      </c>
      <c r="V37" s="1553" t="s">
        <v>8</v>
      </c>
      <c r="W37" s="1554">
        <f t="shared" si="14"/>
        <v>100</v>
      </c>
      <c r="X37" s="1555"/>
      <c r="Y37" s="4022"/>
      <c r="Z37" s="1145" t="str">
        <f t="shared" si="15"/>
        <v>市政基础设施</v>
      </c>
      <c r="AA37" s="1556">
        <f t="shared" si="3"/>
        <v>1</v>
      </c>
      <c r="AB37" s="1556">
        <f t="shared" si="4"/>
        <v>1</v>
      </c>
      <c r="AC37" s="1556">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6"/>
      <c r="M38" s="2118"/>
      <c r="N38" s="2118"/>
      <c r="O38" s="2125"/>
      <c r="P38" s="4022" t="s">
        <v>766</v>
      </c>
      <c r="Q38" s="1557" t="str">
        <f t="shared" si="11"/>
        <v>业态</v>
      </c>
      <c r="R38" s="1558" t="s">
        <v>8</v>
      </c>
      <c r="S38" s="1559">
        <f t="shared" si="12"/>
        <v>100</v>
      </c>
      <c r="T38" s="1558" t="s">
        <v>8</v>
      </c>
      <c r="U38" s="1559">
        <f t="shared" si="13"/>
        <v>100</v>
      </c>
      <c r="V38" s="1558" t="s">
        <v>8</v>
      </c>
      <c r="W38" s="1559">
        <f t="shared" si="14"/>
        <v>100</v>
      </c>
      <c r="X38" s="1552"/>
      <c r="Y38" s="4022" t="s">
        <v>766</v>
      </c>
      <c r="Z38" s="1560" t="str">
        <f t="shared" si="15"/>
        <v>业态</v>
      </c>
      <c r="AA38" s="1561">
        <f t="shared" si="3"/>
        <v>1</v>
      </c>
      <c r="AB38" s="1561">
        <f t="shared" si="4"/>
        <v>1</v>
      </c>
      <c r="AC38" s="1561">
        <f t="shared" si="5"/>
        <v>1</v>
      </c>
    </row>
    <row r="39" spans="1:29" ht="15">
      <c r="A39" s="593"/>
      <c r="B39" s="526" t="s">
        <v>767</v>
      </c>
      <c r="C39" s="598" t="s">
        <v>3564</v>
      </c>
      <c r="D39" s="539">
        <v>100</v>
      </c>
      <c r="E39" s="598" t="s">
        <v>3564</v>
      </c>
      <c r="F39" s="574">
        <f>SUMIF(116:116,E39,117:117)-SUMIF(116:116,C39,117:117)+100</f>
        <v>100</v>
      </c>
      <c r="G39" s="598" t="s">
        <v>3565</v>
      </c>
      <c r="H39" s="539">
        <f>SUMIF(116:116,G39,117:117)-SUMIF(116:116,C39,117:117)+100</f>
        <v>100</v>
      </c>
      <c r="I39" s="598" t="s">
        <v>3566</v>
      </c>
      <c r="J39" s="539">
        <f>SUMIF(116:116,I39,117:117)-SUMIF(116:116,C39,117:117)+100</f>
        <v>100</v>
      </c>
      <c r="K39" s="583">
        <v>5</v>
      </c>
      <c r="L39" s="2126"/>
      <c r="M39" s="2118"/>
      <c r="N39" s="2118"/>
      <c r="O39" s="2125"/>
      <c r="P39" s="4022"/>
      <c r="Q39" s="1557" t="str">
        <f t="shared" si="11"/>
        <v>层高</v>
      </c>
      <c r="R39" s="1558" t="s">
        <v>8</v>
      </c>
      <c r="S39" s="1559">
        <f t="shared" si="12"/>
        <v>100</v>
      </c>
      <c r="T39" s="1558" t="s">
        <v>8</v>
      </c>
      <c r="U39" s="1559">
        <f t="shared" si="13"/>
        <v>100</v>
      </c>
      <c r="V39" s="1558" t="s">
        <v>8</v>
      </c>
      <c r="W39" s="1559">
        <f t="shared" si="14"/>
        <v>100</v>
      </c>
      <c r="X39" s="1552"/>
      <c r="Y39" s="4022"/>
      <c r="Z39" s="1560" t="str">
        <f t="shared" si="15"/>
        <v>层高</v>
      </c>
      <c r="AA39" s="1561">
        <f t="shared" si="3"/>
        <v>1</v>
      </c>
      <c r="AB39" s="1561">
        <f t="shared" si="4"/>
        <v>1</v>
      </c>
      <c r="AC39" s="1561">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6"/>
      <c r="M40" s="2118"/>
      <c r="N40" s="2118"/>
      <c r="O40" s="2125"/>
      <c r="P40" s="4022"/>
      <c r="Q40" s="1557" t="str">
        <f t="shared" si="11"/>
        <v>单套建筑面积</v>
      </c>
      <c r="R40" s="1558" t="s">
        <v>8</v>
      </c>
      <c r="S40" s="1559">
        <f t="shared" si="12"/>
        <v>100</v>
      </c>
      <c r="T40" s="1558" t="s">
        <v>8</v>
      </c>
      <c r="U40" s="1559">
        <f t="shared" si="13"/>
        <v>100</v>
      </c>
      <c r="V40" s="1558" t="s">
        <v>8</v>
      </c>
      <c r="W40" s="1559">
        <f t="shared" si="14"/>
        <v>100</v>
      </c>
      <c r="X40" s="1552"/>
      <c r="Y40" s="4022"/>
      <c r="Z40" s="1560" t="str">
        <f t="shared" si="15"/>
        <v>单套建筑面积</v>
      </c>
      <c r="AA40" s="1561">
        <f t="shared" si="3"/>
        <v>1</v>
      </c>
      <c r="AB40" s="1561">
        <f t="shared" si="4"/>
        <v>1</v>
      </c>
      <c r="AC40" s="1561">
        <f t="shared" si="5"/>
        <v>1</v>
      </c>
    </row>
    <row r="41" spans="1:29" s="1334"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4"/>
      <c r="M41" s="2155"/>
      <c r="N41" s="2155"/>
      <c r="O41" s="2127"/>
      <c r="P41" s="4022"/>
      <c r="Q41" s="1589" t="str">
        <f t="shared" si="11"/>
        <v>进深比</v>
      </c>
      <c r="R41" s="1562" t="s">
        <v>8</v>
      </c>
      <c r="S41" s="1563">
        <f t="shared" si="12"/>
        <v>100</v>
      </c>
      <c r="T41" s="1562" t="s">
        <v>8</v>
      </c>
      <c r="U41" s="1563">
        <f t="shared" si="13"/>
        <v>100</v>
      </c>
      <c r="V41" s="1562" t="s">
        <v>8</v>
      </c>
      <c r="W41" s="1563">
        <f t="shared" si="14"/>
        <v>100</v>
      </c>
      <c r="X41" s="1564"/>
      <c r="Y41" s="4022"/>
      <c r="Z41" s="1565" t="str">
        <f t="shared" si="15"/>
        <v>进深比</v>
      </c>
      <c r="AA41" s="1561">
        <f t="shared" si="3"/>
        <v>1</v>
      </c>
      <c r="AB41" s="1561">
        <f t="shared" si="4"/>
        <v>1</v>
      </c>
      <c r="AC41" s="1561">
        <f t="shared" si="5"/>
        <v>1</v>
      </c>
    </row>
    <row r="42" spans="1:29" ht="15">
      <c r="A42" s="593"/>
      <c r="B42" s="526" t="s">
        <v>770</v>
      </c>
      <c r="C42" s="598" t="s">
        <v>3032</v>
      </c>
      <c r="D42" s="539">
        <v>100</v>
      </c>
      <c r="E42" s="598" t="s">
        <v>3032</v>
      </c>
      <c r="F42" s="574">
        <f>SUMIF(122:122,E42,123:123)-SUMIF(122:122,C42,123:123)+100</f>
        <v>100</v>
      </c>
      <c r="G42" s="598" t="s">
        <v>3032</v>
      </c>
      <c r="H42" s="539">
        <f>SUMIF(122:122,G42,123:123)-SUMIF(122:122,C42,123:123)+100</f>
        <v>100</v>
      </c>
      <c r="I42" s="598" t="s">
        <v>3032</v>
      </c>
      <c r="J42" s="539">
        <f>SUMIF(122:122,I42,123:123)-SUMIF(122:122,C42,123:123)+100</f>
        <v>100</v>
      </c>
      <c r="K42" s="583">
        <v>1</v>
      </c>
      <c r="L42" s="2126"/>
      <c r="M42" s="2118"/>
      <c r="N42" s="2118"/>
      <c r="O42" s="2125"/>
      <c r="P42" s="4022"/>
      <c r="Q42" s="1557" t="str">
        <f t="shared" si="11"/>
        <v>内部装修</v>
      </c>
      <c r="R42" s="1558" t="s">
        <v>8</v>
      </c>
      <c r="S42" s="1559">
        <f t="shared" si="12"/>
        <v>100</v>
      </c>
      <c r="T42" s="1558" t="s">
        <v>8</v>
      </c>
      <c r="U42" s="1559">
        <f t="shared" si="13"/>
        <v>100</v>
      </c>
      <c r="V42" s="1558" t="s">
        <v>8</v>
      </c>
      <c r="W42" s="1559">
        <f t="shared" si="14"/>
        <v>100</v>
      </c>
      <c r="X42" s="1552"/>
      <c r="Y42" s="4022"/>
      <c r="Z42" s="1560" t="str">
        <f t="shared" si="15"/>
        <v>内部装修</v>
      </c>
      <c r="AA42" s="1561">
        <f t="shared" si="3"/>
        <v>1</v>
      </c>
      <c r="AB42" s="1561">
        <f t="shared" si="4"/>
        <v>1</v>
      </c>
      <c r="AC42" s="1561">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6"/>
      <c r="M43" s="2118"/>
      <c r="N43" s="2118"/>
      <c r="O43" s="2125"/>
      <c r="P43" s="4022"/>
      <c r="Q43" s="1557" t="str">
        <f t="shared" si="11"/>
        <v>内部装修维护情况</v>
      </c>
      <c r="R43" s="1558" t="s">
        <v>8</v>
      </c>
      <c r="S43" s="1559">
        <f t="shared" si="12"/>
        <v>100</v>
      </c>
      <c r="T43" s="1558" t="s">
        <v>8</v>
      </c>
      <c r="U43" s="1559">
        <f t="shared" si="13"/>
        <v>100</v>
      </c>
      <c r="V43" s="1558" t="s">
        <v>8</v>
      </c>
      <c r="W43" s="1559">
        <f t="shared" si="14"/>
        <v>100</v>
      </c>
      <c r="X43" s="1552"/>
      <c r="Y43" s="4022"/>
      <c r="Z43" s="1560" t="str">
        <f t="shared" si="15"/>
        <v>内部装修维护情况</v>
      </c>
      <c r="AA43" s="1561">
        <f t="shared" si="3"/>
        <v>1</v>
      </c>
      <c r="AB43" s="1561">
        <f t="shared" si="4"/>
        <v>1</v>
      </c>
      <c r="AC43" s="1561">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9"/>
      <c r="M44" s="2120"/>
      <c r="N44" s="2120"/>
      <c r="O44" s="2121"/>
      <c r="P44" s="4022"/>
      <c r="Q44" s="1146">
        <f t="shared" si="11"/>
        <v>111</v>
      </c>
      <c r="R44" s="1553" t="s">
        <v>8</v>
      </c>
      <c r="S44" s="1554">
        <f t="shared" si="12"/>
        <v>100</v>
      </c>
      <c r="T44" s="1553" t="s">
        <v>8</v>
      </c>
      <c r="U44" s="1554">
        <f t="shared" si="13"/>
        <v>100</v>
      </c>
      <c r="V44" s="1553" t="s">
        <v>8</v>
      </c>
      <c r="W44" s="1554">
        <f t="shared" si="14"/>
        <v>100</v>
      </c>
      <c r="X44" s="1555"/>
      <c r="Y44" s="4022"/>
      <c r="Z44" s="1145">
        <f t="shared" si="15"/>
        <v>111</v>
      </c>
      <c r="AA44" s="1556">
        <f t="shared" si="3"/>
        <v>1</v>
      </c>
      <c r="AB44" s="1556">
        <f t="shared" si="4"/>
        <v>1</v>
      </c>
      <c r="AC44" s="1556">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6"/>
      <c r="M45" s="2118"/>
      <c r="N45" s="2118"/>
      <c r="O45" s="2125"/>
      <c r="P45" s="4022"/>
      <c r="Q45" s="1557">
        <f t="shared" si="11"/>
        <v>111</v>
      </c>
      <c r="R45" s="1558" t="s">
        <v>8</v>
      </c>
      <c r="S45" s="1559">
        <f t="shared" si="12"/>
        <v>100</v>
      </c>
      <c r="T45" s="1558" t="s">
        <v>8</v>
      </c>
      <c r="U45" s="1559">
        <f t="shared" si="13"/>
        <v>100</v>
      </c>
      <c r="V45" s="1558" t="s">
        <v>8</v>
      </c>
      <c r="W45" s="1559">
        <f t="shared" si="14"/>
        <v>100</v>
      </c>
      <c r="X45" s="1552"/>
      <c r="Y45" s="4022"/>
      <c r="Z45" s="1560">
        <f t="shared" si="15"/>
        <v>111</v>
      </c>
      <c r="AA45" s="1561">
        <f t="shared" si="3"/>
        <v>1</v>
      </c>
      <c r="AB45" s="1561">
        <f t="shared" si="4"/>
        <v>1</v>
      </c>
      <c r="AC45" s="1561">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6"/>
      <c r="M46" s="2118"/>
      <c r="N46" s="2118"/>
      <c r="O46" s="2125"/>
      <c r="P46" s="4101"/>
      <c r="Q46" s="1557">
        <f t="shared" si="11"/>
        <v>111</v>
      </c>
      <c r="R46" s="1558" t="s">
        <v>8</v>
      </c>
      <c r="S46" s="1559">
        <f t="shared" si="12"/>
        <v>100</v>
      </c>
      <c r="T46" s="1558" t="s">
        <v>8</v>
      </c>
      <c r="U46" s="1559">
        <f t="shared" si="13"/>
        <v>100</v>
      </c>
      <c r="V46" s="1558" t="s">
        <v>8</v>
      </c>
      <c r="W46" s="1559">
        <f t="shared" si="14"/>
        <v>100</v>
      </c>
      <c r="X46" s="1552"/>
      <c r="Y46" s="4101"/>
      <c r="Z46" s="1560">
        <f t="shared" si="15"/>
        <v>111</v>
      </c>
      <c r="AA46" s="1561">
        <f t="shared" si="3"/>
        <v>1</v>
      </c>
      <c r="AB46" s="1561">
        <f t="shared" si="4"/>
        <v>1</v>
      </c>
      <c r="AC46" s="1561">
        <f t="shared" si="5"/>
        <v>1</v>
      </c>
    </row>
    <row r="47" spans="1:29" ht="15">
      <c r="A47" s="606" t="s">
        <v>736</v>
      </c>
      <c r="B47" s="886"/>
      <c r="C47" s="2590" t="s">
        <v>1</v>
      </c>
      <c r="D47" s="2591"/>
      <c r="E47" s="2592">
        <v>13000</v>
      </c>
      <c r="F47" s="2593"/>
      <c r="G47" s="2594">
        <v>13500</v>
      </c>
      <c r="H47" s="2595"/>
      <c r="I47" s="2592">
        <v>14800</v>
      </c>
      <c r="J47" s="2595"/>
      <c r="K47" s="1595"/>
      <c r="L47" s="2128"/>
      <c r="M47" s="2129"/>
      <c r="N47" s="2118"/>
      <c r="O47" s="2129"/>
      <c r="P47" s="4017" t="str">
        <f>A47</f>
        <v>成交单价（元/平方米）</v>
      </c>
      <c r="Q47" s="4017"/>
      <c r="R47" s="4100">
        <f>E47</f>
        <v>13000</v>
      </c>
      <c r="S47" s="4100"/>
      <c r="T47" s="4100">
        <f>G47</f>
        <v>13500</v>
      </c>
      <c r="U47" s="4100"/>
      <c r="V47" s="4100">
        <f>I47</f>
        <v>14800</v>
      </c>
      <c r="W47" s="4100"/>
      <c r="X47" s="1544"/>
      <c r="Y47" s="1566"/>
      <c r="Z47" s="1544"/>
      <c r="AA47" s="1544"/>
      <c r="AB47" s="1544"/>
      <c r="AC47" s="1544"/>
    </row>
    <row r="48" spans="1:29" ht="15.75" thickBot="1">
      <c r="A48" s="614" t="s">
        <v>2759</v>
      </c>
      <c r="B48" s="887"/>
      <c r="C48" s="2596">
        <f>R49</f>
        <v>10514</v>
      </c>
      <c r="D48" s="2597"/>
      <c r="E48" s="2598">
        <f>R48</f>
        <v>10000</v>
      </c>
      <c r="F48" s="2598"/>
      <c r="G48" s="2596">
        <f>T48</f>
        <v>10381</v>
      </c>
      <c r="H48" s="2597"/>
      <c r="I48" s="2598">
        <f>V48</f>
        <v>11161</v>
      </c>
      <c r="J48" s="2597"/>
      <c r="K48" s="1596"/>
      <c r="L48" s="2128"/>
      <c r="M48" s="2129"/>
      <c r="N48" s="2118"/>
      <c r="O48" s="2129"/>
      <c r="P48" s="4017" t="str">
        <f>A48</f>
        <v>比较价格（元/平方米）</v>
      </c>
      <c r="Q48" s="4017"/>
      <c r="R48" s="4100">
        <f>IF(F1="售价",ROUND(PRODUCT(R47,AA7:AA46),0),ROUND(PRODUCT(R47,AA7:AA46),1))</f>
        <v>10000</v>
      </c>
      <c r="S48" s="4100"/>
      <c r="T48" s="4100">
        <f>IF(F1="售价",ROUND(PRODUCT(T47,AB7:AB46),0),ROUND(PRODUCT(T47,AB7:AB46),1))</f>
        <v>10381</v>
      </c>
      <c r="U48" s="4100"/>
      <c r="V48" s="4100">
        <f>IF(F1="售价",ROUND(PRODUCT(V47,AC7:AC46),0),ROUND(PRODUCT(V47,AC7:AC46),1))</f>
        <v>11161</v>
      </c>
      <c r="W48" s="4100"/>
      <c r="X48" s="1544"/>
      <c r="Y48" s="1544"/>
      <c r="Z48" s="1544"/>
      <c r="AA48" s="1544"/>
      <c r="AB48" s="1544"/>
      <c r="AC48" s="1544"/>
    </row>
    <row r="49" spans="1:29" ht="15.75" thickBot="1">
      <c r="A49" s="620" t="s">
        <v>2932</v>
      </c>
      <c r="B49" s="621"/>
      <c r="C49" s="2599">
        <f>R49</f>
        <v>10514</v>
      </c>
      <c r="D49" s="2599"/>
      <c r="E49" s="2599"/>
      <c r="F49" s="2599"/>
      <c r="G49" s="2599"/>
      <c r="H49" s="2599"/>
      <c r="I49" s="2599"/>
      <c r="J49" s="2599"/>
      <c r="K49" s="1597"/>
      <c r="L49" s="2128"/>
      <c r="M49" s="2129"/>
      <c r="N49" s="2118"/>
      <c r="O49" s="2129"/>
      <c r="P49" s="4038" t="str">
        <f>A49</f>
        <v>估价对象XX用房的比较价格（楼面单价，元/平方米）</v>
      </c>
      <c r="Q49" s="4039"/>
      <c r="R49" s="4099">
        <f>IF(F1="售价",ROUND(AVERAGE(R48:V48),0),ROUND(AVERAGE(R48:V48),1))</f>
        <v>10514</v>
      </c>
      <c r="S49" s="4099"/>
      <c r="T49" s="4099"/>
      <c r="U49" s="4099"/>
      <c r="V49" s="4099"/>
      <c r="W49" s="409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3" t="s">
        <v>557</v>
      </c>
      <c r="D52" s="624"/>
      <c r="E52" s="625">
        <f>IF(E47&lt;E48,E48/E47-1,E47/E48-1)</f>
        <v>0.30000000000000004</v>
      </c>
      <c r="F52" s="626" t="str">
        <f>IF(OR(E52&gt;=0.3,E52&lt;=-0.3),"超过30%","")</f>
        <v>超过30%</v>
      </c>
      <c r="G52" s="625">
        <f>IF(G47&lt;G48,G48/G47-1,G47/G48-1)</f>
        <v>0.30045275021674223</v>
      </c>
      <c r="H52" s="626" t="str">
        <f>IF(OR(G52&gt;=0.3,G52&lt;=-0.3),"超过30%","")</f>
        <v>超过30%</v>
      </c>
      <c r="I52" s="625">
        <f>IF(I47&lt;I48,I48/I47-1,I47/I48-1)</f>
        <v>0.32604605322103763</v>
      </c>
      <c r="J52" s="626" t="str">
        <f>IF(OR(I52&gt;=0.3,I52&lt;=-0.3),"超过30%","")</f>
        <v>超过30%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3" t="s">
        <v>558</v>
      </c>
      <c r="D53" s="627"/>
      <c r="E53" s="625">
        <f>IF(E48&lt;G48,G48/E48-1,E48/G48-1)</f>
        <v>3.8100000000000023E-2</v>
      </c>
      <c r="F53" s="626" t="str">
        <f>IF(OR(E53&gt;=0.2,E53&lt;=-0.2),"超过20%","")</f>
        <v/>
      </c>
      <c r="G53" s="625">
        <f>IF(G48&lt;I48,I48/G48-1,G48/I48-1)</f>
        <v>7.5137270012522794E-2</v>
      </c>
      <c r="H53" s="626" t="str">
        <f>IF(OR(G53&gt;=0.2,G53&lt;=-0.2),"超过20%","")</f>
        <v/>
      </c>
      <c r="I53" s="625">
        <f>IF(I48&lt;E48,E48/I48-1,I48/E48-1)</f>
        <v>0.11610000000000009</v>
      </c>
      <c r="J53" s="626"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40" customFormat="1" ht="13.5" customHeight="1">
      <c r="A54" s="2130"/>
      <c r="B54" s="2130"/>
      <c r="C54" s="623" t="s">
        <v>559</v>
      </c>
      <c r="D54" s="627"/>
      <c r="E54" s="625">
        <f>IF(E47&lt;G47,G47/E47-1,E47/G47-1)</f>
        <v>3.8461538461538547E-2</v>
      </c>
      <c r="F54" s="626" t="str">
        <f>IF(OR(E54&gt;=0.3,E54&lt;=-0.3),"超过30%","")</f>
        <v/>
      </c>
      <c r="G54" s="625">
        <f>IF(G47&lt;I47,I47/G47-1,G47/I47-1)</f>
        <v>9.6296296296296324E-2</v>
      </c>
      <c r="H54" s="626" t="str">
        <f>IF(OR(G54&gt;=0.3,G54&lt;=-0.3),"超过30%","")</f>
        <v/>
      </c>
      <c r="I54" s="625">
        <f>IF(I47&lt;E47,E47/I47-1,I47/E47-1)</f>
        <v>0.13846153846153841</v>
      </c>
      <c r="J54" s="626"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40"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2" customFormat="1" ht="15">
      <c r="A58" s="644" t="s">
        <v>529</v>
      </c>
      <c r="B58" s="645"/>
      <c r="C58" s="2756" t="str">
        <f>YEAR(C7)&amp;"-"&amp;MONTH(C7)</f>
        <v>2019-7</v>
      </c>
      <c r="D58" s="2758">
        <f>EDATE(C58,-1)</f>
        <v>43617</v>
      </c>
      <c r="E58" s="2758">
        <f t="shared" ref="E58:O58" si="16">EDATE(D58,-1)</f>
        <v>43586</v>
      </c>
      <c r="F58" s="2758">
        <f t="shared" si="16"/>
        <v>43556</v>
      </c>
      <c r="G58" s="2758">
        <f t="shared" si="16"/>
        <v>43525</v>
      </c>
      <c r="H58" s="2758">
        <f t="shared" si="16"/>
        <v>43497</v>
      </c>
      <c r="I58" s="2758">
        <f t="shared" si="16"/>
        <v>43466</v>
      </c>
      <c r="J58" s="2758">
        <f t="shared" si="16"/>
        <v>43435</v>
      </c>
      <c r="K58" s="2758">
        <f t="shared" si="16"/>
        <v>43405</v>
      </c>
      <c r="L58" s="2758">
        <f t="shared" si="16"/>
        <v>43374</v>
      </c>
      <c r="M58" s="2758">
        <f t="shared" si="16"/>
        <v>43344</v>
      </c>
      <c r="N58" s="2758">
        <f t="shared" si="16"/>
        <v>43313</v>
      </c>
      <c r="O58" s="2758">
        <f t="shared" si="16"/>
        <v>43282</v>
      </c>
      <c r="P58" s="2144"/>
      <c r="Q58" s="2145"/>
      <c r="R58" s="2145"/>
      <c r="S58" s="2145"/>
      <c r="T58" s="2145"/>
      <c r="U58" s="2145"/>
      <c r="V58" s="2145"/>
      <c r="W58" s="2145"/>
      <c r="X58" s="2145"/>
      <c r="Y58" s="2145"/>
      <c r="Z58" s="2145"/>
      <c r="AA58" s="2145"/>
      <c r="AB58" s="2145"/>
      <c r="AC58" s="2145"/>
    </row>
    <row r="59" spans="1:29" s="1215" customFormat="1" ht="15">
      <c r="A59" s="646"/>
      <c r="B59" s="647"/>
      <c r="C59" s="648">
        <v>100</v>
      </c>
      <c r="D59" s="649"/>
      <c r="E59" s="649"/>
      <c r="F59" s="649"/>
      <c r="G59" s="649"/>
      <c r="H59" s="649"/>
      <c r="I59" s="649"/>
      <c r="J59" s="649"/>
      <c r="K59" s="649"/>
      <c r="L59" s="649"/>
      <c r="M59" s="650"/>
      <c r="N59" s="649"/>
      <c r="O59" s="651"/>
      <c r="P59" s="2142"/>
      <c r="Q59" s="1977"/>
      <c r="R59" s="1977"/>
      <c r="S59" s="1977"/>
      <c r="T59" s="1977"/>
      <c r="U59" s="1977"/>
      <c r="V59" s="1977"/>
      <c r="W59" s="1977"/>
      <c r="X59" s="1977"/>
      <c r="Y59" s="1977"/>
      <c r="Z59" s="1977"/>
      <c r="AA59" s="1977"/>
      <c r="AB59" s="1977"/>
      <c r="AC59" s="1977"/>
    </row>
    <row r="60" spans="1:29" s="1215" customFormat="1" ht="15.75" thickBot="1">
      <c r="A60" s="652" t="s">
        <v>575</v>
      </c>
      <c r="B60" s="653"/>
      <c r="C60" s="654"/>
      <c r="D60" s="655"/>
      <c r="E60" s="655"/>
      <c r="F60" s="655"/>
      <c r="G60" s="655"/>
      <c r="H60" s="655"/>
      <c r="I60" s="655"/>
      <c r="J60" s="655"/>
      <c r="K60" s="655"/>
      <c r="L60" s="655"/>
      <c r="M60" s="656"/>
      <c r="N60" s="655"/>
      <c r="O60" s="657"/>
      <c r="P60" s="2142"/>
      <c r="Q60" s="2142"/>
      <c r="R60" s="1977"/>
      <c r="S60" s="1977"/>
      <c r="T60" s="1977"/>
      <c r="U60" s="1977"/>
      <c r="V60" s="1977"/>
      <c r="W60" s="1977"/>
      <c r="X60" s="1977"/>
      <c r="Y60" s="1977"/>
      <c r="Z60" s="1977"/>
      <c r="AA60" s="1977"/>
      <c r="AB60" s="1977"/>
      <c r="AC60" s="1977"/>
    </row>
    <row r="61" spans="1:29" s="1215" customFormat="1" ht="15">
      <c r="A61" s="658" t="s">
        <v>531</v>
      </c>
      <c r="B61" s="647"/>
      <c r="C61" s="659" t="s">
        <v>576</v>
      </c>
      <c r="D61" s="660"/>
      <c r="E61" s="660"/>
      <c r="F61" s="660"/>
      <c r="G61" s="660"/>
      <c r="H61" s="660"/>
      <c r="I61" s="660"/>
      <c r="J61" s="660"/>
      <c r="K61" s="660"/>
      <c r="L61" s="661"/>
      <c r="M61" s="662"/>
      <c r="N61" s="2146"/>
      <c r="O61" s="2146"/>
      <c r="P61" s="2147"/>
      <c r="Q61" s="2142"/>
      <c r="R61" s="1977"/>
      <c r="S61" s="1977"/>
      <c r="T61" s="1977"/>
      <c r="U61" s="1977"/>
      <c r="V61" s="1977"/>
      <c r="W61" s="1977"/>
      <c r="X61" s="1977"/>
      <c r="Y61" s="1977"/>
      <c r="Z61" s="1977"/>
      <c r="AA61" s="1977"/>
      <c r="AB61" s="1977"/>
      <c r="AC61" s="1977"/>
    </row>
    <row r="62" spans="1:29" s="1215" customFormat="1" ht="15.75" thickBot="1">
      <c r="A62" s="658"/>
      <c r="B62" s="647"/>
      <c r="C62" s="888">
        <v>100</v>
      </c>
      <c r="D62" s="649"/>
      <c r="E62" s="649"/>
      <c r="F62" s="649"/>
      <c r="G62" s="649"/>
      <c r="H62" s="649"/>
      <c r="I62" s="649"/>
      <c r="J62" s="649"/>
      <c r="K62" s="649"/>
      <c r="L62" s="649"/>
      <c r="M62" s="651"/>
      <c r="N62" s="2146"/>
      <c r="O62" s="2146"/>
      <c r="P62" s="2142"/>
      <c r="Q62" s="2142"/>
      <c r="R62" s="1977"/>
      <c r="S62" s="1977"/>
      <c r="T62" s="1977"/>
      <c r="U62" s="1977"/>
      <c r="V62" s="1977"/>
      <c r="W62" s="1977"/>
      <c r="X62" s="1977"/>
      <c r="Y62" s="1977"/>
      <c r="Z62" s="1977"/>
      <c r="AA62" s="1977"/>
      <c r="AB62" s="1977"/>
      <c r="AC62" s="1200"/>
    </row>
    <row r="63" spans="1:29">
      <c r="A63" s="663" t="s">
        <v>577</v>
      </c>
      <c r="B63" s="664" t="s">
        <v>534</v>
      </c>
      <c r="C63" s="703" t="str">
        <f>C9</f>
        <v>商业</v>
      </c>
      <c r="D63" s="597"/>
      <c r="E63" s="597"/>
      <c r="F63" s="597"/>
      <c r="G63" s="597"/>
      <c r="H63" s="597"/>
      <c r="I63" s="597"/>
      <c r="J63" s="597"/>
      <c r="K63" s="665"/>
      <c r="L63" s="666"/>
      <c r="M63" s="667"/>
      <c r="N63" s="2148"/>
      <c r="O63" s="2148"/>
      <c r="P63" s="2149"/>
      <c r="Q63" s="2142"/>
      <c r="R63" s="2129"/>
      <c r="S63" s="2129"/>
      <c r="T63" s="2129"/>
      <c r="U63" s="2129"/>
      <c r="V63" s="2129"/>
      <c r="W63" s="2129"/>
      <c r="X63" s="2129"/>
      <c r="Y63" s="2129"/>
      <c r="Z63" s="2129"/>
      <c r="AA63" s="2129"/>
      <c r="AB63" s="2129"/>
      <c r="AC63" s="2129"/>
    </row>
    <row r="64" spans="1:29" ht="15.75" thickBot="1">
      <c r="A64" s="668"/>
      <c r="B64" s="669"/>
      <c r="C64" s="670"/>
      <c r="D64" s="670"/>
      <c r="E64" s="670"/>
      <c r="F64" s="670"/>
      <c r="G64" s="670"/>
      <c r="H64" s="670"/>
      <c r="I64" s="670"/>
      <c r="J64" s="670"/>
      <c r="K64" s="670"/>
      <c r="L64" s="670"/>
      <c r="M64" s="671"/>
      <c r="N64" s="2150"/>
      <c r="O64" s="2150"/>
      <c r="P64" s="2149"/>
      <c r="Q64" s="2142"/>
      <c r="R64" s="2129"/>
      <c r="S64" s="2129"/>
      <c r="T64" s="2129"/>
      <c r="U64" s="2129"/>
      <c r="V64" s="2129"/>
      <c r="W64" s="2129"/>
      <c r="X64" s="2129"/>
      <c r="Y64" s="2129"/>
      <c r="Z64" s="2129"/>
      <c r="AA64" s="2129"/>
      <c r="AB64" s="2129"/>
      <c r="AC64" s="2129"/>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8"/>
      <c r="O65" s="2148"/>
      <c r="P65" s="2149"/>
      <c r="Q65" s="2142"/>
      <c r="R65" s="2129"/>
      <c r="S65" s="2129"/>
      <c r="T65" s="2129"/>
      <c r="U65" s="2129"/>
      <c r="V65" s="2129"/>
      <c r="W65" s="2129"/>
      <c r="X65" s="2129"/>
      <c r="Y65" s="2129"/>
      <c r="Z65" s="2129"/>
      <c r="AA65" s="2129"/>
      <c r="AB65" s="2129"/>
      <c r="AC65" s="2129"/>
    </row>
    <row r="66" spans="1:29" ht="15.75" thickBot="1">
      <c r="A66" s="668"/>
      <c r="B66" s="677"/>
      <c r="C66" s="678" t="s">
        <v>14</v>
      </c>
      <c r="D66" s="678" t="s">
        <v>15</v>
      </c>
      <c r="E66" s="678" t="s">
        <v>16</v>
      </c>
      <c r="F66" s="678">
        <v>100</v>
      </c>
      <c r="G66" s="678">
        <f>F66-$K10</f>
        <v>98</v>
      </c>
      <c r="H66" s="678">
        <f>G66-$K10</f>
        <v>96</v>
      </c>
      <c r="I66" s="678">
        <f>H66-$K10</f>
        <v>94</v>
      </c>
      <c r="J66" s="678"/>
      <c r="K66" s="678"/>
      <c r="L66" s="678"/>
      <c r="M66" s="679"/>
      <c r="N66" s="2150"/>
      <c r="O66" s="2150"/>
      <c r="P66" s="2149"/>
      <c r="Q66" s="2142"/>
      <c r="R66" s="2129"/>
      <c r="S66" s="2129"/>
      <c r="T66" s="2129"/>
      <c r="U66" s="2129"/>
      <c r="V66" s="2129"/>
      <c r="W66" s="2129"/>
      <c r="X66" s="2129"/>
      <c r="Y66" s="2129"/>
      <c r="Z66" s="2129"/>
      <c r="AA66" s="2129"/>
      <c r="AB66" s="2129"/>
      <c r="AC66" s="2129"/>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v>
      </c>
      <c r="I67" s="681" t="str">
        <f t="shared" si="17"/>
        <v>（含）-</v>
      </c>
      <c r="J67" s="681" t="str">
        <f t="shared" si="17"/>
        <v>（含）-</v>
      </c>
      <c r="K67" s="681" t="str">
        <f t="shared" si="17"/>
        <v>（含）-</v>
      </c>
      <c r="L67" s="681" t="str">
        <f t="shared" si="17"/>
        <v>（含）-</v>
      </c>
      <c r="M67" s="554"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8"/>
      <c r="B68" s="682"/>
      <c r="C68" s="540">
        <v>0</v>
      </c>
      <c r="D68" s="540">
        <v>1</v>
      </c>
      <c r="E68" s="540">
        <v>2</v>
      </c>
      <c r="F68" s="540">
        <v>3</v>
      </c>
      <c r="G68" s="540">
        <v>4</v>
      </c>
      <c r="H68" s="540">
        <v>5</v>
      </c>
      <c r="I68" s="540"/>
      <c r="J68" s="540"/>
      <c r="K68" s="683"/>
      <c r="L68" s="684"/>
      <c r="M68" s="685"/>
      <c r="N68" s="2148"/>
      <c r="O68" s="2148"/>
      <c r="P68" s="2149"/>
      <c r="Q68" s="2142"/>
      <c r="R68" s="2129"/>
      <c r="S68" s="2129"/>
      <c r="T68" s="2129"/>
      <c r="U68" s="2129"/>
      <c r="V68" s="2129"/>
      <c r="W68" s="2129"/>
      <c r="X68" s="2129"/>
      <c r="Y68" s="2129"/>
      <c r="Z68" s="2129"/>
      <c r="AA68" s="2129"/>
      <c r="AB68" s="2129"/>
      <c r="AC68" s="2129"/>
    </row>
    <row r="69" spans="1:29" ht="15.75" thickBot="1">
      <c r="A69" s="668"/>
      <c r="B69" s="669"/>
      <c r="C69" s="678">
        <v>100</v>
      </c>
      <c r="D69" s="678">
        <f t="shared" ref="D69:M69" si="18">C69-$K11</f>
        <v>98</v>
      </c>
      <c r="E69" s="678">
        <f t="shared" si="18"/>
        <v>96</v>
      </c>
      <c r="F69" s="678">
        <f t="shared" si="18"/>
        <v>94</v>
      </c>
      <c r="G69" s="678">
        <f t="shared" si="18"/>
        <v>92</v>
      </c>
      <c r="H69" s="678">
        <f t="shared" si="18"/>
        <v>90</v>
      </c>
      <c r="I69" s="678">
        <f t="shared" si="18"/>
        <v>88</v>
      </c>
      <c r="J69" s="678">
        <f t="shared" si="18"/>
        <v>86</v>
      </c>
      <c r="K69" s="678">
        <f t="shared" si="18"/>
        <v>84</v>
      </c>
      <c r="L69" s="678">
        <f t="shared" si="18"/>
        <v>82</v>
      </c>
      <c r="M69" s="679">
        <f t="shared" si="18"/>
        <v>80</v>
      </c>
      <c r="N69" s="2150"/>
      <c r="O69" s="2150"/>
      <c r="P69" s="2149"/>
      <c r="Q69" s="2142"/>
      <c r="R69" s="2129"/>
      <c r="S69" s="2129"/>
      <c r="T69" s="2129"/>
      <c r="U69" s="2129"/>
      <c r="V69" s="2129"/>
      <c r="W69" s="2129"/>
      <c r="X69" s="2129"/>
      <c r="Y69" s="2129"/>
      <c r="Z69" s="2129"/>
      <c r="AA69" s="2129"/>
      <c r="AB69" s="2129"/>
      <c r="AC69" s="2129"/>
    </row>
    <row r="70" spans="1:29" s="1334" customFormat="1" ht="15.75" thickTop="1">
      <c r="A70" s="686"/>
      <c r="B70" s="672">
        <f>B12</f>
        <v>111</v>
      </c>
      <c r="C70" s="687"/>
      <c r="D70" s="687"/>
      <c r="E70" s="687"/>
      <c r="F70" s="687"/>
      <c r="G70" s="687"/>
      <c r="H70" s="688"/>
      <c r="I70" s="688"/>
      <c r="J70" s="688"/>
      <c r="K70" s="688"/>
      <c r="L70" s="689"/>
      <c r="M70" s="690"/>
      <c r="N70" s="2151"/>
      <c r="O70" s="2151"/>
      <c r="P70" s="2152"/>
      <c r="Q70" s="2153"/>
      <c r="R70" s="2154"/>
      <c r="S70" s="2154"/>
      <c r="T70" s="2154"/>
      <c r="U70" s="2154"/>
      <c r="V70" s="2154"/>
      <c r="W70" s="2154"/>
      <c r="X70" s="2154"/>
      <c r="Y70" s="2154"/>
      <c r="Z70" s="2154"/>
      <c r="AA70" s="2154"/>
      <c r="AB70" s="2154"/>
      <c r="AC70" s="2154"/>
    </row>
    <row r="71" spans="1:29" s="1334" customFormat="1" ht="15.75" thickBot="1">
      <c r="A71" s="686"/>
      <c r="B71" s="677"/>
      <c r="C71" s="691"/>
      <c r="D71" s="670"/>
      <c r="E71" s="670"/>
      <c r="F71" s="670"/>
      <c r="G71" s="670"/>
      <c r="H71" s="670"/>
      <c r="I71" s="670"/>
      <c r="J71" s="670"/>
      <c r="K71" s="670"/>
      <c r="L71" s="670"/>
      <c r="M71" s="671"/>
      <c r="N71" s="2150"/>
      <c r="O71" s="2150"/>
      <c r="P71" s="2152"/>
      <c r="Q71" s="2153"/>
      <c r="R71" s="2154"/>
      <c r="S71" s="2154"/>
      <c r="T71" s="2154"/>
      <c r="U71" s="2154"/>
      <c r="V71" s="2154"/>
      <c r="W71" s="2154"/>
      <c r="X71" s="2154"/>
      <c r="Y71" s="2154"/>
      <c r="Z71" s="2154"/>
      <c r="AA71" s="2154"/>
      <c r="AB71" s="2154"/>
      <c r="AC71" s="2154"/>
    </row>
    <row r="72" spans="1:29" s="1334" customFormat="1" ht="15.75" thickTop="1">
      <c r="A72" s="686"/>
      <c r="B72" s="672">
        <f>B13</f>
        <v>111</v>
      </c>
      <c r="C72" s="687"/>
      <c r="D72" s="687"/>
      <c r="E72" s="687"/>
      <c r="F72" s="687"/>
      <c r="G72" s="687"/>
      <c r="H72" s="688"/>
      <c r="I72" s="688"/>
      <c r="J72" s="688"/>
      <c r="K72" s="688"/>
      <c r="L72" s="689"/>
      <c r="M72" s="690"/>
      <c r="N72" s="2151"/>
      <c r="O72" s="2151"/>
      <c r="P72" s="2155"/>
      <c r="Q72" s="2156"/>
      <c r="R72" s="2154"/>
      <c r="S72" s="2154"/>
      <c r="T72" s="2154"/>
      <c r="U72" s="2154"/>
      <c r="V72" s="2154"/>
      <c r="W72" s="2154"/>
      <c r="X72" s="2154"/>
      <c r="Y72" s="2154"/>
      <c r="Z72" s="2154"/>
      <c r="AA72" s="2154"/>
      <c r="AB72" s="2154"/>
      <c r="AC72" s="2154"/>
    </row>
    <row r="73" spans="1:29" s="1334" customFormat="1" ht="15.75" thickBot="1">
      <c r="A73" s="686"/>
      <c r="B73" s="677"/>
      <c r="C73" s="691"/>
      <c r="D73" s="670"/>
      <c r="E73" s="670"/>
      <c r="F73" s="670"/>
      <c r="G73" s="691"/>
      <c r="H73" s="692"/>
      <c r="I73" s="692"/>
      <c r="J73" s="692"/>
      <c r="K73" s="692"/>
      <c r="L73" s="692"/>
      <c r="M73" s="693"/>
      <c r="N73" s="2151"/>
      <c r="O73" s="2151"/>
      <c r="P73" s="2152"/>
      <c r="Q73" s="2153"/>
      <c r="R73" s="2154"/>
      <c r="S73" s="2154"/>
      <c r="T73" s="2154"/>
      <c r="U73" s="2154"/>
      <c r="V73" s="2154"/>
      <c r="W73" s="2154"/>
      <c r="X73" s="2154"/>
      <c r="Y73" s="2154"/>
      <c r="Z73" s="2154"/>
      <c r="AA73" s="2154"/>
      <c r="AB73" s="2154"/>
      <c r="AC73" s="2154"/>
    </row>
    <row r="74" spans="1:29" s="1334" customFormat="1" ht="15.75" thickTop="1">
      <c r="A74" s="686"/>
      <c r="B74" s="680">
        <f>B14</f>
        <v>111</v>
      </c>
      <c r="C74" s="687"/>
      <c r="D74" s="687"/>
      <c r="E74" s="687"/>
      <c r="F74" s="687"/>
      <c r="G74" s="660"/>
      <c r="H74" s="694"/>
      <c r="I74" s="694"/>
      <c r="J74" s="694"/>
      <c r="K74" s="694"/>
      <c r="L74" s="695"/>
      <c r="M74" s="696"/>
      <c r="N74" s="2151"/>
      <c r="O74" s="2151"/>
      <c r="P74" s="2157"/>
      <c r="Q74" s="2153"/>
      <c r="R74" s="2154"/>
      <c r="S74" s="2154"/>
      <c r="T74" s="2154"/>
      <c r="U74" s="2154"/>
      <c r="V74" s="2154"/>
      <c r="W74" s="2154"/>
      <c r="X74" s="2154"/>
      <c r="Y74" s="2154"/>
      <c r="Z74" s="2154"/>
      <c r="AA74" s="2154"/>
      <c r="AB74" s="2154"/>
      <c r="AC74" s="2154"/>
    </row>
    <row r="75" spans="1:29" s="1334" customFormat="1" ht="15.75" thickBot="1">
      <c r="A75" s="697"/>
      <c r="B75" s="698"/>
      <c r="C75" s="699"/>
      <c r="D75" s="699"/>
      <c r="E75" s="699"/>
      <c r="F75" s="699"/>
      <c r="G75" s="699"/>
      <c r="H75" s="700"/>
      <c r="I75" s="700"/>
      <c r="J75" s="700"/>
      <c r="K75" s="700"/>
      <c r="L75" s="700"/>
      <c r="M75" s="701"/>
      <c r="N75" s="2151"/>
      <c r="O75" s="2151"/>
      <c r="P75" s="2152"/>
      <c r="Q75" s="2153"/>
      <c r="R75" s="2154"/>
      <c r="S75" s="2154"/>
      <c r="T75" s="2154"/>
      <c r="U75" s="2154"/>
      <c r="V75" s="2154"/>
      <c r="W75" s="2154"/>
      <c r="X75" s="2154"/>
      <c r="Y75" s="2154"/>
      <c r="Z75" s="2154"/>
      <c r="AA75" s="2154"/>
      <c r="AB75" s="2154"/>
      <c r="AC75" s="2154"/>
    </row>
    <row r="76" spans="1:29">
      <c r="A76" s="663" t="s">
        <v>539</v>
      </c>
      <c r="B76" s="664" t="s">
        <v>578</v>
      </c>
      <c r="C76" s="702" t="s">
        <v>579</v>
      </c>
      <c r="D76" s="702" t="s">
        <v>580</v>
      </c>
      <c r="E76" s="702" t="s">
        <v>581</v>
      </c>
      <c r="F76" s="702" t="s">
        <v>582</v>
      </c>
      <c r="G76" s="702" t="s">
        <v>583</v>
      </c>
      <c r="H76" s="703"/>
      <c r="I76" s="703"/>
      <c r="J76" s="703"/>
      <c r="K76" s="704"/>
      <c r="L76" s="705"/>
      <c r="M76" s="706"/>
      <c r="N76" s="2148"/>
      <c r="O76" s="2148"/>
      <c r="P76" s="2158"/>
      <c r="Q76" s="2142"/>
      <c r="R76" s="2129"/>
      <c r="S76" s="2129"/>
      <c r="T76" s="2129"/>
      <c r="U76" s="2129"/>
      <c r="V76" s="2129"/>
      <c r="W76" s="2129"/>
      <c r="X76" s="2129"/>
      <c r="Y76" s="2129"/>
      <c r="Z76" s="2129"/>
      <c r="AA76" s="2129"/>
      <c r="AB76" s="2129"/>
      <c r="AC76" s="2129"/>
    </row>
    <row r="77" spans="1:29" ht="15.75" thickBot="1">
      <c r="A77" s="668"/>
      <c r="B77" s="677"/>
      <c r="C77" s="678">
        <v>100</v>
      </c>
      <c r="D77" s="678">
        <f>C77-$K15</f>
        <v>98</v>
      </c>
      <c r="E77" s="678">
        <f>D77-$K15</f>
        <v>96</v>
      </c>
      <c r="F77" s="678">
        <f>E77-$K15</f>
        <v>94</v>
      </c>
      <c r="G77" s="678">
        <f>F77-$K15</f>
        <v>92</v>
      </c>
      <c r="H77" s="678"/>
      <c r="I77" s="678"/>
      <c r="J77" s="678"/>
      <c r="K77" s="678"/>
      <c r="L77" s="678"/>
      <c r="M77" s="679"/>
      <c r="N77" s="2150"/>
      <c r="O77" s="2150"/>
      <c r="P77" s="2149"/>
      <c r="Q77" s="2142"/>
      <c r="R77" s="2129"/>
      <c r="S77" s="2129"/>
      <c r="T77" s="2129"/>
      <c r="U77" s="2129"/>
      <c r="V77" s="2129"/>
      <c r="W77" s="2129"/>
      <c r="X77" s="2129"/>
      <c r="Y77" s="2129"/>
      <c r="Z77" s="2129"/>
      <c r="AA77" s="2129"/>
      <c r="AB77" s="2129"/>
      <c r="AC77" s="2129"/>
    </row>
    <row r="78" spans="1:29" ht="15.75" thickTop="1">
      <c r="A78" s="668"/>
      <c r="B78" s="672" t="s">
        <v>586</v>
      </c>
      <c r="C78" s="707" t="s">
        <v>579</v>
      </c>
      <c r="D78" s="707" t="s">
        <v>580</v>
      </c>
      <c r="E78" s="707" t="s">
        <v>581</v>
      </c>
      <c r="F78" s="707" t="s">
        <v>582</v>
      </c>
      <c r="G78" s="707" t="s">
        <v>583</v>
      </c>
      <c r="H78" s="673"/>
      <c r="I78" s="673"/>
      <c r="J78" s="673"/>
      <c r="K78" s="674"/>
      <c r="L78" s="675"/>
      <c r="M78" s="676"/>
      <c r="N78" s="2148"/>
      <c r="O78" s="2148"/>
      <c r="P78" s="2149"/>
      <c r="Q78" s="2142"/>
      <c r="R78" s="2129"/>
      <c r="S78" s="2129"/>
      <c r="T78" s="2129"/>
      <c r="U78" s="2129"/>
      <c r="V78" s="2129"/>
      <c r="W78" s="2129"/>
      <c r="X78" s="2129"/>
      <c r="Y78" s="2129"/>
      <c r="Z78" s="2129"/>
      <c r="AA78" s="2129"/>
      <c r="AB78" s="2129"/>
      <c r="AC78" s="2129"/>
    </row>
    <row r="79" spans="1:29" ht="15.75" thickBot="1">
      <c r="A79" s="668"/>
      <c r="B79" s="677"/>
      <c r="C79" s="678">
        <v>100</v>
      </c>
      <c r="D79" s="678">
        <f>C79-$K17</f>
        <v>98</v>
      </c>
      <c r="E79" s="678">
        <f>D79-$K17</f>
        <v>96</v>
      </c>
      <c r="F79" s="678">
        <f>E79-$K17</f>
        <v>94</v>
      </c>
      <c r="G79" s="678">
        <f>F79-$K17</f>
        <v>92</v>
      </c>
      <c r="H79" s="678"/>
      <c r="I79" s="678"/>
      <c r="J79" s="678"/>
      <c r="K79" s="678"/>
      <c r="L79" s="678"/>
      <c r="M79" s="679"/>
      <c r="N79" s="2150"/>
      <c r="O79" s="2150"/>
      <c r="P79" s="2149"/>
      <c r="Q79" s="2142"/>
      <c r="R79" s="2129"/>
      <c r="S79" s="2129"/>
      <c r="T79" s="2129"/>
      <c r="U79" s="2129"/>
      <c r="V79" s="2129"/>
      <c r="W79" s="2129"/>
      <c r="X79" s="2129"/>
      <c r="Y79" s="2129"/>
      <c r="Z79" s="2129"/>
      <c r="AA79" s="2129"/>
      <c r="AB79" s="2129"/>
      <c r="AC79" s="2129"/>
    </row>
    <row r="80" spans="1:29" ht="15.75" thickTop="1">
      <c r="A80" s="668"/>
      <c r="B80" s="1880" t="s">
        <v>2556</v>
      </c>
      <c r="C80" s="707" t="s">
        <v>579</v>
      </c>
      <c r="D80" s="707" t="s">
        <v>580</v>
      </c>
      <c r="E80" s="707" t="s">
        <v>581</v>
      </c>
      <c r="F80" s="707" t="s">
        <v>582</v>
      </c>
      <c r="G80" s="707" t="s">
        <v>583</v>
      </c>
      <c r="H80" s="673"/>
      <c r="I80" s="673"/>
      <c r="J80" s="673"/>
      <c r="K80" s="674"/>
      <c r="L80" s="675"/>
      <c r="M80" s="676"/>
      <c r="N80" s="2148"/>
      <c r="O80" s="2148"/>
      <c r="P80" s="2149"/>
      <c r="Q80" s="2142"/>
      <c r="R80" s="2129"/>
      <c r="S80" s="2129"/>
      <c r="T80" s="2129"/>
      <c r="U80" s="2129"/>
      <c r="V80" s="2129"/>
      <c r="W80" s="2129"/>
      <c r="X80" s="2129"/>
      <c r="Y80" s="2129"/>
      <c r="Z80" s="2129"/>
      <c r="AA80" s="2129"/>
      <c r="AB80" s="2129"/>
      <c r="AC80" s="2129"/>
    </row>
    <row r="81" spans="1:29" ht="15.75" thickBot="1">
      <c r="A81" s="668"/>
      <c r="B81" s="677"/>
      <c r="C81" s="678">
        <v>100</v>
      </c>
      <c r="D81" s="678">
        <f>C81-$K19</f>
        <v>98</v>
      </c>
      <c r="E81" s="678">
        <f>D81-$K19</f>
        <v>96</v>
      </c>
      <c r="F81" s="678">
        <f>E81-$K19</f>
        <v>94</v>
      </c>
      <c r="G81" s="678">
        <f>F81-$K19</f>
        <v>92</v>
      </c>
      <c r="H81" s="678"/>
      <c r="I81" s="678"/>
      <c r="J81" s="678"/>
      <c r="K81" s="678"/>
      <c r="L81" s="678"/>
      <c r="M81" s="679"/>
      <c r="N81" s="2150"/>
      <c r="O81" s="2150"/>
      <c r="P81" s="2149"/>
      <c r="Q81" s="2142"/>
      <c r="R81" s="2129"/>
      <c r="S81" s="2129"/>
      <c r="T81" s="2129"/>
      <c r="U81" s="2129"/>
      <c r="V81" s="2129"/>
      <c r="W81" s="2129"/>
      <c r="X81" s="2129"/>
      <c r="Y81" s="2129"/>
      <c r="Z81" s="2129"/>
      <c r="AA81" s="2129"/>
      <c r="AB81" s="2129"/>
      <c r="AC81" s="2129"/>
    </row>
    <row r="82" spans="1:29" ht="15.75" thickTop="1">
      <c r="A82" s="668"/>
      <c r="B82" s="2560" t="s">
        <v>2557</v>
      </c>
      <c r="C82" s="2561" t="s">
        <v>2558</v>
      </c>
      <c r="D82" s="2561" t="s">
        <v>2559</v>
      </c>
      <c r="E82" s="2561" t="s">
        <v>2560</v>
      </c>
      <c r="F82" s="2561" t="s">
        <v>2561</v>
      </c>
      <c r="G82" s="2561" t="s">
        <v>2562</v>
      </c>
      <c r="H82" s="673"/>
      <c r="I82" s="673"/>
      <c r="J82" s="673"/>
      <c r="K82" s="673"/>
      <c r="L82" s="673"/>
      <c r="M82" s="2564"/>
      <c r="N82" s="2150"/>
      <c r="O82" s="2150"/>
      <c r="P82" s="2149"/>
      <c r="Q82" s="2142"/>
      <c r="R82" s="2129"/>
      <c r="S82" s="2129"/>
      <c r="T82" s="2129"/>
      <c r="U82" s="2129"/>
      <c r="V82" s="2129"/>
      <c r="W82" s="2129"/>
      <c r="X82" s="2129"/>
      <c r="Y82" s="2129"/>
      <c r="Z82" s="2129"/>
      <c r="AA82" s="2129"/>
      <c r="AB82" s="2129"/>
      <c r="AC82" s="2129"/>
    </row>
    <row r="83" spans="1:29" ht="15.75" thickBot="1">
      <c r="A83" s="668"/>
      <c r="B83" s="680"/>
      <c r="C83" s="678">
        <v>100</v>
      </c>
      <c r="D83" s="678">
        <f>C83-$K21</f>
        <v>99</v>
      </c>
      <c r="E83" s="678">
        <f>D83-$K21</f>
        <v>98</v>
      </c>
      <c r="F83" s="678">
        <f>E83-$K21</f>
        <v>97</v>
      </c>
      <c r="G83" s="678">
        <f>F83-$K21</f>
        <v>96</v>
      </c>
      <c r="H83" s="934"/>
      <c r="I83" s="934"/>
      <c r="J83" s="934"/>
      <c r="K83" s="934"/>
      <c r="L83" s="934"/>
      <c r="M83" s="558"/>
      <c r="N83" s="2150"/>
      <c r="O83" s="2150"/>
      <c r="P83" s="2149"/>
      <c r="Q83" s="2142"/>
      <c r="R83" s="2129"/>
      <c r="S83" s="2129"/>
      <c r="T83" s="2129"/>
      <c r="U83" s="2129"/>
      <c r="V83" s="2129"/>
      <c r="W83" s="2129"/>
      <c r="X83" s="2129"/>
      <c r="Y83" s="2129"/>
      <c r="Z83" s="2129"/>
      <c r="AA83" s="2129"/>
      <c r="AB83" s="2129"/>
      <c r="AC83" s="2129"/>
    </row>
    <row r="84" spans="1:29" ht="15.75" thickTop="1">
      <c r="A84" s="668"/>
      <c r="B84" s="672" t="s">
        <v>744</v>
      </c>
      <c r="C84" s="707" t="s">
        <v>579</v>
      </c>
      <c r="D84" s="707" t="s">
        <v>580</v>
      </c>
      <c r="E84" s="707" t="s">
        <v>581</v>
      </c>
      <c r="F84" s="707" t="s">
        <v>582</v>
      </c>
      <c r="G84" s="707" t="s">
        <v>583</v>
      </c>
      <c r="H84" s="673"/>
      <c r="I84" s="673"/>
      <c r="J84" s="673"/>
      <c r="K84" s="674"/>
      <c r="L84" s="675"/>
      <c r="M84" s="676"/>
      <c r="N84" s="2148"/>
      <c r="O84" s="2148"/>
      <c r="P84" s="2149"/>
      <c r="Q84" s="2142"/>
      <c r="R84" s="2129"/>
      <c r="S84" s="2129"/>
      <c r="T84" s="2129"/>
      <c r="U84" s="2129"/>
      <c r="V84" s="2129"/>
      <c r="W84" s="2129"/>
      <c r="X84" s="2129"/>
      <c r="Y84" s="2129"/>
      <c r="Z84" s="2129"/>
      <c r="AA84" s="2129"/>
      <c r="AB84" s="2129"/>
      <c r="AC84" s="2129"/>
    </row>
    <row r="85" spans="1:29" ht="15.75" thickBot="1">
      <c r="A85" s="668"/>
      <c r="B85" s="677"/>
      <c r="C85" s="678">
        <v>100</v>
      </c>
      <c r="D85" s="678">
        <f>C85-$K23</f>
        <v>98</v>
      </c>
      <c r="E85" s="678">
        <f>D85-$K23</f>
        <v>96</v>
      </c>
      <c r="F85" s="678">
        <f>E85-$K23</f>
        <v>94</v>
      </c>
      <c r="G85" s="678">
        <f>F85-$K23</f>
        <v>92</v>
      </c>
      <c r="H85" s="678"/>
      <c r="I85" s="678"/>
      <c r="J85" s="678"/>
      <c r="K85" s="678"/>
      <c r="L85" s="678"/>
      <c r="M85" s="679"/>
      <c r="N85" s="2150"/>
      <c r="O85" s="2150"/>
      <c r="P85" s="2149"/>
      <c r="Q85" s="2142"/>
      <c r="R85" s="2129"/>
      <c r="S85" s="2129"/>
      <c r="T85" s="2129"/>
      <c r="U85" s="2129"/>
      <c r="V85" s="2129"/>
      <c r="W85" s="2129"/>
      <c r="X85" s="2129"/>
      <c r="Y85" s="2129"/>
      <c r="Z85" s="2129"/>
      <c r="AA85" s="2129"/>
      <c r="AB85" s="2129"/>
      <c r="AC85" s="2129"/>
    </row>
    <row r="86" spans="1:29" s="1215" customFormat="1" ht="15.75" thickTop="1">
      <c r="A86" s="708"/>
      <c r="B86" s="672" t="s">
        <v>771</v>
      </c>
      <c r="C86" s="3185" t="s">
        <v>3555</v>
      </c>
      <c r="D86" s="687"/>
      <c r="E86" s="687"/>
      <c r="F86" s="687"/>
      <c r="G86" s="687"/>
      <c r="H86" s="687"/>
      <c r="I86" s="687"/>
      <c r="J86" s="687"/>
      <c r="K86" s="687"/>
      <c r="L86" s="889"/>
      <c r="M86" s="890"/>
      <c r="N86" s="2146"/>
      <c r="O86" s="2146"/>
      <c r="P86" s="2149"/>
      <c r="Q86" s="2142"/>
      <c r="R86" s="1977"/>
      <c r="S86" s="1977"/>
      <c r="T86" s="1977"/>
      <c r="U86" s="1977"/>
      <c r="V86" s="1977"/>
      <c r="W86" s="1977"/>
      <c r="X86" s="1977"/>
      <c r="Y86" s="1977"/>
      <c r="Z86" s="1977"/>
      <c r="AA86" s="1977"/>
      <c r="AB86" s="1977"/>
      <c r="AC86" s="1977"/>
    </row>
    <row r="87" spans="1:29" s="1215" customFormat="1" ht="15.75" thickBot="1">
      <c r="A87" s="708"/>
      <c r="B87" s="677"/>
      <c r="C87" s="711">
        <v>100</v>
      </c>
      <c r="D87" s="678">
        <f t="shared" ref="D87:M87" si="19">C87-$K25</f>
        <v>97</v>
      </c>
      <c r="E87" s="678">
        <f t="shared" si="19"/>
        <v>94</v>
      </c>
      <c r="F87" s="678">
        <f t="shared" si="19"/>
        <v>91</v>
      </c>
      <c r="G87" s="678">
        <f t="shared" si="19"/>
        <v>88</v>
      </c>
      <c r="H87" s="678">
        <f t="shared" si="19"/>
        <v>85</v>
      </c>
      <c r="I87" s="678">
        <f t="shared" si="19"/>
        <v>82</v>
      </c>
      <c r="J87" s="678">
        <f t="shared" si="19"/>
        <v>79</v>
      </c>
      <c r="K87" s="678">
        <f t="shared" si="19"/>
        <v>76</v>
      </c>
      <c r="L87" s="678">
        <f t="shared" si="19"/>
        <v>73</v>
      </c>
      <c r="M87" s="678">
        <f t="shared" si="19"/>
        <v>70</v>
      </c>
      <c r="N87" s="2150"/>
      <c r="O87" s="2150"/>
      <c r="P87" s="2149"/>
      <c r="Q87" s="2142"/>
      <c r="R87" s="1977"/>
      <c r="S87" s="1977"/>
      <c r="T87" s="1977"/>
      <c r="U87" s="1977"/>
      <c r="V87" s="1977"/>
      <c r="W87" s="1977"/>
      <c r="X87" s="1977"/>
      <c r="Y87" s="1977"/>
      <c r="Z87" s="1977"/>
      <c r="AA87" s="1977"/>
      <c r="AB87" s="1977"/>
      <c r="AC87" s="1977"/>
    </row>
    <row r="88" spans="1:29" s="1215" customFormat="1" ht="15.75" thickTop="1">
      <c r="A88" s="708"/>
      <c r="B88" s="672" t="str">
        <f>B26</f>
        <v>平面位置/可视性</v>
      </c>
      <c r="C88" s="687"/>
      <c r="D88" s="687"/>
      <c r="E88" s="687"/>
      <c r="F88" s="891"/>
      <c r="G88" s="687"/>
      <c r="H88" s="687"/>
      <c r="I88" s="687"/>
      <c r="J88" s="687"/>
      <c r="K88" s="687"/>
      <c r="L88" s="687"/>
      <c r="M88" s="890"/>
      <c r="N88" s="2146"/>
      <c r="O88" s="2146"/>
      <c r="P88" s="2149"/>
      <c r="Q88" s="2142"/>
      <c r="R88" s="1977"/>
      <c r="S88" s="1977"/>
      <c r="T88" s="1977"/>
      <c r="U88" s="1977"/>
      <c r="V88" s="1977"/>
      <c r="W88" s="1977"/>
      <c r="X88" s="1977"/>
      <c r="Y88" s="1977"/>
      <c r="Z88" s="1977"/>
      <c r="AA88" s="1977"/>
      <c r="AB88" s="1977"/>
      <c r="AC88" s="1977"/>
    </row>
    <row r="89" spans="1:29" s="1215" customFormat="1" ht="15.75" thickBot="1">
      <c r="A89" s="708"/>
      <c r="B89" s="677"/>
      <c r="C89" s="691"/>
      <c r="D89" s="670"/>
      <c r="E89" s="670"/>
      <c r="F89" s="670"/>
      <c r="G89" s="670"/>
      <c r="H89" s="670"/>
      <c r="I89" s="670"/>
      <c r="J89" s="670"/>
      <c r="K89" s="670"/>
      <c r="L89" s="670"/>
      <c r="M89" s="670"/>
      <c r="N89" s="2150"/>
      <c r="O89" s="2150"/>
      <c r="P89" s="2149"/>
      <c r="Q89" s="2142"/>
      <c r="R89" s="1977"/>
      <c r="S89" s="1977"/>
      <c r="T89" s="1977"/>
      <c r="U89" s="1977"/>
      <c r="V89" s="1977"/>
      <c r="W89" s="1977"/>
      <c r="X89" s="1977"/>
      <c r="Y89" s="1977"/>
      <c r="Z89" s="1977"/>
      <c r="AA89" s="1977"/>
      <c r="AB89" s="1977"/>
      <c r="AC89" s="1977"/>
    </row>
    <row r="90" spans="1:29" s="1334" customFormat="1" ht="15.75" thickTop="1">
      <c r="A90" s="686"/>
      <c r="B90" s="672" t="str">
        <f>B27</f>
        <v>人流量</v>
      </c>
      <c r="C90" s="3185" t="s">
        <v>3558</v>
      </c>
      <c r="D90" s="3185" t="s">
        <v>3559</v>
      </c>
      <c r="E90" s="687"/>
      <c r="F90" s="687"/>
      <c r="G90" s="687"/>
      <c r="H90" s="688"/>
      <c r="I90" s="688"/>
      <c r="J90" s="688"/>
      <c r="K90" s="688"/>
      <c r="L90" s="689"/>
      <c r="M90" s="690"/>
      <c r="N90" s="2151"/>
      <c r="O90" s="2151"/>
      <c r="P90" s="2152"/>
      <c r="Q90" s="2153"/>
      <c r="R90" s="2154"/>
      <c r="S90" s="2154"/>
      <c r="T90" s="2154"/>
      <c r="U90" s="2154"/>
      <c r="V90" s="2154"/>
      <c r="W90" s="2154"/>
      <c r="X90" s="2154"/>
      <c r="Y90" s="2154"/>
      <c r="Z90" s="2154"/>
      <c r="AA90" s="2154"/>
      <c r="AB90" s="2154"/>
      <c r="AC90" s="2154"/>
    </row>
    <row r="91" spans="1:29" s="1334" customFormat="1" ht="15.75" thickBot="1">
      <c r="A91" s="686"/>
      <c r="B91" s="677"/>
      <c r="C91" s="711">
        <v>100</v>
      </c>
      <c r="D91" s="678">
        <f>C91-$K27</f>
        <v>95</v>
      </c>
      <c r="E91" s="678">
        <f t="shared" ref="E91:M91" si="20">D91-$K27</f>
        <v>90</v>
      </c>
      <c r="F91" s="678">
        <f t="shared" si="20"/>
        <v>85</v>
      </c>
      <c r="G91" s="678">
        <f t="shared" si="20"/>
        <v>80</v>
      </c>
      <c r="H91" s="678">
        <f t="shared" si="20"/>
        <v>75</v>
      </c>
      <c r="I91" s="678">
        <f t="shared" si="20"/>
        <v>70</v>
      </c>
      <c r="J91" s="678">
        <f t="shared" si="20"/>
        <v>65</v>
      </c>
      <c r="K91" s="678">
        <f t="shared" si="20"/>
        <v>60</v>
      </c>
      <c r="L91" s="678">
        <f t="shared" si="20"/>
        <v>55</v>
      </c>
      <c r="M91" s="678">
        <f t="shared" si="20"/>
        <v>50</v>
      </c>
      <c r="N91" s="2151"/>
      <c r="O91" s="2151"/>
      <c r="P91" s="2152"/>
      <c r="Q91" s="2153"/>
      <c r="R91" s="2154"/>
      <c r="S91" s="2154"/>
      <c r="T91" s="2154"/>
      <c r="U91" s="2154"/>
      <c r="V91" s="2154"/>
      <c r="W91" s="2154"/>
      <c r="X91" s="2154"/>
      <c r="Y91" s="2154"/>
      <c r="Z91" s="2154"/>
      <c r="AA91" s="2154"/>
      <c r="AB91" s="2154"/>
      <c r="AC91" s="2154"/>
    </row>
    <row r="92" spans="1:29" ht="15.75" thickTop="1">
      <c r="A92" s="668"/>
      <c r="B92" s="672" t="str">
        <f>B28</f>
        <v>楼层</v>
      </c>
      <c r="C92" s="687">
        <v>1</v>
      </c>
      <c r="D92" s="3741" t="s">
        <v>3568</v>
      </c>
      <c r="E92" s="687"/>
      <c r="F92" s="687"/>
      <c r="G92" s="687"/>
      <c r="H92" s="687"/>
      <c r="I92" s="687"/>
      <c r="J92" s="687"/>
      <c r="K92" s="687"/>
      <c r="L92" s="889"/>
      <c r="M92" s="890"/>
      <c r="N92" s="2148"/>
      <c r="O92" s="2148"/>
      <c r="P92" s="2149"/>
      <c r="Q92" s="2142"/>
      <c r="R92" s="2129"/>
      <c r="S92" s="2129"/>
      <c r="T92" s="2129"/>
      <c r="U92" s="2129"/>
      <c r="V92" s="2129"/>
      <c r="W92" s="2129"/>
      <c r="X92" s="2129"/>
      <c r="Y92" s="2129"/>
      <c r="Z92" s="2129"/>
      <c r="AA92" s="2129"/>
      <c r="AB92" s="2129"/>
      <c r="AC92" s="2129"/>
    </row>
    <row r="93" spans="1:29" ht="15.75" thickBot="1">
      <c r="A93" s="668"/>
      <c r="B93" s="677"/>
      <c r="C93" s="670">
        <v>100</v>
      </c>
      <c r="D93" s="670">
        <v>75</v>
      </c>
      <c r="E93" s="670"/>
      <c r="F93" s="670"/>
      <c r="G93" s="670"/>
      <c r="H93" s="670"/>
      <c r="I93" s="670"/>
      <c r="J93" s="670"/>
      <c r="K93" s="670"/>
      <c r="L93" s="670"/>
      <c r="M93" s="671"/>
      <c r="N93" s="2150"/>
      <c r="O93" s="2150"/>
      <c r="P93" s="2149"/>
      <c r="Q93" s="2142"/>
      <c r="R93" s="2129"/>
      <c r="S93" s="2129"/>
      <c r="T93" s="2129"/>
      <c r="U93" s="2129"/>
      <c r="V93" s="2129"/>
      <c r="W93" s="2129"/>
      <c r="X93" s="2129"/>
      <c r="Y93" s="2129"/>
      <c r="Z93" s="2129"/>
      <c r="AA93" s="2129"/>
      <c r="AB93" s="2129"/>
      <c r="AC93" s="2129"/>
    </row>
    <row r="94" spans="1:29" ht="15.75" thickTop="1">
      <c r="A94" s="668"/>
      <c r="B94" s="672">
        <f>B29</f>
        <v>111</v>
      </c>
      <c r="C94" s="687"/>
      <c r="D94" s="687"/>
      <c r="E94" s="687"/>
      <c r="F94" s="687"/>
      <c r="G94" s="717"/>
      <c r="H94" s="717"/>
      <c r="I94" s="717"/>
      <c r="J94" s="717"/>
      <c r="K94" s="718"/>
      <c r="L94" s="719"/>
      <c r="M94" s="720"/>
      <c r="N94" s="2148"/>
      <c r="O94" s="2148"/>
      <c r="P94" s="2149"/>
      <c r="Q94" s="2142"/>
      <c r="R94" s="2129"/>
      <c r="S94" s="2129"/>
      <c r="T94" s="2129"/>
      <c r="U94" s="2129"/>
      <c r="V94" s="2129"/>
      <c r="W94" s="2129"/>
      <c r="X94" s="2129"/>
      <c r="Y94" s="2129"/>
      <c r="Z94" s="2129"/>
      <c r="AA94" s="2129"/>
      <c r="AB94" s="2129"/>
      <c r="AC94" s="2129"/>
    </row>
    <row r="95" spans="1:29" ht="15.75" thickBot="1">
      <c r="A95" s="668"/>
      <c r="B95" s="677"/>
      <c r="C95" s="691"/>
      <c r="D95" s="670"/>
      <c r="E95" s="670"/>
      <c r="F95" s="670"/>
      <c r="G95" s="670"/>
      <c r="H95" s="670"/>
      <c r="I95" s="670"/>
      <c r="J95" s="670"/>
      <c r="K95" s="670"/>
      <c r="L95" s="670"/>
      <c r="M95" s="671"/>
      <c r="N95" s="2150"/>
      <c r="O95" s="2150"/>
      <c r="P95" s="2149"/>
      <c r="Q95" s="2142"/>
      <c r="R95" s="2129"/>
      <c r="S95" s="2129"/>
      <c r="T95" s="2129"/>
      <c r="U95" s="2129"/>
      <c r="V95" s="2129"/>
      <c r="W95" s="2129"/>
      <c r="X95" s="2129"/>
      <c r="Y95" s="2129"/>
      <c r="Z95" s="2129"/>
      <c r="AA95" s="2129"/>
      <c r="AB95" s="2129"/>
      <c r="AC95" s="2129"/>
    </row>
    <row r="96" spans="1:29" ht="15.75" thickTop="1">
      <c r="A96" s="668"/>
      <c r="B96" s="672">
        <f>B30</f>
        <v>111</v>
      </c>
      <c r="C96" s="687"/>
      <c r="D96" s="687"/>
      <c r="E96" s="687"/>
      <c r="F96" s="687"/>
      <c r="G96" s="717"/>
      <c r="H96" s="717"/>
      <c r="I96" s="717"/>
      <c r="J96" s="717"/>
      <c r="K96" s="718"/>
      <c r="L96" s="719"/>
      <c r="M96" s="720"/>
      <c r="N96" s="2148"/>
      <c r="O96" s="2148"/>
      <c r="P96" s="2149"/>
      <c r="Q96" s="2142"/>
      <c r="R96" s="2129"/>
      <c r="S96" s="2129"/>
      <c r="T96" s="2129"/>
      <c r="U96" s="2129"/>
      <c r="V96" s="2129"/>
      <c r="W96" s="2129"/>
      <c r="X96" s="2129"/>
      <c r="Y96" s="2129"/>
      <c r="Z96" s="2129"/>
      <c r="AA96" s="2129"/>
      <c r="AB96" s="2129"/>
      <c r="AC96" s="2129"/>
    </row>
    <row r="97" spans="1:29" ht="15.75" thickBot="1">
      <c r="A97" s="668"/>
      <c r="B97" s="677"/>
      <c r="C97" s="691"/>
      <c r="D97" s="670"/>
      <c r="E97" s="670"/>
      <c r="F97" s="670"/>
      <c r="G97" s="670"/>
      <c r="H97" s="670"/>
      <c r="I97" s="670"/>
      <c r="J97" s="670"/>
      <c r="K97" s="670"/>
      <c r="L97" s="670"/>
      <c r="M97" s="671"/>
      <c r="N97" s="2150"/>
      <c r="O97" s="2150"/>
      <c r="P97" s="2149"/>
      <c r="Q97" s="2142"/>
      <c r="R97" s="2129"/>
      <c r="S97" s="2129"/>
      <c r="T97" s="2129"/>
      <c r="U97" s="2129"/>
      <c r="V97" s="2129"/>
      <c r="W97" s="2129"/>
      <c r="X97" s="2129"/>
      <c r="Y97" s="2129"/>
      <c r="Z97" s="2129"/>
      <c r="AA97" s="2129"/>
      <c r="AB97" s="2129"/>
      <c r="AC97" s="2129"/>
    </row>
    <row r="98" spans="1:29" ht="15.75" thickTop="1">
      <c r="A98" s="668"/>
      <c r="B98" s="680">
        <f>B31</f>
        <v>111</v>
      </c>
      <c r="C98" s="687"/>
      <c r="D98" s="687"/>
      <c r="E98" s="687"/>
      <c r="F98" s="687"/>
      <c r="G98" s="721"/>
      <c r="H98" s="721"/>
      <c r="I98" s="721"/>
      <c r="J98" s="721"/>
      <c r="K98" s="722"/>
      <c r="L98" s="723"/>
      <c r="M98" s="724"/>
      <c r="N98" s="2148"/>
      <c r="O98" s="2148"/>
      <c r="P98" s="2149"/>
      <c r="Q98" s="2142"/>
      <c r="R98" s="2129"/>
      <c r="S98" s="2129"/>
      <c r="T98" s="2129"/>
      <c r="U98" s="2129"/>
      <c r="V98" s="2129"/>
      <c r="W98" s="2129"/>
      <c r="X98" s="2129"/>
      <c r="Y98" s="2129"/>
      <c r="Z98" s="2129"/>
      <c r="AA98" s="2129"/>
      <c r="AB98" s="2129"/>
      <c r="AC98" s="2129"/>
    </row>
    <row r="99" spans="1:29" ht="15.75" thickBot="1">
      <c r="A99" s="892"/>
      <c r="B99" s="698"/>
      <c r="C99" s="699"/>
      <c r="D99" s="699"/>
      <c r="E99" s="699"/>
      <c r="F99" s="699"/>
      <c r="G99" s="725"/>
      <c r="H99" s="725"/>
      <c r="I99" s="725"/>
      <c r="J99" s="725"/>
      <c r="K99" s="725"/>
      <c r="L99" s="725"/>
      <c r="M99" s="726"/>
      <c r="N99" s="2150"/>
      <c r="O99" s="2150"/>
      <c r="P99" s="2149"/>
      <c r="Q99" s="2142"/>
      <c r="R99" s="2129"/>
      <c r="S99" s="2129"/>
      <c r="T99" s="2129"/>
      <c r="U99" s="2129"/>
      <c r="V99" s="2129"/>
      <c r="W99" s="2129"/>
      <c r="X99" s="2129"/>
      <c r="Y99" s="2129"/>
      <c r="Z99" s="2129"/>
      <c r="AA99" s="2129"/>
      <c r="AB99" s="2129"/>
      <c r="AC99" s="2129"/>
    </row>
    <row r="100" spans="1:29">
      <c r="A100" s="663" t="s">
        <v>551</v>
      </c>
      <c r="B100" s="664" t="s">
        <v>772</v>
      </c>
      <c r="C100" s="3186" t="s">
        <v>3563</v>
      </c>
      <c r="D100" s="597"/>
      <c r="E100" s="597"/>
      <c r="F100" s="597"/>
      <c r="G100" s="597"/>
      <c r="H100" s="597"/>
      <c r="I100" s="597"/>
      <c r="J100" s="597"/>
      <c r="K100" s="665"/>
      <c r="L100" s="666"/>
      <c r="M100" s="667"/>
      <c r="N100" s="2148"/>
      <c r="O100" s="2148"/>
      <c r="P100" s="2149"/>
      <c r="Q100" s="2142"/>
      <c r="R100" s="2129"/>
      <c r="S100" s="2129"/>
      <c r="T100" s="2129"/>
      <c r="U100" s="2129"/>
      <c r="V100" s="2129"/>
      <c r="W100" s="2129"/>
      <c r="X100" s="2129"/>
      <c r="Y100" s="2129"/>
      <c r="Z100" s="2129"/>
      <c r="AA100" s="2129"/>
      <c r="AB100" s="2129"/>
      <c r="AC100" s="2129"/>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8"/>
      <c r="B102" s="672" t="s">
        <v>748</v>
      </c>
      <c r="C102" s="707" t="str">
        <f>C103&amp;"(含)"&amp;"-"&amp;D103</f>
        <v>1(含)-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4" customFormat="1">
      <c r="A103" s="727"/>
      <c r="B103" s="728"/>
      <c r="C103" s="729">
        <v>1</v>
      </c>
      <c r="D103" s="729"/>
      <c r="E103" s="729"/>
      <c r="F103" s="729"/>
      <c r="G103" s="729"/>
      <c r="H103" s="729"/>
      <c r="I103" s="729"/>
      <c r="J103" s="730"/>
      <c r="K103" s="730"/>
      <c r="L103" s="731"/>
      <c r="M103" s="732"/>
      <c r="N103" s="2151"/>
      <c r="O103" s="2151"/>
      <c r="P103" s="2152"/>
      <c r="Q103" s="2153"/>
      <c r="R103" s="2154"/>
      <c r="S103" s="2154"/>
      <c r="T103" s="2154"/>
      <c r="U103" s="2154"/>
      <c r="V103" s="2154"/>
      <c r="W103" s="2154"/>
      <c r="X103" s="2154"/>
      <c r="Y103" s="2154"/>
      <c r="Z103" s="2154"/>
      <c r="AA103" s="2154"/>
      <c r="AB103" s="2154"/>
      <c r="AC103" s="2154"/>
    </row>
    <row r="104" spans="1:29" s="1334" customFormat="1" ht="15.75" thickBot="1">
      <c r="A104" s="686"/>
      <c r="B104" s="677"/>
      <c r="C104" s="691">
        <v>100</v>
      </c>
      <c r="D104" s="670"/>
      <c r="E104" s="670"/>
      <c r="F104" s="670"/>
      <c r="G104" s="670"/>
      <c r="H104" s="670"/>
      <c r="I104" s="670"/>
      <c r="J104" s="670"/>
      <c r="K104" s="670"/>
      <c r="L104" s="670"/>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4"/>
      <c r="B105" s="672" t="s">
        <v>749</v>
      </c>
      <c r="C105" s="3185" t="s">
        <v>3562</v>
      </c>
      <c r="D105" s="687"/>
      <c r="E105" s="717"/>
      <c r="F105" s="717"/>
      <c r="G105" s="717"/>
      <c r="H105" s="717"/>
      <c r="I105" s="717"/>
      <c r="J105" s="717"/>
      <c r="K105" s="718"/>
      <c r="L105" s="719"/>
      <c r="M105" s="720"/>
      <c r="N105" s="2148"/>
      <c r="O105" s="2148"/>
      <c r="P105" s="2149"/>
      <c r="Q105" s="2142"/>
      <c r="R105" s="2129"/>
      <c r="S105" s="2129"/>
      <c r="T105" s="2129"/>
      <c r="U105" s="2129"/>
      <c r="V105" s="2129"/>
      <c r="W105" s="2129"/>
      <c r="X105" s="2129"/>
      <c r="Y105" s="2129"/>
      <c r="Z105" s="2129"/>
      <c r="AA105" s="2129"/>
      <c r="AB105" s="2129"/>
      <c r="AC105" s="2129"/>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4"/>
      <c r="B107" s="672" t="s">
        <v>751</v>
      </c>
      <c r="C107" s="687"/>
      <c r="D107" s="687"/>
      <c r="E107" s="687"/>
      <c r="F107" s="717"/>
      <c r="G107" s="717"/>
      <c r="H107" s="717"/>
      <c r="I107" s="717"/>
      <c r="J107" s="717"/>
      <c r="K107" s="718"/>
      <c r="L107" s="719"/>
      <c r="M107" s="720"/>
      <c r="N107" s="2148"/>
      <c r="O107" s="2148"/>
      <c r="P107" s="2149"/>
      <c r="Q107" s="2142"/>
      <c r="R107" s="2129"/>
      <c r="S107" s="2129"/>
      <c r="T107" s="2129"/>
      <c r="U107" s="2129"/>
      <c r="V107" s="2129"/>
      <c r="W107" s="2129"/>
      <c r="X107" s="2129"/>
      <c r="Y107" s="2129"/>
      <c r="Z107" s="2129"/>
      <c r="AA107" s="2129"/>
      <c r="AB107" s="2129"/>
      <c r="AC107" s="2129"/>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8"/>
      <c r="O109" s="2148"/>
      <c r="P109" s="2149"/>
      <c r="Q109" s="2142"/>
      <c r="R109" s="2129"/>
      <c r="S109" s="2129"/>
      <c r="T109" s="2129"/>
      <c r="U109" s="2129"/>
      <c r="V109" s="2129"/>
      <c r="W109" s="2129"/>
      <c r="X109" s="2129"/>
      <c r="Y109" s="2129"/>
      <c r="Z109" s="2129"/>
      <c r="AA109" s="2129"/>
      <c r="AB109" s="2129"/>
      <c r="AC109" s="2129"/>
    </row>
    <row r="110" spans="1:29">
      <c r="A110" s="734"/>
      <c r="B110" s="680"/>
      <c r="C110" s="893">
        <v>0.5</v>
      </c>
      <c r="D110" s="893">
        <v>0.6</v>
      </c>
      <c r="E110" s="893">
        <v>0.7</v>
      </c>
      <c r="F110" s="893">
        <v>0.8</v>
      </c>
      <c r="G110" s="893">
        <v>0.9</v>
      </c>
      <c r="H110" s="893">
        <v>1.0001</v>
      </c>
      <c r="I110" s="904"/>
      <c r="J110" s="904"/>
      <c r="K110" s="905"/>
      <c r="L110" s="906"/>
      <c r="M110" s="907"/>
      <c r="N110" s="2148"/>
      <c r="O110" s="2148"/>
      <c r="P110" s="2149"/>
      <c r="Q110" s="2142"/>
      <c r="R110" s="2129"/>
      <c r="S110" s="2129"/>
      <c r="T110" s="2129"/>
      <c r="U110" s="2129"/>
      <c r="V110" s="2129"/>
      <c r="W110" s="2129"/>
      <c r="X110" s="2129"/>
      <c r="Y110" s="2129"/>
      <c r="Z110" s="2129"/>
      <c r="AA110" s="2129"/>
      <c r="AB110" s="2129"/>
      <c r="AC110" s="2129"/>
    </row>
    <row r="111" spans="1:29" ht="15.75" thickBot="1">
      <c r="A111" s="668"/>
      <c r="B111" s="677"/>
      <c r="C111" s="711">
        <v>100</v>
      </c>
      <c r="D111" s="678">
        <f>C111+$K36</f>
        <v>101</v>
      </c>
      <c r="E111" s="678">
        <f t="shared" ref="E111:M111" si="25">D111+$K36</f>
        <v>102</v>
      </c>
      <c r="F111" s="678">
        <f t="shared" si="25"/>
        <v>103</v>
      </c>
      <c r="G111" s="678">
        <f t="shared" si="25"/>
        <v>104</v>
      </c>
      <c r="H111" s="678">
        <f t="shared" si="25"/>
        <v>105</v>
      </c>
      <c r="I111" s="678">
        <f t="shared" si="25"/>
        <v>106</v>
      </c>
      <c r="J111" s="678">
        <f t="shared" si="25"/>
        <v>107</v>
      </c>
      <c r="K111" s="678">
        <f t="shared" si="25"/>
        <v>108</v>
      </c>
      <c r="L111" s="678">
        <f t="shared" si="25"/>
        <v>109</v>
      </c>
      <c r="M111" s="678">
        <f t="shared" si="25"/>
        <v>110</v>
      </c>
      <c r="N111" s="2150"/>
      <c r="O111" s="2150"/>
      <c r="P111" s="2149"/>
      <c r="Q111" s="2142"/>
      <c r="R111" s="2129"/>
      <c r="S111" s="2129"/>
      <c r="T111" s="2129"/>
      <c r="U111" s="2129"/>
      <c r="V111" s="2129"/>
      <c r="W111" s="2129"/>
      <c r="X111" s="2129"/>
      <c r="Y111" s="2129"/>
      <c r="Z111" s="2129"/>
      <c r="AA111" s="2129"/>
      <c r="AB111" s="2129"/>
      <c r="AC111" s="2129"/>
    </row>
    <row r="112" spans="1:29" s="1334" customFormat="1" ht="15" thickTop="1">
      <c r="A112" s="727"/>
      <c r="B112" s="1880" t="s">
        <v>2555</v>
      </c>
      <c r="C112" s="687"/>
      <c r="D112" s="687"/>
      <c r="E112" s="687"/>
      <c r="F112" s="687"/>
      <c r="G112" s="687"/>
      <c r="H112" s="717"/>
      <c r="I112" s="717"/>
      <c r="J112" s="717"/>
      <c r="K112" s="718"/>
      <c r="L112" s="719"/>
      <c r="M112" s="720"/>
      <c r="N112" s="2151"/>
      <c r="O112" s="2151"/>
      <c r="P112" s="2152"/>
      <c r="Q112" s="2153"/>
      <c r="R112" s="2154"/>
      <c r="S112" s="2154"/>
      <c r="T112" s="2154"/>
      <c r="U112" s="2154"/>
      <c r="V112" s="2154"/>
      <c r="W112" s="2154"/>
      <c r="X112" s="2154"/>
      <c r="Y112" s="2154"/>
      <c r="Z112" s="2154"/>
      <c r="AA112" s="2154"/>
      <c r="AB112" s="2154"/>
      <c r="AC112" s="2154"/>
    </row>
    <row r="113" spans="1:29" s="1334"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4"/>
      <c r="B114" s="672" t="s">
        <v>773</v>
      </c>
      <c r="C114" s="687"/>
      <c r="D114" s="687"/>
      <c r="E114" s="717"/>
      <c r="F114" s="717"/>
      <c r="G114" s="717"/>
      <c r="H114" s="717"/>
      <c r="I114" s="717"/>
      <c r="J114" s="717"/>
      <c r="K114" s="718"/>
      <c r="L114" s="719"/>
      <c r="M114" s="720"/>
      <c r="N114" s="2148"/>
      <c r="O114" s="2148"/>
      <c r="P114" s="2149"/>
      <c r="Q114" s="2142"/>
      <c r="R114" s="2129"/>
      <c r="S114" s="2129"/>
      <c r="T114" s="2129"/>
      <c r="U114" s="2129"/>
      <c r="V114" s="2129"/>
      <c r="W114" s="2129"/>
      <c r="X114" s="2129"/>
      <c r="Y114" s="2129"/>
      <c r="Z114" s="2129"/>
      <c r="AA114" s="2129"/>
      <c r="AB114" s="2129"/>
      <c r="AC114" s="2129"/>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4"/>
      <c r="B116" s="672" t="s">
        <v>774</v>
      </c>
      <c r="C116" s="687">
        <v>1</v>
      </c>
      <c r="D116" s="687"/>
      <c r="E116" s="687"/>
      <c r="F116" s="687"/>
      <c r="G116" s="687"/>
      <c r="H116" s="717"/>
      <c r="I116" s="717"/>
      <c r="J116" s="717"/>
      <c r="K116" s="718"/>
      <c r="L116" s="719"/>
      <c r="M116" s="720"/>
      <c r="N116" s="2148"/>
      <c r="O116" s="2148"/>
      <c r="P116" s="2149"/>
      <c r="Q116" s="2142"/>
      <c r="R116" s="2129"/>
      <c r="S116" s="2129"/>
      <c r="T116" s="2129"/>
      <c r="U116" s="2129"/>
      <c r="V116" s="2129"/>
      <c r="W116" s="2129"/>
      <c r="X116" s="2129"/>
      <c r="Y116" s="2129"/>
      <c r="Z116" s="2129"/>
      <c r="AA116" s="2129"/>
      <c r="AB116" s="2129"/>
      <c r="AC116" s="2129"/>
    </row>
    <row r="117" spans="1:29" ht="15.75" thickBot="1">
      <c r="A117" s="668"/>
      <c r="B117" s="677"/>
      <c r="C117" s="678">
        <v>100</v>
      </c>
      <c r="D117" s="678">
        <f>C117-$K39</f>
        <v>95</v>
      </c>
      <c r="E117" s="678">
        <f>D117-$K39</f>
        <v>90</v>
      </c>
      <c r="F117" s="678">
        <f>E117-$K39</f>
        <v>85</v>
      </c>
      <c r="G117" s="678">
        <f>F117-$K39</f>
        <v>80</v>
      </c>
      <c r="H117" s="678"/>
      <c r="I117" s="678"/>
      <c r="J117" s="678"/>
      <c r="K117" s="678"/>
      <c r="L117" s="678"/>
      <c r="M117" s="679"/>
      <c r="N117" s="2150"/>
      <c r="O117" s="2150"/>
      <c r="P117" s="2149"/>
      <c r="Q117" s="2142"/>
      <c r="R117" s="2129"/>
      <c r="S117" s="2129"/>
      <c r="T117" s="2129"/>
      <c r="U117" s="2129"/>
      <c r="V117" s="2129"/>
      <c r="W117" s="2129"/>
      <c r="X117" s="2129"/>
      <c r="Y117" s="2129"/>
      <c r="Z117" s="2129"/>
      <c r="AA117" s="2129"/>
      <c r="AB117" s="2129"/>
      <c r="AC117" s="2129"/>
    </row>
    <row r="118" spans="1:29" ht="15" thickTop="1">
      <c r="A118" s="734"/>
      <c r="B118" s="672" t="s">
        <v>775</v>
      </c>
      <c r="C118" s="908"/>
      <c r="D118" s="908"/>
      <c r="E118" s="908"/>
      <c r="F118" s="908"/>
      <c r="G118" s="908"/>
      <c r="H118" s="688"/>
      <c r="I118" s="688"/>
      <c r="J118" s="688"/>
      <c r="K118" s="688"/>
      <c r="L118" s="689"/>
      <c r="M118" s="690"/>
      <c r="N118" s="2148"/>
      <c r="O118" s="2148"/>
      <c r="P118" s="2149"/>
      <c r="Q118" s="2142"/>
      <c r="R118" s="2129"/>
      <c r="S118" s="2129"/>
      <c r="T118" s="2129"/>
      <c r="U118" s="2129"/>
      <c r="V118" s="2129"/>
      <c r="W118" s="2129"/>
      <c r="X118" s="2129"/>
      <c r="Y118" s="2129"/>
      <c r="Z118" s="2129"/>
      <c r="AA118" s="2129"/>
      <c r="AB118" s="2129"/>
      <c r="AC118" s="2129"/>
    </row>
    <row r="119" spans="1:29" ht="15.75" thickBot="1">
      <c r="A119" s="668"/>
      <c r="B119" s="677"/>
      <c r="C119" s="691"/>
      <c r="D119" s="670"/>
      <c r="E119" s="670"/>
      <c r="F119" s="670"/>
      <c r="G119" s="670"/>
      <c r="H119" s="670"/>
      <c r="I119" s="670"/>
      <c r="J119" s="670"/>
      <c r="K119" s="670"/>
      <c r="L119" s="670"/>
      <c r="M119" s="671"/>
      <c r="N119" s="2150"/>
      <c r="O119" s="2150"/>
      <c r="P119" s="2149"/>
      <c r="Q119" s="2142"/>
      <c r="R119" s="2129"/>
      <c r="S119" s="2129"/>
      <c r="T119" s="2129"/>
      <c r="U119" s="2129"/>
      <c r="V119" s="2129"/>
      <c r="W119" s="2129"/>
      <c r="X119" s="2129"/>
      <c r="Y119" s="2129"/>
      <c r="Z119" s="2129"/>
      <c r="AA119" s="2129"/>
      <c r="AB119" s="2129"/>
      <c r="AC119" s="2129"/>
    </row>
    <row r="120" spans="1:29" s="1334" customFormat="1" ht="15" thickTop="1">
      <c r="A120" s="727"/>
      <c r="B120" s="672" t="s">
        <v>776</v>
      </c>
      <c r="C120" s="3187" t="s">
        <v>3561</v>
      </c>
      <c r="D120" s="717"/>
      <c r="E120" s="717"/>
      <c r="F120" s="717"/>
      <c r="G120" s="688"/>
      <c r="H120" s="688"/>
      <c r="I120" s="688"/>
      <c r="J120" s="688"/>
      <c r="K120" s="688"/>
      <c r="L120" s="689"/>
      <c r="M120" s="690"/>
      <c r="N120" s="2151"/>
      <c r="O120" s="2151"/>
      <c r="P120" s="2152"/>
      <c r="Q120" s="2153"/>
      <c r="R120" s="2154"/>
      <c r="S120" s="2154"/>
      <c r="T120" s="2154"/>
      <c r="U120" s="2154"/>
      <c r="V120" s="2154"/>
      <c r="W120" s="2154"/>
      <c r="X120" s="2154"/>
      <c r="Y120" s="2154"/>
      <c r="Z120" s="2154"/>
      <c r="AA120" s="2154"/>
      <c r="AB120" s="2154"/>
      <c r="AC120" s="2154"/>
    </row>
    <row r="121" spans="1:29" s="1334"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4"/>
      <c r="B122" s="672" t="s">
        <v>755</v>
      </c>
      <c r="C122" s="3185" t="s">
        <v>3560</v>
      </c>
      <c r="D122" s="687"/>
      <c r="E122" s="687"/>
      <c r="F122" s="717"/>
      <c r="G122" s="717"/>
      <c r="H122" s="717"/>
      <c r="I122" s="717"/>
      <c r="J122" s="717"/>
      <c r="K122" s="718"/>
      <c r="L122" s="719"/>
      <c r="M122" s="720"/>
      <c r="N122" s="2148"/>
      <c r="O122" s="2148"/>
      <c r="P122" s="2149"/>
      <c r="Q122" s="2142"/>
      <c r="R122" s="2129"/>
      <c r="S122" s="2129"/>
      <c r="T122" s="2129"/>
      <c r="U122" s="2129"/>
      <c r="V122" s="2129"/>
      <c r="W122" s="2129"/>
      <c r="X122" s="2129"/>
      <c r="Y122" s="2129"/>
      <c r="Z122" s="2129"/>
      <c r="AA122" s="2129"/>
      <c r="AB122" s="2129"/>
      <c r="AC122" s="2129"/>
    </row>
    <row r="123" spans="1:29" ht="15.75" thickBot="1">
      <c r="A123" s="668"/>
      <c r="B123" s="677"/>
      <c r="C123" s="678">
        <v>100</v>
      </c>
      <c r="D123" s="678">
        <f t="shared" ref="D123:M123" si="29">C123-$K42</f>
        <v>99</v>
      </c>
      <c r="E123" s="678">
        <f t="shared" si="29"/>
        <v>98</v>
      </c>
      <c r="F123" s="678">
        <f t="shared" si="29"/>
        <v>97</v>
      </c>
      <c r="G123" s="678">
        <f t="shared" si="29"/>
        <v>96</v>
      </c>
      <c r="H123" s="678">
        <f t="shared" si="29"/>
        <v>95</v>
      </c>
      <c r="I123" s="678">
        <f t="shared" si="29"/>
        <v>94</v>
      </c>
      <c r="J123" s="678">
        <f t="shared" si="29"/>
        <v>93</v>
      </c>
      <c r="K123" s="678">
        <f t="shared" si="29"/>
        <v>92</v>
      </c>
      <c r="L123" s="678">
        <f t="shared" si="29"/>
        <v>91</v>
      </c>
      <c r="M123" s="679">
        <f t="shared" si="29"/>
        <v>90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8"/>
      <c r="O124" s="2148"/>
      <c r="P124" s="2152"/>
      <c r="Q124" s="2142"/>
      <c r="R124" s="2129"/>
      <c r="S124" s="2129"/>
      <c r="T124" s="2129"/>
      <c r="U124" s="2129"/>
      <c r="V124" s="2129"/>
      <c r="W124" s="2129"/>
      <c r="X124" s="2129"/>
      <c r="Y124" s="2129"/>
      <c r="Z124" s="2129"/>
      <c r="AA124" s="2129"/>
      <c r="AB124" s="2129"/>
      <c r="AC124" s="2129"/>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50"/>
      <c r="O125" s="2150"/>
      <c r="P125" s="2149"/>
      <c r="Q125" s="2142"/>
      <c r="R125" s="2129"/>
      <c r="S125" s="2129"/>
      <c r="T125" s="2129"/>
      <c r="U125" s="2129"/>
      <c r="V125" s="2129"/>
      <c r="W125" s="2129"/>
      <c r="X125" s="2129"/>
      <c r="Y125" s="2129"/>
      <c r="Z125" s="2129"/>
      <c r="AA125" s="2129"/>
      <c r="AB125" s="2129"/>
      <c r="AC125" s="2129"/>
    </row>
    <row r="126" spans="1:29" s="1334" customFormat="1" ht="15" thickTop="1">
      <c r="A126" s="727"/>
      <c r="B126" s="672">
        <f>B44</f>
        <v>111</v>
      </c>
      <c r="C126" s="687"/>
      <c r="D126" s="687"/>
      <c r="E126" s="687"/>
      <c r="F126" s="687"/>
      <c r="G126" s="687"/>
      <c r="H126" s="688"/>
      <c r="I126" s="688"/>
      <c r="J126" s="688"/>
      <c r="K126" s="688"/>
      <c r="L126" s="689"/>
      <c r="M126" s="690"/>
      <c r="N126" s="2151"/>
      <c r="O126" s="2151"/>
      <c r="P126" s="2152"/>
      <c r="Q126" s="2153"/>
      <c r="R126" s="2154"/>
      <c r="S126" s="2154"/>
      <c r="T126" s="2154"/>
      <c r="U126" s="2154"/>
      <c r="V126" s="2154"/>
      <c r="W126" s="2154"/>
      <c r="X126" s="2154"/>
      <c r="Y126" s="2154"/>
      <c r="Z126" s="2154"/>
      <c r="AA126" s="2154"/>
      <c r="AB126" s="2154"/>
      <c r="AC126" s="2154"/>
    </row>
    <row r="127" spans="1:29" s="1334" customFormat="1" ht="15.75" thickBot="1">
      <c r="A127" s="686"/>
      <c r="B127" s="677"/>
      <c r="C127" s="691"/>
      <c r="D127" s="670"/>
      <c r="E127" s="670"/>
      <c r="F127" s="670"/>
      <c r="G127" s="691"/>
      <c r="H127" s="692"/>
      <c r="I127" s="692"/>
      <c r="J127" s="692"/>
      <c r="K127" s="692"/>
      <c r="L127" s="692"/>
      <c r="M127" s="693"/>
      <c r="N127" s="2151"/>
      <c r="O127" s="2151"/>
      <c r="P127" s="2152"/>
      <c r="Q127" s="2153"/>
      <c r="R127" s="2154"/>
      <c r="S127" s="2154"/>
      <c r="T127" s="2154"/>
      <c r="U127" s="2154"/>
      <c r="V127" s="2154"/>
      <c r="W127" s="2154"/>
      <c r="X127" s="2154"/>
      <c r="Y127" s="2154"/>
      <c r="Z127" s="2154"/>
      <c r="AA127" s="2154"/>
      <c r="AB127" s="2154"/>
      <c r="AC127" s="2154"/>
    </row>
    <row r="128" spans="1:29" ht="15" thickTop="1">
      <c r="A128" s="734"/>
      <c r="B128" s="672">
        <f>B45</f>
        <v>111</v>
      </c>
      <c r="C128" s="687"/>
      <c r="D128" s="687"/>
      <c r="E128" s="687"/>
      <c r="F128" s="687"/>
      <c r="G128" s="717"/>
      <c r="H128" s="717"/>
      <c r="I128" s="717"/>
      <c r="J128" s="717"/>
      <c r="K128" s="718"/>
      <c r="L128" s="719"/>
      <c r="M128" s="720"/>
      <c r="N128" s="2148"/>
      <c r="O128" s="2148"/>
      <c r="P128" s="2149"/>
      <c r="Q128" s="2142"/>
      <c r="R128" s="2129"/>
      <c r="S128" s="2129"/>
      <c r="T128" s="2129"/>
      <c r="U128" s="2129"/>
      <c r="V128" s="2129"/>
      <c r="W128" s="2129"/>
      <c r="X128" s="2129"/>
      <c r="Y128" s="2129"/>
      <c r="Z128" s="2129"/>
      <c r="AA128" s="2129"/>
      <c r="AB128" s="2129"/>
      <c r="AC128" s="2129"/>
    </row>
    <row r="129" spans="1:29" ht="15.75" thickBot="1">
      <c r="A129" s="668"/>
      <c r="B129" s="677"/>
      <c r="C129" s="691"/>
      <c r="D129" s="670"/>
      <c r="E129" s="670"/>
      <c r="F129" s="670"/>
      <c r="G129" s="670"/>
      <c r="H129" s="670"/>
      <c r="I129" s="670"/>
      <c r="J129" s="670"/>
      <c r="K129" s="670"/>
      <c r="L129" s="670"/>
      <c r="M129" s="671"/>
      <c r="N129" s="2150"/>
      <c r="O129" s="2150"/>
      <c r="P129" s="2149"/>
      <c r="Q129" s="2142"/>
      <c r="R129" s="2129"/>
      <c r="S129" s="2129"/>
      <c r="T129" s="2129"/>
      <c r="U129" s="2129"/>
      <c r="V129" s="2129"/>
      <c r="W129" s="2129"/>
      <c r="X129" s="2129"/>
      <c r="Y129" s="2129"/>
      <c r="Z129" s="2129"/>
      <c r="AA129" s="2129"/>
      <c r="AB129" s="2129"/>
      <c r="AC129" s="2129"/>
    </row>
    <row r="130" spans="1:29" ht="15" thickTop="1">
      <c r="A130" s="734"/>
      <c r="B130" s="680">
        <f>B46</f>
        <v>111</v>
      </c>
      <c r="C130" s="687"/>
      <c r="D130" s="687"/>
      <c r="E130" s="687"/>
      <c r="F130" s="687"/>
      <c r="G130" s="721"/>
      <c r="H130" s="721"/>
      <c r="I130" s="721"/>
      <c r="J130" s="721"/>
      <c r="K130" s="660"/>
      <c r="L130" s="661"/>
      <c r="M130" s="724"/>
      <c r="N130" s="2148"/>
      <c r="O130" s="2148"/>
      <c r="P130" s="2149"/>
      <c r="Q130" s="2142"/>
      <c r="R130" s="2129"/>
      <c r="S130" s="2129"/>
      <c r="T130" s="2129"/>
      <c r="U130" s="2129"/>
      <c r="V130" s="2129"/>
      <c r="W130" s="2129"/>
      <c r="X130" s="2129"/>
      <c r="Y130" s="2129"/>
      <c r="Z130" s="2129"/>
      <c r="AA130" s="2129"/>
      <c r="AB130" s="2129"/>
      <c r="AC130" s="2129"/>
    </row>
    <row r="131" spans="1:29" ht="15.75" thickBot="1">
      <c r="A131" s="892"/>
      <c r="B131" s="698"/>
      <c r="C131" s="699"/>
      <c r="D131" s="699"/>
      <c r="E131" s="699"/>
      <c r="F131" s="699"/>
      <c r="G131" s="725"/>
      <c r="H131" s="725"/>
      <c r="I131" s="725"/>
      <c r="J131" s="725"/>
      <c r="K131" s="725"/>
      <c r="L131" s="725"/>
      <c r="M131" s="726"/>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5"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502" t="s">
        <v>777</v>
      </c>
      <c r="C1" s="503" t="s">
        <v>720</v>
      </c>
      <c r="D1" s="848"/>
      <c r="E1" s="505"/>
      <c r="F1" s="2761"/>
      <c r="G1" s="1585" t="s">
        <v>721</v>
      </c>
      <c r="H1" s="505"/>
      <c r="I1" s="505"/>
      <c r="J1" s="505"/>
      <c r="K1" s="506"/>
      <c r="L1" s="1547"/>
      <c r="M1" s="1548"/>
      <c r="N1" s="1548"/>
      <c r="O1" s="1548"/>
      <c r="P1" s="2191"/>
      <c r="Q1" s="1549"/>
      <c r="R1" s="1549"/>
      <c r="S1" s="1549"/>
      <c r="T1" s="1549"/>
      <c r="U1" s="1549"/>
      <c r="V1" s="1549"/>
      <c r="W1" s="1549"/>
      <c r="X1" s="1549"/>
      <c r="Y1" s="1549"/>
      <c r="Z1" s="1549"/>
      <c r="AA1" s="1549"/>
      <c r="AB1" s="1549"/>
      <c r="AC1" s="1550"/>
    </row>
    <row r="2" spans="1:29" s="1331" customFormat="1" ht="28.5" customHeight="1">
      <c r="A2" s="422" t="s">
        <v>467</v>
      </c>
      <c r="B2" s="849"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1" customFormat="1" ht="28.5" customHeight="1" thickBot="1">
      <c r="A3" s="508" t="s">
        <v>519</v>
      </c>
      <c r="B3" s="509" t="e">
        <f>C50</f>
        <v>#DIV/0!</v>
      </c>
      <c r="C3" s="851" t="s">
        <v>722</v>
      </c>
      <c r="D3" s="850">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1" t="s">
        <v>521</v>
      </c>
      <c r="B4" s="512"/>
      <c r="C4" s="4023" t="s">
        <v>522</v>
      </c>
      <c r="D4" s="4024"/>
      <c r="E4" s="4047" t="s">
        <v>523</v>
      </c>
      <c r="F4" s="4048"/>
      <c r="G4" s="4023" t="s">
        <v>524</v>
      </c>
      <c r="H4" s="4024"/>
      <c r="I4" s="4023" t="s">
        <v>525</v>
      </c>
      <c r="J4" s="4024"/>
      <c r="K4" s="513" t="s">
        <v>526</v>
      </c>
      <c r="L4" s="2117"/>
      <c r="M4" s="2118"/>
      <c r="N4" s="2118"/>
      <c r="O4" s="2118"/>
      <c r="P4" s="4125" t="s">
        <v>527</v>
      </c>
      <c r="Q4" s="4026"/>
      <c r="R4" s="4011" t="s">
        <v>523</v>
      </c>
      <c r="S4" s="4012"/>
      <c r="T4" s="4011" t="s">
        <v>524</v>
      </c>
      <c r="U4" s="4012"/>
      <c r="V4" s="4031" t="s">
        <v>525</v>
      </c>
      <c r="W4" s="4031"/>
      <c r="X4" s="1552"/>
      <c r="Y4" s="4011" t="s">
        <v>527</v>
      </c>
      <c r="Z4" s="4012"/>
      <c r="AA4" s="4006" t="s">
        <v>523</v>
      </c>
      <c r="AB4" s="4006" t="s">
        <v>524</v>
      </c>
      <c r="AC4" s="4006" t="s">
        <v>525</v>
      </c>
    </row>
    <row r="5" spans="1:29" ht="15">
      <c r="A5" s="514"/>
      <c r="B5" s="515"/>
      <c r="C5" s="4034" t="s">
        <v>2926</v>
      </c>
      <c r="D5" s="4035"/>
      <c r="E5" s="4049" t="s">
        <v>2927</v>
      </c>
      <c r="F5" s="4050"/>
      <c r="G5" s="4034" t="s">
        <v>2928</v>
      </c>
      <c r="H5" s="4035"/>
      <c r="I5" s="4034" t="s">
        <v>2929</v>
      </c>
      <c r="J5" s="4035"/>
      <c r="K5" s="513"/>
      <c r="L5" s="2117"/>
      <c r="M5" s="2118"/>
      <c r="N5" s="2118"/>
      <c r="O5" s="2118"/>
      <c r="P5" s="4126"/>
      <c r="Q5" s="4028"/>
      <c r="R5" s="4013"/>
      <c r="S5" s="4014"/>
      <c r="T5" s="4013"/>
      <c r="U5" s="4014"/>
      <c r="V5" s="4031"/>
      <c r="W5" s="4031"/>
      <c r="X5" s="1552"/>
      <c r="Y5" s="4013"/>
      <c r="Z5" s="4014"/>
      <c r="AA5" s="4007"/>
      <c r="AB5" s="4007"/>
      <c r="AC5" s="4007"/>
    </row>
    <row r="6" spans="1:29" ht="15.75" thickBot="1">
      <c r="A6" s="516"/>
      <c r="B6" s="517"/>
      <c r="C6" s="4032" t="s">
        <v>2930</v>
      </c>
      <c r="D6" s="4033"/>
      <c r="E6" s="4051" t="s">
        <v>2930</v>
      </c>
      <c r="F6" s="4052"/>
      <c r="G6" s="4032" t="s">
        <v>2930</v>
      </c>
      <c r="H6" s="4033"/>
      <c r="I6" s="4032" t="s">
        <v>2930</v>
      </c>
      <c r="J6" s="4033"/>
      <c r="K6" s="513" t="s">
        <v>528</v>
      </c>
      <c r="L6" s="2117"/>
      <c r="M6" s="2118"/>
      <c r="N6" s="2118"/>
      <c r="O6" s="2118"/>
      <c r="P6" s="4127"/>
      <c r="Q6" s="4030"/>
      <c r="R6" s="4013"/>
      <c r="S6" s="4014"/>
      <c r="T6" s="4015"/>
      <c r="U6" s="4016"/>
      <c r="V6" s="4031"/>
      <c r="W6" s="4031"/>
      <c r="X6" s="1552"/>
      <c r="Y6" s="4015"/>
      <c r="Z6" s="4016"/>
      <c r="AA6" s="4008"/>
      <c r="AB6" s="4008"/>
      <c r="AC6" s="4008"/>
    </row>
    <row r="7" spans="1:29" s="1215" customFormat="1" ht="15.75" thickBot="1">
      <c r="A7" s="2865"/>
      <c r="B7" s="2872" t="s">
        <v>529</v>
      </c>
      <c r="C7" s="518">
        <f>'数据-取费表'!B2</f>
        <v>43647</v>
      </c>
      <c r="D7" s="519">
        <v>100</v>
      </c>
      <c r="E7" s="520"/>
      <c r="F7" s="521">
        <f>SUMIF(59:59,YEAR(E7)&amp;"-"&amp;MONTH(E7),60:60)</f>
        <v>0</v>
      </c>
      <c r="G7" s="520"/>
      <c r="H7" s="519">
        <f>SUMIF(59:59,YEAR(G7)&amp;"-"&amp;MONTH(G7),60:60)</f>
        <v>0</v>
      </c>
      <c r="I7" s="520"/>
      <c r="J7" s="519">
        <f>SUMIF(59:59,YEAR(I7)&amp;"-"&amp;MONTH(I7),60:60)</f>
        <v>0</v>
      </c>
      <c r="K7" s="523"/>
      <c r="L7" s="2119"/>
      <c r="M7" s="2120"/>
      <c r="N7" s="2120"/>
      <c r="O7" s="2120"/>
      <c r="P7" s="4018" t="s">
        <v>530</v>
      </c>
      <c r="Q7" s="4018"/>
      <c r="R7" s="1553" t="s">
        <v>8</v>
      </c>
      <c r="S7" s="1554">
        <f t="shared" ref="S7:S15" si="0">F7</f>
        <v>0</v>
      </c>
      <c r="T7" s="1553" t="s">
        <v>8</v>
      </c>
      <c r="U7" s="1554">
        <f t="shared" ref="U7:U15" si="1">H7</f>
        <v>0</v>
      </c>
      <c r="V7" s="1553" t="s">
        <v>8</v>
      </c>
      <c r="W7" s="1554">
        <f t="shared" ref="W7:W15" si="2">J7</f>
        <v>0</v>
      </c>
      <c r="X7" s="1555"/>
      <c r="Y7" s="4009" t="s">
        <v>530</v>
      </c>
      <c r="Z7" s="4010"/>
      <c r="AA7" s="1556" t="e">
        <f>D7/F7</f>
        <v>#DIV/0!</v>
      </c>
      <c r="AB7" s="1556" t="e">
        <f>D7/H7</f>
        <v>#DIV/0!</v>
      </c>
      <c r="AC7" s="1556" t="e">
        <f>D7/J7</f>
        <v>#DIV/0!</v>
      </c>
    </row>
    <row r="8" spans="1:29" s="1215" customFormat="1" ht="15.75" thickBot="1">
      <c r="A8" s="2866"/>
      <c r="B8" s="2873" t="s">
        <v>531</v>
      </c>
      <c r="C8" s="524" t="s">
        <v>576</v>
      </c>
      <c r="D8" s="519">
        <v>100</v>
      </c>
      <c r="E8" s="524"/>
      <c r="F8" s="521">
        <f>SUMIF(62:62,E8,63:63)-SUMIF(62:62,C8,63:63)+100</f>
        <v>0</v>
      </c>
      <c r="G8" s="524"/>
      <c r="H8" s="519">
        <f>SUMIF(62:62,G8,63:63)-SUMIF(62:62,C8,63:63)+100</f>
        <v>0</v>
      </c>
      <c r="I8" s="524"/>
      <c r="J8" s="519">
        <f>SUMIF(62:62,I8,63:63)-SUMIF(62:62,C8,63:63)+100</f>
        <v>0</v>
      </c>
      <c r="K8" s="523"/>
      <c r="L8" s="2119"/>
      <c r="M8" s="2120"/>
      <c r="N8" s="2120"/>
      <c r="O8" s="2120"/>
      <c r="P8" s="4018" t="s">
        <v>533</v>
      </c>
      <c r="Q8" s="4010"/>
      <c r="R8" s="1553" t="s">
        <v>8</v>
      </c>
      <c r="S8" s="1554">
        <f t="shared" si="0"/>
        <v>0</v>
      </c>
      <c r="T8" s="1553" t="s">
        <v>8</v>
      </c>
      <c r="U8" s="1554">
        <f t="shared" si="1"/>
        <v>0</v>
      </c>
      <c r="V8" s="1553" t="s">
        <v>8</v>
      </c>
      <c r="W8" s="1554">
        <f t="shared" si="2"/>
        <v>0</v>
      </c>
      <c r="X8" s="1555"/>
      <c r="Y8" s="4009" t="s">
        <v>533</v>
      </c>
      <c r="Z8" s="4010"/>
      <c r="AA8" s="1556" t="e">
        <f t="shared" ref="AA8:AA47" si="3">D8/F8</f>
        <v>#DIV/0!</v>
      </c>
      <c r="AB8" s="1556" t="e">
        <f t="shared" ref="AB8:AB47" si="4">D8/H8</f>
        <v>#DIV/0!</v>
      </c>
      <c r="AC8" s="1556" t="e">
        <f t="shared" ref="AC8:AC47" si="5">D8/J8</f>
        <v>#DIV/0!</v>
      </c>
    </row>
    <row r="9" spans="1:29" s="1215" customFormat="1" ht="15">
      <c r="A9" s="2867"/>
      <c r="B9" s="2874" t="s">
        <v>2755</v>
      </c>
      <c r="C9" s="856"/>
      <c r="D9" s="253">
        <v>100</v>
      </c>
      <c r="E9" s="859"/>
      <c r="F9" s="253">
        <f>SUMIF(64:64,E9,65:65)-SUMIF(64:64,C9,65:65)+100</f>
        <v>100</v>
      </c>
      <c r="G9" s="857"/>
      <c r="H9" s="253">
        <f>SUMIF(64:64,G9,65:65)-SUMIF(64:64,C9,65:65)+100</f>
        <v>100</v>
      </c>
      <c r="I9" s="857"/>
      <c r="J9" s="253">
        <f>SUMIF(64:64,I9,65:65)-SUMIF(64:64,C9,65:65)+100</f>
        <v>100</v>
      </c>
      <c r="K9" s="523"/>
      <c r="L9" s="2119"/>
      <c r="M9" s="2120"/>
      <c r="N9" s="2120"/>
      <c r="O9" s="2120"/>
      <c r="P9" s="4017" t="s">
        <v>535</v>
      </c>
      <c r="Q9" s="1146" t="str">
        <f t="shared" ref="Q9:Q15" si="6">B9</f>
        <v>用途</v>
      </c>
      <c r="R9" s="1553" t="s">
        <v>8</v>
      </c>
      <c r="S9" s="1554">
        <f t="shared" si="0"/>
        <v>100</v>
      </c>
      <c r="T9" s="1553" t="s">
        <v>8</v>
      </c>
      <c r="U9" s="1554">
        <f t="shared" si="1"/>
        <v>100</v>
      </c>
      <c r="V9" s="1553" t="s">
        <v>8</v>
      </c>
      <c r="W9" s="1554">
        <f t="shared" si="2"/>
        <v>100</v>
      </c>
      <c r="X9" s="1555"/>
      <c r="Y9" s="3974" t="s">
        <v>536</v>
      </c>
      <c r="Z9" s="1145" t="str">
        <f t="shared" ref="Z9:Z15" si="7">Q9</f>
        <v>用途</v>
      </c>
      <c r="AA9" s="1556">
        <f t="shared" si="3"/>
        <v>1</v>
      </c>
      <c r="AB9" s="1556">
        <f t="shared" si="4"/>
        <v>1</v>
      </c>
      <c r="AC9" s="1556">
        <f t="shared" si="5"/>
        <v>1</v>
      </c>
    </row>
    <row r="10" spans="1:29" s="1333" customFormat="1" ht="27">
      <c r="A10" s="2868"/>
      <c r="B10" s="2873" t="s">
        <v>2756</v>
      </c>
      <c r="C10" s="860"/>
      <c r="D10" s="254">
        <v>100</v>
      </c>
      <c r="E10" s="860"/>
      <c r="F10" s="254">
        <f>SUMIF(66:66,E10,67:67)-SUMIF(66:66,C10,67:67)+100</f>
        <v>100</v>
      </c>
      <c r="G10" s="861"/>
      <c r="H10" s="254">
        <f>SUMIF(66:66,G10,67:67)-SUMIF(66:66,C10,67:67)+100</f>
        <v>100</v>
      </c>
      <c r="I10" s="860"/>
      <c r="J10" s="254">
        <f>SUMIF(66:66,I10,67:67)-SUMIF(66:66,C10,67:67)+100</f>
        <v>100</v>
      </c>
      <c r="K10" s="583"/>
      <c r="L10" s="2122"/>
      <c r="M10" s="2162"/>
      <c r="N10" s="2162"/>
      <c r="O10" s="2162"/>
      <c r="P10" s="4017"/>
      <c r="Q10" s="1146" t="str">
        <f t="shared" si="6"/>
        <v>土地使用年限（年）</v>
      </c>
      <c r="R10" s="1553" t="s">
        <v>8</v>
      </c>
      <c r="S10" s="1554">
        <f t="shared" si="0"/>
        <v>100</v>
      </c>
      <c r="T10" s="1553" t="s">
        <v>8</v>
      </c>
      <c r="U10" s="1554">
        <f t="shared" si="1"/>
        <v>100</v>
      </c>
      <c r="V10" s="1553" t="s">
        <v>8</v>
      </c>
      <c r="W10" s="1554">
        <f t="shared" si="2"/>
        <v>100</v>
      </c>
      <c r="X10" s="1555"/>
      <c r="Y10" s="3974"/>
      <c r="Z10" s="1145" t="str">
        <f t="shared" si="7"/>
        <v>土地使用年限（年）</v>
      </c>
      <c r="AA10" s="1556">
        <f t="shared" si="3"/>
        <v>1</v>
      </c>
      <c r="AB10" s="1556">
        <f t="shared" si="4"/>
        <v>1</v>
      </c>
      <c r="AC10" s="1556">
        <f t="shared" si="5"/>
        <v>1</v>
      </c>
    </row>
    <row r="11" spans="1:29" ht="15">
      <c r="A11" s="2869"/>
      <c r="B11" s="2873" t="s">
        <v>2757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4"/>
      <c r="M11" s="2118"/>
      <c r="N11" s="2118"/>
      <c r="O11" s="2118"/>
      <c r="P11" s="4017"/>
      <c r="Q11" s="1146" t="str">
        <f t="shared" si="6"/>
        <v>容积率</v>
      </c>
      <c r="R11" s="1553" t="s">
        <v>8</v>
      </c>
      <c r="S11" s="1554" t="e">
        <f t="shared" si="0"/>
        <v>#N/A</v>
      </c>
      <c r="T11" s="1553" t="s">
        <v>8</v>
      </c>
      <c r="U11" s="1554" t="e">
        <f t="shared" si="1"/>
        <v>#N/A</v>
      </c>
      <c r="V11" s="1553" t="s">
        <v>8</v>
      </c>
      <c r="W11" s="1554" t="e">
        <f t="shared" si="2"/>
        <v>#N/A</v>
      </c>
      <c r="X11" s="1555"/>
      <c r="Y11" s="3974"/>
      <c r="Z11" s="1145" t="str">
        <f t="shared" si="7"/>
        <v>容积率</v>
      </c>
      <c r="AA11" s="1556" t="e">
        <f t="shared" si="3"/>
        <v>#N/A</v>
      </c>
      <c r="AB11" s="1556" t="e">
        <f t="shared" si="4"/>
        <v>#N/A</v>
      </c>
      <c r="AC11" s="1556" t="e">
        <f t="shared" si="5"/>
        <v>#N/A</v>
      </c>
    </row>
    <row r="12" spans="1:29" s="1215" customFormat="1" ht="15">
      <c r="A12" s="2870"/>
      <c r="B12" s="2876">
        <v>111</v>
      </c>
      <c r="C12" s="527"/>
      <c r="D12" s="537">
        <v>100</v>
      </c>
      <c r="E12" s="527"/>
      <c r="F12" s="254">
        <f>SUMIF(71:71,E12,72:72)-SUMIF(71:71,C12,72:72)+100</f>
        <v>100</v>
      </c>
      <c r="G12" s="909"/>
      <c r="H12" s="254">
        <f>SUMIF(71:71,G12,72:72)-SUMIF(71:71,C12,72:72)+100</f>
        <v>100</v>
      </c>
      <c r="I12" s="527"/>
      <c r="J12" s="254">
        <f>SUMIF(71:71,I12,72:72)-SUMIF(71:71,C12,72:72)+100</f>
        <v>100</v>
      </c>
      <c r="K12" s="580"/>
      <c r="L12" s="2119"/>
      <c r="M12" s="2120"/>
      <c r="N12" s="2120"/>
      <c r="O12" s="2120"/>
      <c r="P12" s="4017"/>
      <c r="Q12" s="1146">
        <f t="shared" si="6"/>
        <v>111</v>
      </c>
      <c r="R12" s="1553" t="s">
        <v>8</v>
      </c>
      <c r="S12" s="1554">
        <f t="shared" si="0"/>
        <v>100</v>
      </c>
      <c r="T12" s="1553" t="s">
        <v>8</v>
      </c>
      <c r="U12" s="1554">
        <f t="shared" si="1"/>
        <v>100</v>
      </c>
      <c r="V12" s="1553" t="s">
        <v>8</v>
      </c>
      <c r="W12" s="1554">
        <f t="shared" si="2"/>
        <v>100</v>
      </c>
      <c r="X12" s="1555"/>
      <c r="Y12" s="3974"/>
      <c r="Z12" s="1145">
        <f t="shared" si="7"/>
        <v>111</v>
      </c>
      <c r="AA12" s="1556">
        <f>D12/F12</f>
        <v>1</v>
      </c>
      <c r="AB12" s="1556">
        <f>D12/H12</f>
        <v>1</v>
      </c>
      <c r="AC12" s="1556">
        <f>D12/J12</f>
        <v>1</v>
      </c>
    </row>
    <row r="13" spans="1:29" ht="15">
      <c r="A13" s="2870"/>
      <c r="B13" s="2876">
        <v>111</v>
      </c>
      <c r="C13" s="538"/>
      <c r="D13" s="539">
        <v>100</v>
      </c>
      <c r="E13" s="527"/>
      <c r="F13" s="254">
        <f>SUMIF(73:73,E13,74:74)-SUMIF(73:73,C13,74:74)+100</f>
        <v>100</v>
      </c>
      <c r="G13" s="909"/>
      <c r="H13" s="539">
        <f>SUMIF(73:73,G13,74:74)-SUMIF(73:73,C13,74:74)+100</f>
        <v>100</v>
      </c>
      <c r="I13" s="527"/>
      <c r="J13" s="539">
        <f>SUMIF(73:73,I13,74:74)-SUMIF(73:73,C13,74:74)+100</f>
        <v>100</v>
      </c>
      <c r="K13" s="580"/>
      <c r="L13" s="2126"/>
      <c r="M13" s="2118"/>
      <c r="N13" s="2118"/>
      <c r="O13" s="2118"/>
      <c r="P13" s="4017"/>
      <c r="Q13" s="1146">
        <f t="shared" si="6"/>
        <v>111</v>
      </c>
      <c r="R13" s="1553" t="s">
        <v>8</v>
      </c>
      <c r="S13" s="1554">
        <f t="shared" si="0"/>
        <v>100</v>
      </c>
      <c r="T13" s="1553" t="s">
        <v>8</v>
      </c>
      <c r="U13" s="1554">
        <f t="shared" si="1"/>
        <v>100</v>
      </c>
      <c r="V13" s="1553" t="s">
        <v>8</v>
      </c>
      <c r="W13" s="1554">
        <f t="shared" si="2"/>
        <v>100</v>
      </c>
      <c r="X13" s="1555"/>
      <c r="Y13" s="3974"/>
      <c r="Z13" s="1145">
        <f t="shared" si="7"/>
        <v>111</v>
      </c>
      <c r="AA13" s="1556">
        <f t="shared" si="3"/>
        <v>1</v>
      </c>
      <c r="AB13" s="1556">
        <f t="shared" si="4"/>
        <v>1</v>
      </c>
      <c r="AC13" s="1556">
        <f t="shared" si="5"/>
        <v>1</v>
      </c>
    </row>
    <row r="14" spans="1:29" ht="15.75" thickBot="1">
      <c r="A14" s="2871"/>
      <c r="B14" s="2877">
        <v>111</v>
      </c>
      <c r="C14" s="544"/>
      <c r="D14" s="545">
        <v>100</v>
      </c>
      <c r="E14" s="910"/>
      <c r="F14" s="545">
        <f>SUMIF(75:75,E14,76:76)-SUMIF(75:75,C14,76:76)+100</f>
        <v>100</v>
      </c>
      <c r="G14" s="909"/>
      <c r="H14" s="545">
        <f>SUMIF(75:75,G14,76:76)-SUMIF(75:75,C14,76:76)+100</f>
        <v>100</v>
      </c>
      <c r="I14" s="527"/>
      <c r="J14" s="545">
        <f>SUMIF(75:75,I14,76:76)-SUMIF(75:75,C14,76:76)+100</f>
        <v>100</v>
      </c>
      <c r="K14" s="580"/>
      <c r="L14" s="2126"/>
      <c r="M14" s="2118"/>
      <c r="N14" s="2118"/>
      <c r="O14" s="2118"/>
      <c r="P14" s="4017"/>
      <c r="Q14" s="1146">
        <f t="shared" si="6"/>
        <v>111</v>
      </c>
      <c r="R14" s="1553" t="s">
        <v>8</v>
      </c>
      <c r="S14" s="1554">
        <f t="shared" si="0"/>
        <v>100</v>
      </c>
      <c r="T14" s="1553" t="s">
        <v>8</v>
      </c>
      <c r="U14" s="1554">
        <f t="shared" si="1"/>
        <v>100</v>
      </c>
      <c r="V14" s="1553" t="s">
        <v>8</v>
      </c>
      <c r="W14" s="1554">
        <f t="shared" si="2"/>
        <v>100</v>
      </c>
      <c r="X14" s="1555"/>
      <c r="Y14" s="3974"/>
      <c r="Z14" s="1145">
        <f t="shared" si="7"/>
        <v>111</v>
      </c>
      <c r="AA14" s="1556">
        <f t="shared" si="3"/>
        <v>1</v>
      </c>
      <c r="AB14" s="1556">
        <f t="shared" si="4"/>
        <v>1</v>
      </c>
      <c r="AC14" s="1556">
        <f t="shared" si="5"/>
        <v>1</v>
      </c>
    </row>
    <row r="15" spans="1:29" ht="71.25">
      <c r="A15" s="2863" t="s">
        <v>2753</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26"/>
      <c r="M15" s="2118"/>
      <c r="N15" s="2118"/>
      <c r="O15" s="2118"/>
      <c r="P15" s="4019" t="s">
        <v>540</v>
      </c>
      <c r="Q15" s="1557" t="str">
        <f t="shared" si="6"/>
        <v>办公集聚程度</v>
      </c>
      <c r="R15" s="1558" t="s">
        <v>8</v>
      </c>
      <c r="S15" s="1559">
        <f t="shared" si="0"/>
        <v>100</v>
      </c>
      <c r="T15" s="1558" t="s">
        <v>8</v>
      </c>
      <c r="U15" s="1559">
        <f t="shared" si="1"/>
        <v>100</v>
      </c>
      <c r="V15" s="1558" t="s">
        <v>8</v>
      </c>
      <c r="W15" s="1559">
        <f t="shared" si="2"/>
        <v>100</v>
      </c>
      <c r="X15" s="1552"/>
      <c r="Y15" s="4019" t="s">
        <v>540</v>
      </c>
      <c r="Z15" s="1560" t="str">
        <f t="shared" si="7"/>
        <v>办公集聚程度</v>
      </c>
      <c r="AA15" s="1561">
        <f t="shared" si="3"/>
        <v>1</v>
      </c>
      <c r="AB15" s="1561">
        <f t="shared" si="4"/>
        <v>1</v>
      </c>
      <c r="AC15" s="1561">
        <f t="shared" si="5"/>
        <v>1</v>
      </c>
    </row>
    <row r="16" spans="1:29" ht="15">
      <c r="A16" s="531"/>
      <c r="B16" s="552"/>
      <c r="C16" s="553"/>
      <c r="D16" s="554"/>
      <c r="E16" s="575"/>
      <c r="F16" s="554"/>
      <c r="G16" s="553"/>
      <c r="H16" s="558"/>
      <c r="I16" s="575"/>
      <c r="J16" s="554"/>
      <c r="K16" s="898"/>
      <c r="L16" s="2126"/>
      <c r="M16" s="2118"/>
      <c r="N16" s="2118"/>
      <c r="O16" s="2118"/>
      <c r="P16" s="4020"/>
      <c r="Q16" s="1557"/>
      <c r="R16" s="1558"/>
      <c r="S16" s="1559"/>
      <c r="T16" s="1558"/>
      <c r="U16" s="1559"/>
      <c r="V16" s="1558"/>
      <c r="W16" s="1559"/>
      <c r="X16" s="1552"/>
      <c r="Y16" s="4020"/>
      <c r="Z16" s="1560"/>
      <c r="AA16" s="1561">
        <v>1</v>
      </c>
      <c r="AB16" s="1561">
        <v>1</v>
      </c>
      <c r="AC16" s="1561">
        <v>1</v>
      </c>
    </row>
    <row r="17" spans="1:29" ht="128.25">
      <c r="A17" s="531"/>
      <c r="B17" s="559" t="s">
        <v>296</v>
      </c>
      <c r="C17" s="572" t="str">
        <f>估价对象房地状况!C6</f>
        <v>周边道路密集程度一般、公共交通通达情况一般，有107路，203路、等公交线路通过，停车便捷程度一般，综合评价交通便捷度一般。</v>
      </c>
      <c r="D17" s="558">
        <v>100</v>
      </c>
      <c r="E17" s="563"/>
      <c r="F17" s="558">
        <f>SUMIF(79:79,E18,80:80)-SUMIF(79:79,C18,80:80)+100</f>
        <v>100</v>
      </c>
      <c r="G17" s="561"/>
      <c r="H17" s="564">
        <f>SUMIF(79:79,G18,80:80)-SUMIF(79:79,C18,80:80)+100</f>
        <v>100</v>
      </c>
      <c r="I17" s="561"/>
      <c r="J17" s="564">
        <f>SUMIF(79:79,I18,80:80)-SUMIF(79:79,C18,80:80)+100</f>
        <v>100</v>
      </c>
      <c r="K17" s="897"/>
      <c r="L17" s="2126"/>
      <c r="M17" s="2118"/>
      <c r="N17" s="2118"/>
      <c r="O17" s="2118"/>
      <c r="P17" s="4020"/>
      <c r="Q17" s="1557" t="str">
        <f>B17</f>
        <v>交通便捷度</v>
      </c>
      <c r="R17" s="1558" t="s">
        <v>8</v>
      </c>
      <c r="S17" s="1559">
        <f>F17</f>
        <v>100</v>
      </c>
      <c r="T17" s="1558" t="s">
        <v>8</v>
      </c>
      <c r="U17" s="1559">
        <f>H17</f>
        <v>100</v>
      </c>
      <c r="V17" s="1558" t="s">
        <v>8</v>
      </c>
      <c r="W17" s="1559">
        <f>J17</f>
        <v>100</v>
      </c>
      <c r="X17" s="1552"/>
      <c r="Y17" s="4020"/>
      <c r="Z17" s="1560" t="str">
        <f>Q17</f>
        <v>交通便捷度</v>
      </c>
      <c r="AA17" s="1561">
        <f t="shared" si="3"/>
        <v>1</v>
      </c>
      <c r="AB17" s="1561">
        <f t="shared" si="4"/>
        <v>1</v>
      </c>
      <c r="AC17" s="1561">
        <f t="shared" si="5"/>
        <v>1</v>
      </c>
    </row>
    <row r="18" spans="1:29" ht="15">
      <c r="A18" s="531"/>
      <c r="B18" s="565"/>
      <c r="C18" s="566"/>
      <c r="D18" s="558"/>
      <c r="E18" s="568"/>
      <c r="F18" s="558"/>
      <c r="G18" s="567"/>
      <c r="H18" s="554"/>
      <c r="I18" s="567"/>
      <c r="J18" s="554"/>
      <c r="K18" s="898"/>
      <c r="L18" s="2126"/>
      <c r="M18" s="2118"/>
      <c r="N18" s="2118"/>
      <c r="O18" s="2118"/>
      <c r="P18" s="4020"/>
      <c r="Q18" s="1557"/>
      <c r="R18" s="1558"/>
      <c r="S18" s="1559"/>
      <c r="T18" s="1558"/>
      <c r="U18" s="1559"/>
      <c r="V18" s="1558"/>
      <c r="W18" s="1559"/>
      <c r="X18" s="1552"/>
      <c r="Y18" s="4020"/>
      <c r="Z18" s="1560"/>
      <c r="AA18" s="1561">
        <v>1</v>
      </c>
      <c r="AB18" s="1561">
        <v>1</v>
      </c>
      <c r="AC18" s="1561">
        <v>1</v>
      </c>
    </row>
    <row r="19" spans="1:29" ht="128.25">
      <c r="A19" s="531"/>
      <c r="B19" s="2566" t="s">
        <v>2545</v>
      </c>
      <c r="C19" s="572" t="str">
        <f>估价对象房地状况!C7</f>
        <v>所在区域2公里范围内有银行（中国邮政储蓄银行）、学校（巴川中学）、商业（无）、医院（无）等配套设施，公共配套设施一般；</v>
      </c>
      <c r="D19" s="564">
        <v>100</v>
      </c>
      <c r="E19" s="571"/>
      <c r="F19" s="564">
        <f>SUMIF(81:81,E20,82:82)-SUMIF(81:81,C20,82:82)+100</f>
        <v>100</v>
      </c>
      <c r="G19" s="569"/>
      <c r="H19" s="558">
        <f>SUMIF(81:81,G20,82:82)-SUMIF(81:81,C20,82:82)+100</f>
        <v>100</v>
      </c>
      <c r="I19" s="569"/>
      <c r="J19" s="558">
        <f>SUMIF(81:81,I20,82:82)-SUMIF(81:81,C20,82:82)+100</f>
        <v>100</v>
      </c>
      <c r="K19" s="897"/>
      <c r="L19" s="2126"/>
      <c r="M19" s="2118"/>
      <c r="N19" s="2118"/>
      <c r="O19" s="2118"/>
      <c r="P19" s="4020"/>
      <c r="Q19" s="1557" t="str">
        <f>B19</f>
        <v>公共配套设施</v>
      </c>
      <c r="R19" s="1558" t="s">
        <v>8</v>
      </c>
      <c r="S19" s="1559">
        <f>F19</f>
        <v>100</v>
      </c>
      <c r="T19" s="1558" t="s">
        <v>8</v>
      </c>
      <c r="U19" s="1559">
        <f>H19</f>
        <v>100</v>
      </c>
      <c r="V19" s="1558" t="s">
        <v>8</v>
      </c>
      <c r="W19" s="1559">
        <f>J19</f>
        <v>100</v>
      </c>
      <c r="X19" s="1552"/>
      <c r="Y19" s="4020"/>
      <c r="Z19" s="1560" t="str">
        <f>Q19</f>
        <v>公共配套设施</v>
      </c>
      <c r="AA19" s="1561">
        <f t="shared" si="3"/>
        <v>1</v>
      </c>
      <c r="AB19" s="1561">
        <f t="shared" si="4"/>
        <v>1</v>
      </c>
      <c r="AC19" s="1561">
        <f t="shared" si="5"/>
        <v>1</v>
      </c>
    </row>
    <row r="20" spans="1:29" ht="15">
      <c r="A20" s="531"/>
      <c r="B20" s="565"/>
      <c r="C20" s="553"/>
      <c r="D20" s="554"/>
      <c r="E20" s="557"/>
      <c r="F20" s="554"/>
      <c r="G20" s="555"/>
      <c r="H20" s="554"/>
      <c r="I20" s="555"/>
      <c r="J20" s="554"/>
      <c r="K20" s="898"/>
      <c r="L20" s="2126"/>
      <c r="M20" s="2118"/>
      <c r="N20" s="2118"/>
      <c r="O20" s="2118"/>
      <c r="P20" s="4020"/>
      <c r="Q20" s="1557"/>
      <c r="R20" s="1558"/>
      <c r="S20" s="1559"/>
      <c r="T20" s="1558"/>
      <c r="U20" s="1559"/>
      <c r="V20" s="1558"/>
      <c r="W20" s="1559"/>
      <c r="X20" s="1552"/>
      <c r="Y20" s="4020"/>
      <c r="Z20" s="1560"/>
      <c r="AA20" s="1561">
        <v>1</v>
      </c>
      <c r="AB20" s="1561">
        <v>1</v>
      </c>
      <c r="AC20" s="1561">
        <v>1</v>
      </c>
    </row>
    <row r="21" spans="1:29" ht="28.5">
      <c r="A21" s="531"/>
      <c r="B21" s="2554" t="s">
        <v>2557</v>
      </c>
      <c r="C21" s="572" t="str">
        <f>估价对象房地状况!C8</f>
        <v>所在区域基础设施水平达六通</v>
      </c>
      <c r="D21" s="564">
        <v>100</v>
      </c>
      <c r="E21" s="571"/>
      <c r="F21" s="564">
        <f>SUMIF(83:83,E22,84:84)-SUMIF(83:83,C22,84:84)+100</f>
        <v>100</v>
      </c>
      <c r="G21" s="569"/>
      <c r="H21" s="564">
        <f>SUMIF(83:83,G22,84:84)-SUMIF(83:83,C22,84:84)+100</f>
        <v>100</v>
      </c>
      <c r="I21" s="569"/>
      <c r="J21" s="564">
        <f>SUMIF(83:83,I22,84:84)-SUMIF(83:83,C22,84:84)+100</f>
        <v>100</v>
      </c>
      <c r="K21" s="897"/>
      <c r="L21" s="2126"/>
      <c r="M21" s="2118"/>
      <c r="N21" s="2118"/>
      <c r="O21" s="2118"/>
      <c r="P21" s="4020"/>
      <c r="Q21" s="2542" t="str">
        <f>B21</f>
        <v>基础设施水平</v>
      </c>
      <c r="R21" s="1558" t="s">
        <v>8</v>
      </c>
      <c r="S21" s="1559">
        <f>F21</f>
        <v>100</v>
      </c>
      <c r="T21" s="1558" t="s">
        <v>8</v>
      </c>
      <c r="U21" s="1559">
        <f>H21</f>
        <v>100</v>
      </c>
      <c r="V21" s="1558" t="s">
        <v>8</v>
      </c>
      <c r="W21" s="1559">
        <f>J21</f>
        <v>100</v>
      </c>
      <c r="X21" s="2544"/>
      <c r="Y21" s="4020"/>
      <c r="Z21" s="2543" t="str">
        <f>Q21</f>
        <v>基础设施水平</v>
      </c>
      <c r="AA21" s="1561">
        <f t="shared" ref="AA21" si="8">D21/F21</f>
        <v>1</v>
      </c>
      <c r="AB21" s="1561">
        <f t="shared" ref="AB21" si="9">D21/H21</f>
        <v>1</v>
      </c>
      <c r="AC21" s="1561">
        <f t="shared" ref="AC21" si="10">D21/J21</f>
        <v>1</v>
      </c>
    </row>
    <row r="22" spans="1:29" ht="15">
      <c r="A22" s="531"/>
      <c r="B22" s="577"/>
      <c r="C22" s="566"/>
      <c r="D22" s="554"/>
      <c r="E22" s="575"/>
      <c r="F22" s="554"/>
      <c r="G22" s="553"/>
      <c r="H22" s="554"/>
      <c r="I22" s="553"/>
      <c r="J22" s="554"/>
      <c r="K22" s="2565"/>
      <c r="L22" s="2126"/>
      <c r="M22" s="2118"/>
      <c r="N22" s="2118"/>
      <c r="O22" s="2118"/>
      <c r="P22" s="4020"/>
      <c r="Q22" s="2542"/>
      <c r="R22" s="1558"/>
      <c r="S22" s="1559"/>
      <c r="T22" s="1558"/>
      <c r="U22" s="1559"/>
      <c r="V22" s="1558"/>
      <c r="W22" s="1559"/>
      <c r="X22" s="2544"/>
      <c r="Y22" s="4020"/>
      <c r="Z22" s="2543"/>
      <c r="AA22" s="1561">
        <v>1</v>
      </c>
      <c r="AB22" s="1561">
        <v>1</v>
      </c>
      <c r="AC22" s="1561">
        <v>1</v>
      </c>
    </row>
    <row r="23" spans="1:29" ht="85.5">
      <c r="A23" s="531"/>
      <c r="B23" s="559" t="s">
        <v>778</v>
      </c>
      <c r="C23" s="572" t="str">
        <f>估价对象房地状况!C9</f>
        <v>周边自然环境（项目内部天鹅湖）；人文环境（潼南区图书馆），综合评价环境状况较好；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26"/>
      <c r="M23" s="2118"/>
      <c r="N23" s="2118"/>
      <c r="O23" s="2118"/>
      <c r="P23" s="4020"/>
      <c r="Q23" s="1557" t="str">
        <f>B23</f>
        <v>环境质量</v>
      </c>
      <c r="R23" s="1558" t="s">
        <v>8</v>
      </c>
      <c r="S23" s="1559">
        <f>F23</f>
        <v>100</v>
      </c>
      <c r="T23" s="1558" t="s">
        <v>8</v>
      </c>
      <c r="U23" s="1559">
        <f>H23</f>
        <v>100</v>
      </c>
      <c r="V23" s="1558" t="s">
        <v>8</v>
      </c>
      <c r="W23" s="1559">
        <f>J23</f>
        <v>100</v>
      </c>
      <c r="X23" s="1552"/>
      <c r="Y23" s="4020"/>
      <c r="Z23" s="1560" t="str">
        <f>Q23</f>
        <v>环境质量</v>
      </c>
      <c r="AA23" s="1561">
        <f t="shared" si="3"/>
        <v>1</v>
      </c>
      <c r="AB23" s="1561">
        <f t="shared" si="4"/>
        <v>1</v>
      </c>
      <c r="AC23" s="1561">
        <f t="shared" si="5"/>
        <v>1</v>
      </c>
    </row>
    <row r="24" spans="1:29" ht="15">
      <c r="A24" s="531"/>
      <c r="B24" s="577"/>
      <c r="C24" s="553"/>
      <c r="D24" s="554"/>
      <c r="E24" s="557"/>
      <c r="F24" s="554"/>
      <c r="G24" s="555"/>
      <c r="H24" s="554"/>
      <c r="I24" s="555"/>
      <c r="J24" s="554"/>
      <c r="K24" s="898"/>
      <c r="L24" s="2126"/>
      <c r="M24" s="2118"/>
      <c r="N24" s="2118"/>
      <c r="O24" s="2118"/>
      <c r="P24" s="4020"/>
      <c r="Q24" s="1557"/>
      <c r="R24" s="1558"/>
      <c r="S24" s="1559"/>
      <c r="T24" s="1558"/>
      <c r="U24" s="1559"/>
      <c r="V24" s="1558"/>
      <c r="W24" s="1559"/>
      <c r="X24" s="1552"/>
      <c r="Y24" s="4020"/>
      <c r="Z24" s="1560"/>
      <c r="AA24" s="1561">
        <v>1</v>
      </c>
      <c r="AB24" s="1561">
        <v>1</v>
      </c>
      <c r="AC24" s="1561">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26"/>
      <c r="M25" s="2118"/>
      <c r="N25" s="2118"/>
      <c r="O25" s="2118"/>
      <c r="P25" s="4020"/>
      <c r="Q25" s="1557" t="str">
        <f>B25</f>
        <v>毗邻道路的类型与等级</v>
      </c>
      <c r="R25" s="1558" t="s">
        <v>8</v>
      </c>
      <c r="S25" s="1559">
        <f>F25</f>
        <v>100</v>
      </c>
      <c r="T25" s="1558" t="s">
        <v>8</v>
      </c>
      <c r="U25" s="1559">
        <f>H25</f>
        <v>100</v>
      </c>
      <c r="V25" s="1558" t="s">
        <v>8</v>
      </c>
      <c r="W25" s="1559">
        <f>J25</f>
        <v>100</v>
      </c>
      <c r="X25" s="1552"/>
      <c r="Y25" s="4020"/>
      <c r="Z25" s="1560" t="str">
        <f>Q25</f>
        <v>毗邻道路的类型与等级</v>
      </c>
      <c r="AA25" s="1561">
        <f t="shared" si="3"/>
        <v>1</v>
      </c>
      <c r="AB25" s="1561">
        <f t="shared" si="4"/>
        <v>1</v>
      </c>
      <c r="AC25" s="1561">
        <f t="shared" si="5"/>
        <v>1</v>
      </c>
    </row>
    <row r="26" spans="1:29" ht="15">
      <c r="A26" s="514"/>
      <c r="B26" s="565"/>
      <c r="C26" s="579"/>
      <c r="D26" s="539"/>
      <c r="E26" s="582"/>
      <c r="F26" s="539"/>
      <c r="G26" s="579"/>
      <c r="H26" s="539"/>
      <c r="I26" s="582"/>
      <c r="J26" s="539"/>
      <c r="K26" s="898"/>
      <c r="L26" s="2126"/>
      <c r="M26" s="2118"/>
      <c r="N26" s="2118"/>
      <c r="O26" s="2118"/>
      <c r="P26" s="4020"/>
      <c r="Q26" s="1557"/>
      <c r="R26" s="1558"/>
      <c r="S26" s="1559"/>
      <c r="T26" s="1558"/>
      <c r="U26" s="1559"/>
      <c r="V26" s="1558"/>
      <c r="W26" s="1559"/>
      <c r="X26" s="1552"/>
      <c r="Y26" s="4020"/>
      <c r="Z26" s="1560"/>
      <c r="AA26" s="1561">
        <v>1</v>
      </c>
      <c r="AB26" s="1561">
        <v>1</v>
      </c>
      <c r="AC26" s="1561">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6"/>
      <c r="M27" s="2118"/>
      <c r="N27" s="2118"/>
      <c r="O27" s="2118"/>
      <c r="P27" s="4020"/>
      <c r="Q27" s="1557" t="str">
        <f t="shared" ref="Q27:Q47" si="11">B27</f>
        <v>楼层</v>
      </c>
      <c r="R27" s="1558" t="s">
        <v>8</v>
      </c>
      <c r="S27" s="1559">
        <f>F27</f>
        <v>100</v>
      </c>
      <c r="T27" s="1558" t="s">
        <v>8</v>
      </c>
      <c r="U27" s="1559">
        <f>H27</f>
        <v>100</v>
      </c>
      <c r="V27" s="1558" t="s">
        <v>8</v>
      </c>
      <c r="W27" s="1559">
        <f>J27</f>
        <v>100</v>
      </c>
      <c r="X27" s="1552"/>
      <c r="Y27" s="4020"/>
      <c r="Z27" s="1560" t="str">
        <f>Q27</f>
        <v>楼层</v>
      </c>
      <c r="AA27" s="1561">
        <f t="shared" si="3"/>
        <v>1</v>
      </c>
      <c r="AB27" s="1561">
        <f t="shared" si="4"/>
        <v>1</v>
      </c>
      <c r="AC27" s="1561">
        <f t="shared" si="5"/>
        <v>1</v>
      </c>
    </row>
    <row r="28" spans="1:29" s="1215"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19"/>
      <c r="M28" s="2120"/>
      <c r="N28" s="2120"/>
      <c r="O28" s="2120"/>
      <c r="P28" s="4020"/>
      <c r="Q28" s="1146" t="str">
        <f t="shared" si="11"/>
        <v>朝向</v>
      </c>
      <c r="R28" s="1553" t="s">
        <v>8</v>
      </c>
      <c r="S28" s="1554">
        <f>F28</f>
        <v>100</v>
      </c>
      <c r="T28" s="1553" t="s">
        <v>8</v>
      </c>
      <c r="U28" s="1554">
        <f>H28</f>
        <v>100</v>
      </c>
      <c r="V28" s="1553" t="s">
        <v>8</v>
      </c>
      <c r="W28" s="1554">
        <f>J28</f>
        <v>100</v>
      </c>
      <c r="X28" s="1555"/>
      <c r="Y28" s="4020"/>
      <c r="Z28" s="1145" t="str">
        <f>Q28</f>
        <v>朝向</v>
      </c>
      <c r="AA28" s="1561">
        <f>D28/F28</f>
        <v>1</v>
      </c>
      <c r="AB28" s="1561">
        <f>D28/H28</f>
        <v>1</v>
      </c>
      <c r="AC28" s="1561">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6"/>
      <c r="M29" s="2118"/>
      <c r="N29" s="2118"/>
      <c r="O29" s="2118"/>
      <c r="P29" s="4020"/>
      <c r="Q29" s="1557">
        <f t="shared" si="11"/>
        <v>111</v>
      </c>
      <c r="R29" s="1558" t="s">
        <v>8</v>
      </c>
      <c r="S29" s="1559">
        <f t="shared" ref="S29:S47" si="12">F29</f>
        <v>100</v>
      </c>
      <c r="T29" s="1558" t="s">
        <v>8</v>
      </c>
      <c r="U29" s="1559">
        <f t="shared" ref="U29:U47" si="13">H29</f>
        <v>100</v>
      </c>
      <c r="V29" s="1558" t="s">
        <v>8</v>
      </c>
      <c r="W29" s="1559">
        <f t="shared" ref="W29:W47" si="14">J29</f>
        <v>100</v>
      </c>
      <c r="X29" s="1552"/>
      <c r="Y29" s="4020"/>
      <c r="Z29" s="1560">
        <f t="shared" ref="Z29:Z47" si="15">Q29</f>
        <v>111</v>
      </c>
      <c r="AA29" s="1561">
        <f t="shared" si="3"/>
        <v>1</v>
      </c>
      <c r="AB29" s="1561">
        <f t="shared" si="4"/>
        <v>1</v>
      </c>
      <c r="AC29" s="1561">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6"/>
      <c r="M30" s="2118"/>
      <c r="N30" s="2118"/>
      <c r="O30" s="2118"/>
      <c r="P30" s="4020"/>
      <c r="Q30" s="1557">
        <f t="shared" si="11"/>
        <v>111</v>
      </c>
      <c r="R30" s="1558" t="s">
        <v>8</v>
      </c>
      <c r="S30" s="1559">
        <f t="shared" si="12"/>
        <v>100</v>
      </c>
      <c r="T30" s="1558" t="s">
        <v>8</v>
      </c>
      <c r="U30" s="1559">
        <f t="shared" si="13"/>
        <v>100</v>
      </c>
      <c r="V30" s="1558" t="s">
        <v>8</v>
      </c>
      <c r="W30" s="1559">
        <f t="shared" si="14"/>
        <v>100</v>
      </c>
      <c r="X30" s="1552"/>
      <c r="Y30" s="4020"/>
      <c r="Z30" s="1560">
        <f t="shared" si="15"/>
        <v>111</v>
      </c>
      <c r="AA30" s="1561">
        <f t="shared" si="3"/>
        <v>1</v>
      </c>
      <c r="AB30" s="1561">
        <f t="shared" si="4"/>
        <v>1</v>
      </c>
      <c r="AC30" s="1561">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6"/>
      <c r="M31" s="2118"/>
      <c r="N31" s="2118"/>
      <c r="O31" s="2118"/>
      <c r="P31" s="4020"/>
      <c r="Q31" s="1557">
        <f t="shared" si="11"/>
        <v>111</v>
      </c>
      <c r="R31" s="1558" t="s">
        <v>8</v>
      </c>
      <c r="S31" s="1559">
        <f t="shared" si="12"/>
        <v>100</v>
      </c>
      <c r="T31" s="1558" t="s">
        <v>8</v>
      </c>
      <c r="U31" s="1559">
        <f t="shared" si="13"/>
        <v>100</v>
      </c>
      <c r="V31" s="1558" t="s">
        <v>8</v>
      </c>
      <c r="W31" s="1559">
        <f t="shared" si="14"/>
        <v>100</v>
      </c>
      <c r="X31" s="1552"/>
      <c r="Y31" s="4020"/>
      <c r="Z31" s="1560">
        <f t="shared" si="15"/>
        <v>111</v>
      </c>
      <c r="AA31" s="1561">
        <f t="shared" si="3"/>
        <v>1</v>
      </c>
      <c r="AB31" s="1561">
        <f t="shared" si="4"/>
        <v>1</v>
      </c>
      <c r="AC31" s="1561">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6"/>
      <c r="M32" s="2118"/>
      <c r="N32" s="2118"/>
      <c r="O32" s="2118"/>
      <c r="P32" s="4020"/>
      <c r="Q32" s="1557">
        <f t="shared" si="11"/>
        <v>111</v>
      </c>
      <c r="R32" s="1558" t="s">
        <v>8</v>
      </c>
      <c r="S32" s="1559">
        <f t="shared" si="12"/>
        <v>100</v>
      </c>
      <c r="T32" s="1558" t="s">
        <v>8</v>
      </c>
      <c r="U32" s="1559">
        <f t="shared" si="13"/>
        <v>100</v>
      </c>
      <c r="V32" s="1558" t="s">
        <v>8</v>
      </c>
      <c r="W32" s="1559">
        <f t="shared" si="14"/>
        <v>100</v>
      </c>
      <c r="X32" s="1552"/>
      <c r="Y32" s="4020"/>
      <c r="Z32" s="1560">
        <f t="shared" si="15"/>
        <v>111</v>
      </c>
      <c r="AA32" s="1561">
        <f t="shared" si="3"/>
        <v>1</v>
      </c>
      <c r="AB32" s="1561">
        <f t="shared" si="4"/>
        <v>1</v>
      </c>
      <c r="AC32" s="1561">
        <f t="shared" si="5"/>
        <v>1</v>
      </c>
    </row>
    <row r="33" spans="1:29" ht="15">
      <c r="A33" s="2861" t="s">
        <v>2754</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6"/>
      <c r="M33" s="2118"/>
      <c r="N33" s="2118"/>
      <c r="O33" s="2118"/>
      <c r="P33" s="4021" t="s">
        <v>550</v>
      </c>
      <c r="Q33" s="1557" t="str">
        <f t="shared" si="11"/>
        <v>建筑类型</v>
      </c>
      <c r="R33" s="1558" t="s">
        <v>8</v>
      </c>
      <c r="S33" s="1559">
        <f t="shared" si="12"/>
        <v>100</v>
      </c>
      <c r="T33" s="1558" t="s">
        <v>8</v>
      </c>
      <c r="U33" s="1559">
        <f t="shared" si="13"/>
        <v>100</v>
      </c>
      <c r="V33" s="1558" t="s">
        <v>8</v>
      </c>
      <c r="W33" s="1559">
        <f t="shared" si="14"/>
        <v>100</v>
      </c>
      <c r="X33" s="1552"/>
      <c r="Y33" s="4022" t="s">
        <v>550</v>
      </c>
      <c r="Z33" s="1560" t="str">
        <f t="shared" si="15"/>
        <v>建筑类型</v>
      </c>
      <c r="AA33" s="1561">
        <f t="shared" si="3"/>
        <v>1</v>
      </c>
      <c r="AB33" s="1561">
        <f t="shared" si="4"/>
        <v>1</v>
      </c>
      <c r="AC33" s="1561">
        <f t="shared" si="5"/>
        <v>1</v>
      </c>
    </row>
    <row r="34" spans="1:29" s="1334"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4"/>
      <c r="M34" s="2155"/>
      <c r="N34" s="2155"/>
      <c r="O34" s="2155"/>
      <c r="P34" s="4022"/>
      <c r="Q34" s="1589" t="str">
        <f t="shared" si="11"/>
        <v>项目建筑规模</v>
      </c>
      <c r="R34" s="1562" t="s">
        <v>8</v>
      </c>
      <c r="S34" s="1563" t="e">
        <f t="shared" si="12"/>
        <v>#N/A</v>
      </c>
      <c r="T34" s="1562" t="s">
        <v>8</v>
      </c>
      <c r="U34" s="1563" t="e">
        <f t="shared" si="13"/>
        <v>#N/A</v>
      </c>
      <c r="V34" s="1562" t="s">
        <v>8</v>
      </c>
      <c r="W34" s="1563" t="e">
        <f t="shared" si="14"/>
        <v>#N/A</v>
      </c>
      <c r="X34" s="1564"/>
      <c r="Y34" s="4022"/>
      <c r="Z34" s="1565" t="str">
        <f t="shared" si="15"/>
        <v>项目建筑规模</v>
      </c>
      <c r="AA34" s="1561" t="e">
        <f t="shared" si="3"/>
        <v>#N/A</v>
      </c>
      <c r="AB34" s="1561" t="e">
        <f t="shared" si="4"/>
        <v>#N/A</v>
      </c>
      <c r="AC34" s="1561"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6"/>
      <c r="M35" s="2118"/>
      <c r="N35" s="2118"/>
      <c r="O35" s="2118"/>
      <c r="P35" s="4022"/>
      <c r="Q35" s="1557" t="str">
        <f t="shared" si="11"/>
        <v>建筑结构</v>
      </c>
      <c r="R35" s="1558" t="s">
        <v>8</v>
      </c>
      <c r="S35" s="1559">
        <f t="shared" si="12"/>
        <v>100</v>
      </c>
      <c r="T35" s="1558" t="s">
        <v>8</v>
      </c>
      <c r="U35" s="1559">
        <f t="shared" si="13"/>
        <v>100</v>
      </c>
      <c r="V35" s="1558" t="s">
        <v>8</v>
      </c>
      <c r="W35" s="1559">
        <f t="shared" si="14"/>
        <v>100</v>
      </c>
      <c r="X35" s="1552"/>
      <c r="Y35" s="4022"/>
      <c r="Z35" s="1560" t="str">
        <f t="shared" si="15"/>
        <v>建筑结构</v>
      </c>
      <c r="AA35" s="1561">
        <f t="shared" si="3"/>
        <v>1</v>
      </c>
      <c r="AB35" s="1561">
        <f t="shared" si="4"/>
        <v>1</v>
      </c>
      <c r="AC35" s="1561">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6"/>
      <c r="M36" s="2118"/>
      <c r="N36" s="2118"/>
      <c r="O36" s="2118"/>
      <c r="P36" s="4022"/>
      <c r="Q36" s="1557" t="str">
        <f t="shared" si="11"/>
        <v>公共部分装修</v>
      </c>
      <c r="R36" s="1558" t="s">
        <v>8</v>
      </c>
      <c r="S36" s="1559">
        <f t="shared" si="12"/>
        <v>100</v>
      </c>
      <c r="T36" s="1558" t="s">
        <v>8</v>
      </c>
      <c r="U36" s="1559">
        <f t="shared" si="13"/>
        <v>100</v>
      </c>
      <c r="V36" s="1558" t="s">
        <v>8</v>
      </c>
      <c r="W36" s="1559">
        <f t="shared" si="14"/>
        <v>100</v>
      </c>
      <c r="X36" s="1552"/>
      <c r="Y36" s="4022"/>
      <c r="Z36" s="1560" t="str">
        <f t="shared" si="15"/>
        <v>公共部分装修</v>
      </c>
      <c r="AA36" s="1561">
        <f t="shared" si="3"/>
        <v>1</v>
      </c>
      <c r="AB36" s="1561">
        <f t="shared" si="4"/>
        <v>1</v>
      </c>
      <c r="AC36" s="1561">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6"/>
      <c r="M37" s="2118"/>
      <c r="N37" s="2118"/>
      <c r="O37" s="2118"/>
      <c r="P37" s="4022"/>
      <c r="Q37" s="1557" t="str">
        <f t="shared" si="11"/>
        <v>成新度</v>
      </c>
      <c r="R37" s="1558" t="s">
        <v>8</v>
      </c>
      <c r="S37" s="1559" t="e">
        <f t="shared" si="12"/>
        <v>#N/A</v>
      </c>
      <c r="T37" s="1558" t="s">
        <v>8</v>
      </c>
      <c r="U37" s="1559" t="e">
        <f t="shared" si="13"/>
        <v>#N/A</v>
      </c>
      <c r="V37" s="1558" t="s">
        <v>8</v>
      </c>
      <c r="W37" s="1559" t="e">
        <f t="shared" si="14"/>
        <v>#N/A</v>
      </c>
      <c r="X37" s="1552"/>
      <c r="Y37" s="4022"/>
      <c r="Z37" s="1560" t="str">
        <f t="shared" si="15"/>
        <v>成新度</v>
      </c>
      <c r="AA37" s="1561" t="e">
        <f t="shared" si="3"/>
        <v>#N/A</v>
      </c>
      <c r="AB37" s="1561" t="e">
        <f t="shared" si="4"/>
        <v>#N/A</v>
      </c>
      <c r="AC37" s="1561" t="e">
        <f t="shared" si="5"/>
        <v>#N/A</v>
      </c>
    </row>
    <row r="38" spans="1:29" s="1215"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9"/>
      <c r="M38" s="2120"/>
      <c r="N38" s="2120"/>
      <c r="O38" s="2120"/>
      <c r="P38" s="4022"/>
      <c r="Q38" s="1146" t="str">
        <f t="shared" si="11"/>
        <v>写字楼等级</v>
      </c>
      <c r="R38" s="1553" t="s">
        <v>8</v>
      </c>
      <c r="S38" s="1554">
        <f t="shared" si="12"/>
        <v>100</v>
      </c>
      <c r="T38" s="1553" t="s">
        <v>8</v>
      </c>
      <c r="U38" s="1554">
        <f t="shared" si="13"/>
        <v>100</v>
      </c>
      <c r="V38" s="1553" t="s">
        <v>8</v>
      </c>
      <c r="W38" s="1554">
        <f t="shared" si="14"/>
        <v>100</v>
      </c>
      <c r="X38" s="1555"/>
      <c r="Y38" s="4022"/>
      <c r="Z38" s="1145" t="str">
        <f t="shared" si="15"/>
        <v>写字楼等级</v>
      </c>
      <c r="AA38" s="1556">
        <f t="shared" si="3"/>
        <v>1</v>
      </c>
      <c r="AB38" s="1556">
        <f t="shared" si="4"/>
        <v>1</v>
      </c>
      <c r="AC38" s="1556">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6"/>
      <c r="M39" s="2118"/>
      <c r="N39" s="2118"/>
      <c r="O39" s="2118"/>
      <c r="P39" s="4022" t="s">
        <v>550</v>
      </c>
      <c r="Q39" s="1557" t="str">
        <f t="shared" si="11"/>
        <v>物业管理</v>
      </c>
      <c r="R39" s="1558" t="s">
        <v>8</v>
      </c>
      <c r="S39" s="1559">
        <f t="shared" si="12"/>
        <v>100</v>
      </c>
      <c r="T39" s="1558" t="s">
        <v>8</v>
      </c>
      <c r="U39" s="1559">
        <f t="shared" si="13"/>
        <v>100</v>
      </c>
      <c r="V39" s="1558" t="s">
        <v>8</v>
      </c>
      <c r="W39" s="1559">
        <f t="shared" si="14"/>
        <v>100</v>
      </c>
      <c r="X39" s="1552"/>
      <c r="Y39" s="4022" t="s">
        <v>550</v>
      </c>
      <c r="Z39" s="1560" t="str">
        <f t="shared" si="15"/>
        <v>物业管理</v>
      </c>
      <c r="AA39" s="1561">
        <f t="shared" si="3"/>
        <v>1</v>
      </c>
      <c r="AB39" s="1561">
        <f t="shared" si="4"/>
        <v>1</v>
      </c>
      <c r="AC39" s="1561">
        <f t="shared" si="5"/>
        <v>1</v>
      </c>
    </row>
    <row r="40" spans="1:29" ht="15">
      <c r="A40" s="593"/>
      <c r="B40" s="1879"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6"/>
      <c r="M40" s="2118"/>
      <c r="N40" s="2118"/>
      <c r="O40" s="2118"/>
      <c r="P40" s="4022"/>
      <c r="Q40" s="1557" t="str">
        <f t="shared" si="11"/>
        <v>市政基础设施</v>
      </c>
      <c r="R40" s="1558" t="s">
        <v>8</v>
      </c>
      <c r="S40" s="1559">
        <f t="shared" si="12"/>
        <v>100</v>
      </c>
      <c r="T40" s="1558" t="s">
        <v>8</v>
      </c>
      <c r="U40" s="1559">
        <f t="shared" si="13"/>
        <v>100</v>
      </c>
      <c r="V40" s="1558" t="s">
        <v>8</v>
      </c>
      <c r="W40" s="1559">
        <f t="shared" si="14"/>
        <v>100</v>
      </c>
      <c r="X40" s="1552"/>
      <c r="Y40" s="4022"/>
      <c r="Z40" s="1560" t="str">
        <f t="shared" si="15"/>
        <v>市政基础设施</v>
      </c>
      <c r="AA40" s="1561">
        <f t="shared" si="3"/>
        <v>1</v>
      </c>
      <c r="AB40" s="1561">
        <f t="shared" si="4"/>
        <v>1</v>
      </c>
      <c r="AC40" s="1561">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6"/>
      <c r="M41" s="2118"/>
      <c r="N41" s="2118"/>
      <c r="O41" s="2118"/>
      <c r="P41" s="4022"/>
      <c r="Q41" s="1557" t="str">
        <f t="shared" si="11"/>
        <v>层高</v>
      </c>
      <c r="R41" s="1558" t="s">
        <v>8</v>
      </c>
      <c r="S41" s="1559">
        <f t="shared" si="12"/>
        <v>100</v>
      </c>
      <c r="T41" s="1558" t="s">
        <v>8</v>
      </c>
      <c r="U41" s="1559">
        <f t="shared" si="13"/>
        <v>100</v>
      </c>
      <c r="V41" s="1558" t="s">
        <v>8</v>
      </c>
      <c r="W41" s="1559">
        <f t="shared" si="14"/>
        <v>100</v>
      </c>
      <c r="X41" s="1552"/>
      <c r="Y41" s="4022"/>
      <c r="Z41" s="1560" t="str">
        <f t="shared" si="15"/>
        <v>层高</v>
      </c>
      <c r="AA41" s="1561">
        <f t="shared" si="3"/>
        <v>1</v>
      </c>
      <c r="AB41" s="1561">
        <f t="shared" si="4"/>
        <v>1</v>
      </c>
      <c r="AC41" s="1561">
        <f t="shared" si="5"/>
        <v>1</v>
      </c>
    </row>
    <row r="42" spans="1:29" s="1334"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4"/>
      <c r="M42" s="2155"/>
      <c r="N42" s="2155"/>
      <c r="O42" s="2155"/>
      <c r="P42" s="4022"/>
      <c r="Q42" s="1589" t="str">
        <f t="shared" si="11"/>
        <v>单套建筑面积</v>
      </c>
      <c r="R42" s="1562" t="s">
        <v>8</v>
      </c>
      <c r="S42" s="1563">
        <f t="shared" si="12"/>
        <v>100</v>
      </c>
      <c r="T42" s="1562" t="s">
        <v>8</v>
      </c>
      <c r="U42" s="1563">
        <f t="shared" si="13"/>
        <v>100</v>
      </c>
      <c r="V42" s="1562" t="s">
        <v>8</v>
      </c>
      <c r="W42" s="1563">
        <f t="shared" si="14"/>
        <v>100</v>
      </c>
      <c r="X42" s="1564"/>
      <c r="Y42" s="4022"/>
      <c r="Z42" s="1565" t="str">
        <f t="shared" si="15"/>
        <v>单套建筑面积</v>
      </c>
      <c r="AA42" s="1561">
        <f t="shared" si="3"/>
        <v>1</v>
      </c>
      <c r="AB42" s="1561">
        <f t="shared" si="4"/>
        <v>1</v>
      </c>
      <c r="AC42" s="1561">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6"/>
      <c r="M43" s="2118"/>
      <c r="N43" s="2118"/>
      <c r="O43" s="2118"/>
      <c r="P43" s="4022"/>
      <c r="Q43" s="1557" t="str">
        <f t="shared" si="11"/>
        <v>内部装修</v>
      </c>
      <c r="R43" s="1558" t="s">
        <v>8</v>
      </c>
      <c r="S43" s="1559">
        <f t="shared" si="12"/>
        <v>100</v>
      </c>
      <c r="T43" s="1558" t="s">
        <v>8</v>
      </c>
      <c r="U43" s="1559">
        <f t="shared" si="13"/>
        <v>100</v>
      </c>
      <c r="V43" s="1558" t="s">
        <v>8</v>
      </c>
      <c r="W43" s="1559">
        <f t="shared" si="14"/>
        <v>100</v>
      </c>
      <c r="X43" s="1552"/>
      <c r="Y43" s="4022"/>
      <c r="Z43" s="1560" t="str">
        <f t="shared" si="15"/>
        <v>内部装修</v>
      </c>
      <c r="AA43" s="1561">
        <f t="shared" si="3"/>
        <v>1</v>
      </c>
      <c r="AB43" s="1561">
        <f t="shared" si="4"/>
        <v>1</v>
      </c>
      <c r="AC43" s="1561">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6"/>
      <c r="M44" s="2118"/>
      <c r="N44" s="2118"/>
      <c r="O44" s="2118"/>
      <c r="P44" s="4022"/>
      <c r="Q44" s="1557" t="str">
        <f t="shared" si="11"/>
        <v>内部装修维护情况</v>
      </c>
      <c r="R44" s="1558" t="s">
        <v>8</v>
      </c>
      <c r="S44" s="1559">
        <f t="shared" si="12"/>
        <v>100</v>
      </c>
      <c r="T44" s="1558" t="s">
        <v>8</v>
      </c>
      <c r="U44" s="1559">
        <f t="shared" si="13"/>
        <v>100</v>
      </c>
      <c r="V44" s="1558" t="s">
        <v>8</v>
      </c>
      <c r="W44" s="1559">
        <f t="shared" si="14"/>
        <v>100</v>
      </c>
      <c r="X44" s="1552"/>
      <c r="Y44" s="4022"/>
      <c r="Z44" s="1560" t="str">
        <f t="shared" si="15"/>
        <v>内部装修维护情况</v>
      </c>
      <c r="AA44" s="1561">
        <f t="shared" si="3"/>
        <v>1</v>
      </c>
      <c r="AB44" s="1561">
        <f t="shared" si="4"/>
        <v>1</v>
      </c>
      <c r="AC44" s="1561">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9"/>
      <c r="M45" s="2120"/>
      <c r="N45" s="2120"/>
      <c r="O45" s="2120"/>
      <c r="P45" s="4022"/>
      <c r="Q45" s="1146">
        <f t="shared" si="11"/>
        <v>111</v>
      </c>
      <c r="R45" s="1553" t="s">
        <v>8</v>
      </c>
      <c r="S45" s="1554">
        <f t="shared" si="12"/>
        <v>100</v>
      </c>
      <c r="T45" s="1553" t="s">
        <v>8</v>
      </c>
      <c r="U45" s="1554">
        <f t="shared" si="13"/>
        <v>100</v>
      </c>
      <c r="V45" s="1553" t="s">
        <v>8</v>
      </c>
      <c r="W45" s="1554">
        <f t="shared" si="14"/>
        <v>100</v>
      </c>
      <c r="X45" s="1555"/>
      <c r="Y45" s="4022"/>
      <c r="Z45" s="1145">
        <f t="shared" si="15"/>
        <v>111</v>
      </c>
      <c r="AA45" s="1556">
        <f t="shared" si="3"/>
        <v>1</v>
      </c>
      <c r="AB45" s="1556">
        <f t="shared" si="4"/>
        <v>1</v>
      </c>
      <c r="AC45" s="1556">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6"/>
      <c r="M46" s="2118"/>
      <c r="N46" s="2118"/>
      <c r="O46" s="2118"/>
      <c r="P46" s="4022"/>
      <c r="Q46" s="1557">
        <f t="shared" si="11"/>
        <v>111</v>
      </c>
      <c r="R46" s="1558" t="s">
        <v>8</v>
      </c>
      <c r="S46" s="1559">
        <f t="shared" si="12"/>
        <v>100</v>
      </c>
      <c r="T46" s="1558" t="s">
        <v>8</v>
      </c>
      <c r="U46" s="1559">
        <f t="shared" si="13"/>
        <v>100</v>
      </c>
      <c r="V46" s="1558" t="s">
        <v>8</v>
      </c>
      <c r="W46" s="1559">
        <f t="shared" si="14"/>
        <v>100</v>
      </c>
      <c r="X46" s="1552"/>
      <c r="Y46" s="4022"/>
      <c r="Z46" s="1560">
        <f t="shared" si="15"/>
        <v>111</v>
      </c>
      <c r="AA46" s="1561">
        <f t="shared" si="3"/>
        <v>1</v>
      </c>
      <c r="AB46" s="1561">
        <f t="shared" si="4"/>
        <v>1</v>
      </c>
      <c r="AC46" s="1561">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6"/>
      <c r="M47" s="2118"/>
      <c r="N47" s="2118"/>
      <c r="O47" s="2118"/>
      <c r="P47" s="4101"/>
      <c r="Q47" s="1557">
        <f t="shared" si="11"/>
        <v>111</v>
      </c>
      <c r="R47" s="1558" t="s">
        <v>8</v>
      </c>
      <c r="S47" s="1559">
        <f t="shared" si="12"/>
        <v>100</v>
      </c>
      <c r="T47" s="1558" t="s">
        <v>8</v>
      </c>
      <c r="U47" s="1559">
        <f t="shared" si="13"/>
        <v>100</v>
      </c>
      <c r="V47" s="1558" t="s">
        <v>8</v>
      </c>
      <c r="W47" s="1559">
        <f t="shared" si="14"/>
        <v>100</v>
      </c>
      <c r="X47" s="1552"/>
      <c r="Y47" s="4101"/>
      <c r="Z47" s="1560">
        <f t="shared" si="15"/>
        <v>111</v>
      </c>
      <c r="AA47" s="1561">
        <f t="shared" si="3"/>
        <v>1</v>
      </c>
      <c r="AB47" s="1561">
        <f t="shared" si="4"/>
        <v>1</v>
      </c>
      <c r="AC47" s="1561">
        <f t="shared" si="5"/>
        <v>1</v>
      </c>
    </row>
    <row r="48" spans="1:29" ht="15">
      <c r="A48" s="606" t="s">
        <v>736</v>
      </c>
      <c r="B48" s="886"/>
      <c r="C48" s="2590" t="s">
        <v>1</v>
      </c>
      <c r="D48" s="2591"/>
      <c r="E48" s="2592"/>
      <c r="F48" s="2593"/>
      <c r="G48" s="2594"/>
      <c r="H48" s="2595"/>
      <c r="I48" s="2592"/>
      <c r="J48" s="2595"/>
      <c r="K48" s="1595"/>
      <c r="L48" s="2128"/>
      <c r="M48" s="2118"/>
      <c r="N48" s="2118"/>
      <c r="O48" s="2118"/>
      <c r="P48" s="4039" t="str">
        <f>A48</f>
        <v>成交单价（元/平方米）</v>
      </c>
      <c r="Q48" s="4017"/>
      <c r="R48" s="4100">
        <f>E48</f>
        <v>0</v>
      </c>
      <c r="S48" s="4100"/>
      <c r="T48" s="4100">
        <f>G48</f>
        <v>0</v>
      </c>
      <c r="U48" s="4100"/>
      <c r="V48" s="4100">
        <f>I48</f>
        <v>0</v>
      </c>
      <c r="W48" s="4100"/>
      <c r="X48" s="1544"/>
      <c r="Y48" s="1566"/>
      <c r="Z48" s="1544"/>
      <c r="AA48" s="1544"/>
      <c r="AB48" s="1544"/>
      <c r="AC48" s="1544"/>
    </row>
    <row r="49" spans="1:29" ht="15.75" thickBot="1">
      <c r="A49" s="614" t="s">
        <v>2759</v>
      </c>
      <c r="B49" s="887"/>
      <c r="C49" s="2596" t="e">
        <f>R50</f>
        <v>#DIV/0!</v>
      </c>
      <c r="D49" s="2597"/>
      <c r="E49" s="2598" t="e">
        <f>R49</f>
        <v>#DIV/0!</v>
      </c>
      <c r="F49" s="2598"/>
      <c r="G49" s="2596" t="e">
        <f>T49</f>
        <v>#DIV/0!</v>
      </c>
      <c r="H49" s="2597"/>
      <c r="I49" s="2598" t="e">
        <f>V49</f>
        <v>#DIV/0!</v>
      </c>
      <c r="J49" s="2597"/>
      <c r="K49" s="1596"/>
      <c r="L49" s="2128"/>
      <c r="M49" s="2118"/>
      <c r="N49" s="2118"/>
      <c r="O49" s="2118"/>
      <c r="P49" s="4039" t="str">
        <f>A49</f>
        <v>比较价格（元/平方米）</v>
      </c>
      <c r="Q49" s="4017"/>
      <c r="R49" s="4100" t="e">
        <f>IF(F1="售价",ROUND(PRODUCT(R48,AA7:AA47),0),ROUND(PRODUCT(R48,AA7:AA47),1))</f>
        <v>#DIV/0!</v>
      </c>
      <c r="S49" s="4100"/>
      <c r="T49" s="4100" t="e">
        <f>IF(F1="售价",ROUND(PRODUCT(T48,AB7:AB47),0),ROUND(PRODUCT(T48,AB7:AB47),1))</f>
        <v>#DIV/0!</v>
      </c>
      <c r="U49" s="4100"/>
      <c r="V49" s="4100" t="e">
        <f>IF(F1="售价",ROUND(PRODUCT(V48,AC7:AC47),0),ROUND(PRODUCT(V48,AC7:AC47),1))</f>
        <v>#DIV/0!</v>
      </c>
      <c r="W49" s="4100"/>
      <c r="X49" s="1544"/>
      <c r="Y49" s="1544"/>
      <c r="Z49" s="1544"/>
      <c r="AA49" s="1544"/>
      <c r="AB49" s="1544"/>
      <c r="AC49" s="1544"/>
    </row>
    <row r="50" spans="1:29" ht="15.75" thickBot="1">
      <c r="A50" s="620" t="s">
        <v>2932</v>
      </c>
      <c r="B50" s="621"/>
      <c r="C50" s="2599" t="e">
        <f>R50</f>
        <v>#DIV/0!</v>
      </c>
      <c r="D50" s="2599"/>
      <c r="E50" s="2599"/>
      <c r="F50" s="2599"/>
      <c r="G50" s="2599"/>
      <c r="H50" s="2599"/>
      <c r="I50" s="2599"/>
      <c r="J50" s="2599"/>
      <c r="K50" s="1597"/>
      <c r="L50" s="2128"/>
      <c r="M50" s="2118"/>
      <c r="N50" s="2118"/>
      <c r="O50" s="2118"/>
      <c r="P50" s="4128" t="str">
        <f>A50</f>
        <v>估价对象XX用房的比较价格（楼面单价，元/平方米）</v>
      </c>
      <c r="Q50" s="4039"/>
      <c r="R50" s="4099" t="e">
        <f>IF(F1="售价",ROUND(AVERAGE(R49:V49),0),ROUND(AVERAGE(R49:V49),1))</f>
        <v>#DIV/0!</v>
      </c>
      <c r="S50" s="4099"/>
      <c r="T50" s="4099"/>
      <c r="U50" s="4099"/>
      <c r="V50" s="4099"/>
      <c r="W50" s="4099"/>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40" customFormat="1" ht="13.5" customHeight="1">
      <c r="A55" s="2130"/>
      <c r="B55" s="2130"/>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40"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574</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2" customFormat="1" ht="15">
      <c r="A59" s="644" t="s">
        <v>529</v>
      </c>
      <c r="B59" s="645"/>
      <c r="C59" s="2756" t="str">
        <f>YEAR(C7)&amp;"-"&amp;MONTH(C7)</f>
        <v>2019-7</v>
      </c>
      <c r="D59" s="2758">
        <f>EDATE(C59,-1)</f>
        <v>43617</v>
      </c>
      <c r="E59" s="2758">
        <f t="shared" ref="E59:O59" si="16">EDATE(D59,-1)</f>
        <v>43586</v>
      </c>
      <c r="F59" s="2758">
        <f t="shared" si="16"/>
        <v>43556</v>
      </c>
      <c r="G59" s="2758">
        <f t="shared" si="16"/>
        <v>43525</v>
      </c>
      <c r="H59" s="2758">
        <f t="shared" si="16"/>
        <v>43497</v>
      </c>
      <c r="I59" s="2758">
        <f t="shared" si="16"/>
        <v>43466</v>
      </c>
      <c r="J59" s="2758">
        <f t="shared" si="16"/>
        <v>43435</v>
      </c>
      <c r="K59" s="2758">
        <f t="shared" si="16"/>
        <v>43405</v>
      </c>
      <c r="L59" s="2758">
        <f t="shared" si="16"/>
        <v>43374</v>
      </c>
      <c r="M59" s="2758">
        <f t="shared" si="16"/>
        <v>43344</v>
      </c>
      <c r="N59" s="2758">
        <f t="shared" si="16"/>
        <v>43313</v>
      </c>
      <c r="O59" s="2758">
        <f t="shared" si="16"/>
        <v>43282</v>
      </c>
      <c r="P59" s="2195"/>
      <c r="Q59" s="2145"/>
      <c r="R59" s="2145"/>
      <c r="S59" s="2145"/>
      <c r="T59" s="2145"/>
      <c r="U59" s="2145"/>
      <c r="V59" s="2145"/>
      <c r="W59" s="2145"/>
      <c r="X59" s="2145"/>
      <c r="Y59" s="2145"/>
      <c r="Z59" s="2145"/>
      <c r="AA59" s="2145"/>
      <c r="AB59" s="2145"/>
      <c r="AC59" s="2145"/>
    </row>
    <row r="60" spans="1:29" s="1215" customFormat="1" ht="15">
      <c r="A60" s="646"/>
      <c r="B60" s="647"/>
      <c r="C60" s="648">
        <v>100</v>
      </c>
      <c r="D60" s="649"/>
      <c r="E60" s="649"/>
      <c r="F60" s="649"/>
      <c r="G60" s="649"/>
      <c r="H60" s="649"/>
      <c r="I60" s="649"/>
      <c r="J60" s="649"/>
      <c r="K60" s="649"/>
      <c r="L60" s="649"/>
      <c r="M60" s="650"/>
      <c r="N60" s="649"/>
      <c r="O60" s="650"/>
      <c r="P60" s="2196"/>
      <c r="Q60" s="1977"/>
      <c r="R60" s="1977"/>
      <c r="S60" s="1977"/>
      <c r="T60" s="1977"/>
      <c r="U60" s="1977"/>
      <c r="V60" s="1977"/>
      <c r="W60" s="1977"/>
      <c r="X60" s="1977"/>
      <c r="Y60" s="1977"/>
      <c r="Z60" s="1977"/>
      <c r="AA60" s="1977"/>
      <c r="AB60" s="1977"/>
      <c r="AC60" s="1977"/>
    </row>
    <row r="61" spans="1:29" s="1215" customFormat="1" ht="15.75" thickBot="1">
      <c r="A61" s="652" t="s">
        <v>575</v>
      </c>
      <c r="B61" s="653"/>
      <c r="C61" s="654"/>
      <c r="D61" s="655"/>
      <c r="E61" s="655"/>
      <c r="F61" s="655"/>
      <c r="G61" s="655"/>
      <c r="H61" s="655"/>
      <c r="I61" s="655"/>
      <c r="J61" s="655"/>
      <c r="K61" s="655"/>
      <c r="L61" s="655"/>
      <c r="M61" s="656"/>
      <c r="N61" s="655"/>
      <c r="O61" s="656"/>
      <c r="P61" s="2196"/>
      <c r="Q61" s="2142"/>
      <c r="R61" s="1977"/>
      <c r="S61" s="1977"/>
      <c r="T61" s="1977"/>
      <c r="U61" s="1977"/>
      <c r="V61" s="1977"/>
      <c r="W61" s="1977"/>
      <c r="X61" s="1977"/>
      <c r="Y61" s="1977"/>
      <c r="Z61" s="1977"/>
      <c r="AA61" s="1977"/>
      <c r="AB61" s="1977"/>
      <c r="AC61" s="1977"/>
    </row>
    <row r="62" spans="1:29" s="1215" customFormat="1" ht="15">
      <c r="A62" s="658" t="s">
        <v>531</v>
      </c>
      <c r="B62" s="647"/>
      <c r="C62" s="659" t="s">
        <v>576</v>
      </c>
      <c r="D62" s="660"/>
      <c r="E62" s="660"/>
      <c r="F62" s="660"/>
      <c r="G62" s="660"/>
      <c r="H62" s="660"/>
      <c r="I62" s="660"/>
      <c r="J62" s="660"/>
      <c r="K62" s="660"/>
      <c r="L62" s="661"/>
      <c r="M62" s="662"/>
      <c r="N62" s="2146"/>
      <c r="O62" s="2146"/>
      <c r="P62" s="2197"/>
      <c r="Q62" s="2142"/>
      <c r="R62" s="1977"/>
      <c r="S62" s="1977"/>
      <c r="T62" s="1977"/>
      <c r="U62" s="1977"/>
      <c r="V62" s="1977"/>
      <c r="W62" s="1977"/>
      <c r="X62" s="1977"/>
      <c r="Y62" s="1977"/>
      <c r="Z62" s="1977"/>
      <c r="AA62" s="1977"/>
      <c r="AB62" s="1977"/>
      <c r="AC62" s="1977"/>
    </row>
    <row r="63" spans="1:29" s="1215" customFormat="1" ht="15.75" thickBot="1">
      <c r="A63" s="658"/>
      <c r="B63" s="647"/>
      <c r="C63" s="888">
        <v>100</v>
      </c>
      <c r="D63" s="649"/>
      <c r="E63" s="649"/>
      <c r="F63" s="649"/>
      <c r="G63" s="649"/>
      <c r="H63" s="649"/>
      <c r="I63" s="649"/>
      <c r="J63" s="649"/>
      <c r="K63" s="649"/>
      <c r="L63" s="649"/>
      <c r="M63" s="651"/>
      <c r="N63" s="2146"/>
      <c r="O63" s="2146"/>
      <c r="P63" s="2196"/>
      <c r="Q63" s="2142"/>
      <c r="R63" s="1977"/>
      <c r="S63" s="1977"/>
      <c r="T63" s="1977"/>
      <c r="U63" s="1977"/>
      <c r="V63" s="1977"/>
      <c r="W63" s="1977"/>
      <c r="X63" s="1977"/>
      <c r="Y63" s="1977"/>
      <c r="Z63" s="1977"/>
      <c r="AA63" s="1977"/>
      <c r="AB63" s="1977"/>
      <c r="AC63" s="1977"/>
    </row>
    <row r="64" spans="1:29">
      <c r="A64" s="663" t="s">
        <v>577</v>
      </c>
      <c r="B64" s="664" t="s">
        <v>534</v>
      </c>
      <c r="C64" s="703">
        <f>C9</f>
        <v>0</v>
      </c>
      <c r="D64" s="597"/>
      <c r="E64" s="597"/>
      <c r="F64" s="597"/>
      <c r="G64" s="597"/>
      <c r="H64" s="597"/>
      <c r="I64" s="597"/>
      <c r="J64" s="597"/>
      <c r="K64" s="665"/>
      <c r="L64" s="666"/>
      <c r="M64" s="667"/>
      <c r="N64" s="2148"/>
      <c r="O64" s="2148"/>
      <c r="P64" s="2198"/>
      <c r="Q64" s="2142"/>
      <c r="R64" s="2129"/>
      <c r="S64" s="2129"/>
      <c r="T64" s="2129"/>
      <c r="U64" s="2129"/>
      <c r="V64" s="2129"/>
      <c r="W64" s="2129"/>
      <c r="X64" s="2129"/>
      <c r="Y64" s="2129"/>
      <c r="Z64" s="2129"/>
      <c r="AA64" s="2129"/>
      <c r="AB64" s="2129"/>
      <c r="AC64" s="2129"/>
    </row>
    <row r="65" spans="1:29" ht="15.75" thickBot="1">
      <c r="A65" s="668"/>
      <c r="B65" s="669"/>
      <c r="C65" s="670"/>
      <c r="D65" s="670"/>
      <c r="E65" s="670"/>
      <c r="F65" s="670"/>
      <c r="G65" s="670"/>
      <c r="H65" s="670"/>
      <c r="I65" s="670"/>
      <c r="J65" s="670"/>
      <c r="K65" s="670"/>
      <c r="L65" s="670"/>
      <c r="M65" s="671"/>
      <c r="N65" s="2150"/>
      <c r="O65" s="2150"/>
      <c r="P65" s="2198"/>
      <c r="Q65" s="2142"/>
      <c r="R65" s="2129"/>
      <c r="S65" s="2129"/>
      <c r="T65" s="2129"/>
      <c r="U65" s="2129"/>
      <c r="V65" s="2129"/>
      <c r="W65" s="2129"/>
      <c r="X65" s="2129"/>
      <c r="Y65" s="2129"/>
      <c r="Z65" s="2129"/>
      <c r="AA65" s="2129"/>
      <c r="AB65" s="2129"/>
      <c r="AC65" s="2129"/>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48"/>
      <c r="O66" s="2148"/>
      <c r="P66" s="2198"/>
      <c r="Q66" s="2142"/>
      <c r="R66" s="2129"/>
      <c r="S66" s="2129"/>
      <c r="T66" s="2129"/>
      <c r="U66" s="2129"/>
      <c r="V66" s="2129"/>
      <c r="W66" s="2129"/>
      <c r="X66" s="2129"/>
      <c r="Y66" s="2129"/>
      <c r="Z66" s="2129"/>
      <c r="AA66" s="2129"/>
      <c r="AB66" s="2129"/>
      <c r="AC66" s="2129"/>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50"/>
      <c r="O67" s="2150"/>
      <c r="P67" s="2198"/>
      <c r="Q67" s="2142"/>
      <c r="R67" s="2129"/>
      <c r="S67" s="2129"/>
      <c r="T67" s="2129"/>
      <c r="U67" s="2129"/>
      <c r="V67" s="2129"/>
      <c r="W67" s="2129"/>
      <c r="X67" s="2129"/>
      <c r="Y67" s="2129"/>
      <c r="Z67" s="2129"/>
      <c r="AA67" s="2129"/>
      <c r="AB67" s="2129"/>
      <c r="AC67" s="2129"/>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8"/>
      <c r="B69" s="682"/>
      <c r="C69" s="540"/>
      <c r="D69" s="540"/>
      <c r="E69" s="540"/>
      <c r="F69" s="540"/>
      <c r="G69" s="540"/>
      <c r="H69" s="540"/>
      <c r="I69" s="540"/>
      <c r="J69" s="540"/>
      <c r="K69" s="683"/>
      <c r="L69" s="684"/>
      <c r="M69" s="685"/>
      <c r="N69" s="2148"/>
      <c r="O69" s="2148"/>
      <c r="P69" s="2198"/>
      <c r="Q69" s="2142"/>
      <c r="R69" s="2129"/>
      <c r="S69" s="2129"/>
      <c r="T69" s="2129"/>
      <c r="U69" s="2129"/>
      <c r="V69" s="2129"/>
      <c r="W69" s="2129"/>
      <c r="X69" s="2129"/>
      <c r="Y69" s="2129"/>
      <c r="Z69" s="2129"/>
      <c r="AA69" s="2129"/>
      <c r="AB69" s="2129"/>
      <c r="AC69" s="2129"/>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50"/>
      <c r="O70" s="2150"/>
      <c r="P70" s="2198"/>
      <c r="Q70" s="2142"/>
      <c r="R70" s="2129"/>
      <c r="S70" s="2129"/>
      <c r="T70" s="2129"/>
      <c r="U70" s="2129"/>
      <c r="V70" s="2129"/>
      <c r="W70" s="2129"/>
      <c r="X70" s="2129"/>
      <c r="Y70" s="2129"/>
      <c r="Z70" s="2129"/>
      <c r="AA70" s="2129"/>
      <c r="AB70" s="2129"/>
      <c r="AC70" s="2129"/>
    </row>
    <row r="71" spans="1:29" s="1334" customFormat="1" ht="15.75" thickTop="1">
      <c r="A71" s="686"/>
      <c r="B71" s="672">
        <f>B12</f>
        <v>111</v>
      </c>
      <c r="C71" s="687"/>
      <c r="D71" s="687"/>
      <c r="E71" s="687"/>
      <c r="F71" s="687"/>
      <c r="G71" s="687"/>
      <c r="H71" s="688"/>
      <c r="I71" s="688"/>
      <c r="J71" s="688"/>
      <c r="K71" s="688"/>
      <c r="L71" s="689"/>
      <c r="M71" s="690"/>
      <c r="N71" s="2151"/>
      <c r="O71" s="2151"/>
      <c r="P71" s="2199"/>
      <c r="Q71" s="2153"/>
      <c r="R71" s="2154"/>
      <c r="S71" s="2154"/>
      <c r="T71" s="2154"/>
      <c r="U71" s="2154"/>
      <c r="V71" s="2154"/>
      <c r="W71" s="2154"/>
      <c r="X71" s="2154"/>
      <c r="Y71" s="2154"/>
      <c r="Z71" s="2154"/>
      <c r="AA71" s="2154"/>
      <c r="AB71" s="2154"/>
      <c r="AC71" s="2154"/>
    </row>
    <row r="72" spans="1:29" s="1334" customFormat="1" ht="15.75" thickBot="1">
      <c r="A72" s="686"/>
      <c r="B72" s="677"/>
      <c r="C72" s="691"/>
      <c r="D72" s="670"/>
      <c r="E72" s="670"/>
      <c r="F72" s="670"/>
      <c r="G72" s="670"/>
      <c r="H72" s="670"/>
      <c r="I72" s="670"/>
      <c r="J72" s="670"/>
      <c r="K72" s="670"/>
      <c r="L72" s="670"/>
      <c r="M72" s="671"/>
      <c r="N72" s="2150"/>
      <c r="O72" s="2150"/>
      <c r="P72" s="2199"/>
      <c r="Q72" s="2153"/>
      <c r="R72" s="2154"/>
      <c r="S72" s="2154"/>
      <c r="T72" s="2154"/>
      <c r="U72" s="2154"/>
      <c r="V72" s="2154"/>
      <c r="W72" s="2154"/>
      <c r="X72" s="2154"/>
      <c r="Y72" s="2154"/>
      <c r="Z72" s="2154"/>
      <c r="AA72" s="2154"/>
      <c r="AB72" s="2154"/>
      <c r="AC72" s="2154"/>
    </row>
    <row r="73" spans="1:29" s="1334" customFormat="1" ht="15.75" thickTop="1">
      <c r="A73" s="686"/>
      <c r="B73" s="672">
        <f>B13</f>
        <v>111</v>
      </c>
      <c r="C73" s="687"/>
      <c r="D73" s="687"/>
      <c r="E73" s="687"/>
      <c r="F73" s="687"/>
      <c r="G73" s="687"/>
      <c r="H73" s="688"/>
      <c r="I73" s="688"/>
      <c r="J73" s="688"/>
      <c r="K73" s="688"/>
      <c r="L73" s="689"/>
      <c r="M73" s="690"/>
      <c r="N73" s="2151"/>
      <c r="O73" s="2151"/>
      <c r="P73" s="2200"/>
      <c r="Q73" s="2156"/>
      <c r="R73" s="2154"/>
      <c r="S73" s="2154"/>
      <c r="T73" s="2154"/>
      <c r="U73" s="2154"/>
      <c r="V73" s="2154"/>
      <c r="W73" s="2154"/>
      <c r="X73" s="2154"/>
      <c r="Y73" s="2154"/>
      <c r="Z73" s="2154"/>
      <c r="AA73" s="2154"/>
      <c r="AB73" s="2154"/>
      <c r="AC73" s="2154"/>
    </row>
    <row r="74" spans="1:29" s="1334" customFormat="1" ht="15.75" thickBot="1">
      <c r="A74" s="686"/>
      <c r="B74" s="677"/>
      <c r="C74" s="691"/>
      <c r="D74" s="691"/>
      <c r="E74" s="691"/>
      <c r="F74" s="691"/>
      <c r="G74" s="691"/>
      <c r="H74" s="692"/>
      <c r="I74" s="692"/>
      <c r="J74" s="692"/>
      <c r="K74" s="692"/>
      <c r="L74" s="692"/>
      <c r="M74" s="693"/>
      <c r="N74" s="2151"/>
      <c r="O74" s="2151"/>
      <c r="P74" s="2199"/>
      <c r="Q74" s="2153"/>
      <c r="R74" s="2154"/>
      <c r="S74" s="2154"/>
      <c r="T74" s="2154"/>
      <c r="U74" s="2154"/>
      <c r="V74" s="2154"/>
      <c r="W74" s="2154"/>
      <c r="X74" s="2154"/>
      <c r="Y74" s="2154"/>
      <c r="Z74" s="2154"/>
      <c r="AA74" s="2154"/>
      <c r="AB74" s="2154"/>
      <c r="AC74" s="2154"/>
    </row>
    <row r="75" spans="1:29" s="1334" customFormat="1" ht="15.75" thickTop="1">
      <c r="A75" s="686"/>
      <c r="B75" s="680">
        <f>B14</f>
        <v>111</v>
      </c>
      <c r="C75" s="660"/>
      <c r="D75" s="660"/>
      <c r="E75" s="660"/>
      <c r="F75" s="660"/>
      <c r="G75" s="660"/>
      <c r="H75" s="694"/>
      <c r="I75" s="694"/>
      <c r="J75" s="694"/>
      <c r="K75" s="694"/>
      <c r="L75" s="695"/>
      <c r="M75" s="696"/>
      <c r="N75" s="2151"/>
      <c r="O75" s="2151"/>
      <c r="P75" s="2201"/>
      <c r="Q75" s="2153"/>
      <c r="R75" s="2154"/>
      <c r="S75" s="2154"/>
      <c r="T75" s="2154"/>
      <c r="U75" s="2154"/>
      <c r="V75" s="2154"/>
      <c r="W75" s="2154"/>
      <c r="X75" s="2154"/>
      <c r="Y75" s="2154"/>
      <c r="Z75" s="2154"/>
      <c r="AA75" s="2154"/>
      <c r="AB75" s="2154"/>
      <c r="AC75" s="2154"/>
    </row>
    <row r="76" spans="1:29" s="1334" customFormat="1" ht="15.75" thickBot="1">
      <c r="A76" s="697"/>
      <c r="B76" s="698"/>
      <c r="C76" s="699"/>
      <c r="D76" s="699"/>
      <c r="E76" s="699"/>
      <c r="F76" s="699"/>
      <c r="G76" s="699"/>
      <c r="H76" s="700"/>
      <c r="I76" s="700"/>
      <c r="J76" s="700"/>
      <c r="K76" s="700"/>
      <c r="L76" s="700"/>
      <c r="M76" s="701"/>
      <c r="N76" s="2151"/>
      <c r="O76" s="2151"/>
      <c r="P76" s="2199"/>
      <c r="Q76" s="2153"/>
      <c r="R76" s="2154"/>
      <c r="S76" s="2154"/>
      <c r="T76" s="2154"/>
      <c r="U76" s="2154"/>
      <c r="V76" s="2154"/>
      <c r="W76" s="2154"/>
      <c r="X76" s="2154"/>
      <c r="Y76" s="2154"/>
      <c r="Z76" s="2154"/>
      <c r="AA76" s="2154"/>
      <c r="AB76" s="2154"/>
      <c r="AC76" s="2154"/>
    </row>
    <row r="77" spans="1:29">
      <c r="A77" s="663" t="s">
        <v>539</v>
      </c>
      <c r="B77" s="664" t="s">
        <v>585</v>
      </c>
      <c r="C77" s="702" t="s">
        <v>579</v>
      </c>
      <c r="D77" s="702" t="s">
        <v>580</v>
      </c>
      <c r="E77" s="702" t="s">
        <v>581</v>
      </c>
      <c r="F77" s="702" t="s">
        <v>582</v>
      </c>
      <c r="G77" s="702" t="s">
        <v>583</v>
      </c>
      <c r="H77" s="703"/>
      <c r="I77" s="703"/>
      <c r="J77" s="703"/>
      <c r="K77" s="704"/>
      <c r="L77" s="705"/>
      <c r="M77" s="706"/>
      <c r="N77" s="2148"/>
      <c r="O77" s="2148"/>
      <c r="P77" s="2202"/>
      <c r="Q77" s="2142"/>
      <c r="R77" s="2129"/>
      <c r="S77" s="2129"/>
      <c r="T77" s="2129"/>
      <c r="U77" s="2129"/>
      <c r="V77" s="2129"/>
      <c r="W77" s="2129"/>
      <c r="X77" s="2129"/>
      <c r="Y77" s="2129"/>
      <c r="Z77" s="2129"/>
      <c r="AA77" s="2129"/>
      <c r="AB77" s="2129"/>
      <c r="AC77" s="2129"/>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50"/>
      <c r="O78" s="2150"/>
      <c r="P78" s="2198"/>
      <c r="Q78" s="2142"/>
      <c r="R78" s="2129"/>
      <c r="S78" s="2129"/>
      <c r="T78" s="2129"/>
      <c r="U78" s="2129"/>
      <c r="V78" s="2129"/>
      <c r="W78" s="2129"/>
      <c r="X78" s="2129"/>
      <c r="Y78" s="2129"/>
      <c r="Z78" s="2129"/>
      <c r="AA78" s="2129"/>
      <c r="AB78" s="2129"/>
      <c r="AC78" s="2129"/>
    </row>
    <row r="79" spans="1:29" ht="15.75" thickTop="1">
      <c r="A79" s="668"/>
      <c r="B79" s="672" t="s">
        <v>586</v>
      </c>
      <c r="C79" s="707" t="s">
        <v>579</v>
      </c>
      <c r="D79" s="707" t="s">
        <v>580</v>
      </c>
      <c r="E79" s="707" t="s">
        <v>581</v>
      </c>
      <c r="F79" s="707" t="s">
        <v>582</v>
      </c>
      <c r="G79" s="707" t="s">
        <v>583</v>
      </c>
      <c r="H79" s="673"/>
      <c r="I79" s="673"/>
      <c r="J79" s="673"/>
      <c r="K79" s="674"/>
      <c r="L79" s="675"/>
      <c r="M79" s="676"/>
      <c r="N79" s="2148"/>
      <c r="O79" s="2148"/>
      <c r="P79" s="2198"/>
      <c r="Q79" s="2142"/>
      <c r="R79" s="2129"/>
      <c r="S79" s="2129"/>
      <c r="T79" s="2129"/>
      <c r="U79" s="2129"/>
      <c r="V79" s="2129"/>
      <c r="W79" s="2129"/>
      <c r="X79" s="2129"/>
      <c r="Y79" s="2129"/>
      <c r="Z79" s="2129"/>
      <c r="AA79" s="2129"/>
      <c r="AB79" s="2129"/>
      <c r="AC79" s="2129"/>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50"/>
      <c r="O80" s="2150"/>
      <c r="P80" s="2198"/>
      <c r="Q80" s="2142"/>
      <c r="R80" s="2129"/>
      <c r="S80" s="2129"/>
      <c r="T80" s="2129"/>
      <c r="U80" s="2129"/>
      <c r="V80" s="2129"/>
      <c r="W80" s="2129"/>
      <c r="X80" s="2129"/>
      <c r="Y80" s="2129"/>
      <c r="Z80" s="2129"/>
      <c r="AA80" s="2129"/>
      <c r="AB80" s="2129"/>
      <c r="AC80" s="2129"/>
    </row>
    <row r="81" spans="1:29" ht="15.75" thickTop="1">
      <c r="A81" s="668"/>
      <c r="B81" s="1880" t="s">
        <v>2556</v>
      </c>
      <c r="C81" s="707" t="s">
        <v>579</v>
      </c>
      <c r="D81" s="707" t="s">
        <v>580</v>
      </c>
      <c r="E81" s="707" t="s">
        <v>581</v>
      </c>
      <c r="F81" s="707" t="s">
        <v>582</v>
      </c>
      <c r="G81" s="707" t="s">
        <v>583</v>
      </c>
      <c r="H81" s="673"/>
      <c r="I81" s="673"/>
      <c r="J81" s="673"/>
      <c r="K81" s="674"/>
      <c r="L81" s="675"/>
      <c r="M81" s="676"/>
      <c r="N81" s="2148"/>
      <c r="O81" s="2148"/>
      <c r="P81" s="2198"/>
      <c r="Q81" s="2142"/>
      <c r="R81" s="2129"/>
      <c r="S81" s="2129"/>
      <c r="T81" s="2129"/>
      <c r="U81" s="2129"/>
      <c r="V81" s="2129"/>
      <c r="W81" s="2129"/>
      <c r="X81" s="2129"/>
      <c r="Y81" s="2129"/>
      <c r="Z81" s="2129"/>
      <c r="AA81" s="2129"/>
      <c r="AB81" s="2129"/>
      <c r="AC81" s="2129"/>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50"/>
      <c r="O82" s="2150"/>
      <c r="P82" s="2198"/>
      <c r="Q82" s="2142"/>
      <c r="R82" s="2129"/>
      <c r="S82" s="2129"/>
      <c r="T82" s="2129"/>
      <c r="U82" s="2129"/>
      <c r="V82" s="2129"/>
      <c r="W82" s="2129"/>
      <c r="X82" s="2129"/>
      <c r="Y82" s="2129"/>
      <c r="Z82" s="2129"/>
      <c r="AA82" s="2129"/>
      <c r="AB82" s="2129"/>
      <c r="AC82" s="2129"/>
    </row>
    <row r="83" spans="1:29" ht="15.75" thickTop="1">
      <c r="A83" s="668"/>
      <c r="B83" s="2560" t="s">
        <v>2557</v>
      </c>
      <c r="C83" s="2561" t="s">
        <v>2558</v>
      </c>
      <c r="D83" s="2561" t="s">
        <v>2559</v>
      </c>
      <c r="E83" s="2561" t="s">
        <v>2560</v>
      </c>
      <c r="F83" s="2561" t="s">
        <v>2561</v>
      </c>
      <c r="G83" s="2561" t="s">
        <v>2562</v>
      </c>
      <c r="H83" s="673"/>
      <c r="I83" s="673"/>
      <c r="J83" s="673"/>
      <c r="K83" s="673"/>
      <c r="L83" s="673"/>
      <c r="M83" s="2564"/>
      <c r="N83" s="2150"/>
      <c r="O83" s="2150"/>
      <c r="P83" s="2198"/>
      <c r="Q83" s="2142"/>
      <c r="R83" s="2129"/>
      <c r="S83" s="2129"/>
      <c r="T83" s="2129"/>
      <c r="U83" s="2129"/>
      <c r="V83" s="2129"/>
      <c r="W83" s="2129"/>
      <c r="X83" s="2129"/>
      <c r="Y83" s="2129"/>
      <c r="Z83" s="2129"/>
      <c r="AA83" s="2129"/>
      <c r="AB83" s="2129"/>
      <c r="AC83" s="2129"/>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50"/>
      <c r="O84" s="2150"/>
      <c r="P84" s="2198"/>
      <c r="Q84" s="2142"/>
      <c r="R84" s="2129"/>
      <c r="S84" s="2129"/>
      <c r="T84" s="2129"/>
      <c r="U84" s="2129"/>
      <c r="V84" s="2129"/>
      <c r="W84" s="2129"/>
      <c r="X84" s="2129"/>
      <c r="Y84" s="2129"/>
      <c r="Z84" s="2129"/>
      <c r="AA84" s="2129"/>
      <c r="AB84" s="2129"/>
      <c r="AC84" s="2129"/>
    </row>
    <row r="85" spans="1:29" ht="15.75" thickTop="1">
      <c r="A85" s="668"/>
      <c r="B85" s="672" t="s">
        <v>784</v>
      </c>
      <c r="C85" s="707" t="s">
        <v>579</v>
      </c>
      <c r="D85" s="707" t="s">
        <v>580</v>
      </c>
      <c r="E85" s="707" t="s">
        <v>581</v>
      </c>
      <c r="F85" s="707" t="s">
        <v>582</v>
      </c>
      <c r="G85" s="707" t="s">
        <v>583</v>
      </c>
      <c r="H85" s="673"/>
      <c r="I85" s="673"/>
      <c r="J85" s="673"/>
      <c r="K85" s="674"/>
      <c r="L85" s="675"/>
      <c r="M85" s="676"/>
      <c r="N85" s="2148"/>
      <c r="O85" s="2148"/>
      <c r="P85" s="2198"/>
      <c r="Q85" s="2142"/>
      <c r="R85" s="2129"/>
      <c r="S85" s="2129"/>
      <c r="T85" s="2129"/>
      <c r="U85" s="2129"/>
      <c r="V85" s="2129"/>
      <c r="W85" s="2129"/>
      <c r="X85" s="2129"/>
      <c r="Y85" s="2129"/>
      <c r="Z85" s="2129"/>
      <c r="AA85" s="2129"/>
      <c r="AB85" s="2129"/>
      <c r="AC85" s="2129"/>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50"/>
      <c r="O86" s="2150"/>
      <c r="P86" s="2198"/>
      <c r="Q86" s="2142"/>
      <c r="R86" s="2129"/>
      <c r="S86" s="2129"/>
      <c r="T86" s="2129"/>
      <c r="U86" s="2129"/>
      <c r="V86" s="2129"/>
      <c r="W86" s="2129"/>
      <c r="X86" s="2129"/>
      <c r="Y86" s="2129"/>
      <c r="Z86" s="2129"/>
      <c r="AA86" s="2129"/>
      <c r="AB86" s="2129"/>
      <c r="AC86" s="2129"/>
    </row>
    <row r="87" spans="1:29" s="1215" customFormat="1" ht="27.75" thickTop="1">
      <c r="A87" s="708"/>
      <c r="B87" s="672" t="s">
        <v>785</v>
      </c>
      <c r="C87" s="687"/>
      <c r="D87" s="687"/>
      <c r="E87" s="687"/>
      <c r="F87" s="687"/>
      <c r="G87" s="687"/>
      <c r="H87" s="687"/>
      <c r="I87" s="687"/>
      <c r="J87" s="687"/>
      <c r="K87" s="687"/>
      <c r="L87" s="889"/>
      <c r="M87" s="890"/>
      <c r="N87" s="2146"/>
      <c r="O87" s="2146"/>
      <c r="P87" s="2198"/>
      <c r="Q87" s="2142"/>
      <c r="R87" s="1977"/>
      <c r="S87" s="1977"/>
      <c r="T87" s="1977"/>
      <c r="U87" s="1977"/>
      <c r="V87" s="1977"/>
      <c r="W87" s="1977"/>
      <c r="X87" s="1977"/>
      <c r="Y87" s="1977"/>
      <c r="Z87" s="1977"/>
      <c r="AA87" s="1977"/>
      <c r="AB87" s="1977"/>
      <c r="AC87" s="1977"/>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50"/>
      <c r="O88" s="2150"/>
      <c r="P88" s="2198"/>
      <c r="Q88" s="2142"/>
      <c r="R88" s="1977"/>
      <c r="S88" s="1977"/>
      <c r="T88" s="1977"/>
      <c r="U88" s="1977"/>
      <c r="V88" s="1977"/>
      <c r="W88" s="1977"/>
      <c r="X88" s="1977"/>
      <c r="Y88" s="1977"/>
      <c r="Z88" s="1977"/>
      <c r="AA88" s="1977"/>
      <c r="AB88" s="1977"/>
      <c r="AC88" s="1977"/>
    </row>
    <row r="89" spans="1:29" s="1215" customFormat="1" ht="15.75" thickTop="1">
      <c r="A89" s="708"/>
      <c r="B89" s="672" t="str">
        <f>B27</f>
        <v>楼层</v>
      </c>
      <c r="C89" s="687"/>
      <c r="D89" s="687"/>
      <c r="E89" s="687"/>
      <c r="F89" s="891"/>
      <c r="G89" s="687"/>
      <c r="H89" s="687"/>
      <c r="I89" s="687"/>
      <c r="J89" s="687"/>
      <c r="K89" s="687"/>
      <c r="L89" s="687"/>
      <c r="M89" s="890"/>
      <c r="N89" s="2146"/>
      <c r="O89" s="2146"/>
      <c r="P89" s="2198"/>
      <c r="Q89" s="2142"/>
      <c r="R89" s="1977"/>
      <c r="S89" s="1977"/>
      <c r="T89" s="1977"/>
      <c r="U89" s="1977"/>
      <c r="V89" s="1977"/>
      <c r="W89" s="1977"/>
      <c r="X89" s="1977"/>
      <c r="Y89" s="1977"/>
      <c r="Z89" s="1977"/>
      <c r="AA89" s="1977"/>
      <c r="AB89" s="1977"/>
      <c r="AC89" s="1977"/>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50"/>
      <c r="O90" s="2150"/>
      <c r="P90" s="2198"/>
      <c r="Q90" s="2142"/>
      <c r="R90" s="1977"/>
      <c r="S90" s="1977"/>
      <c r="T90" s="1977"/>
      <c r="U90" s="1977"/>
      <c r="V90" s="1977"/>
      <c r="W90" s="1977"/>
      <c r="X90" s="1977"/>
      <c r="Y90" s="1977"/>
      <c r="Z90" s="1977"/>
      <c r="AA90" s="1977"/>
      <c r="AB90" s="1977"/>
      <c r="AC90" s="1977"/>
    </row>
    <row r="91" spans="1:29" s="1334" customFormat="1" ht="15.75" thickTop="1">
      <c r="A91" s="686"/>
      <c r="B91" s="672" t="str">
        <f>B28</f>
        <v>朝向</v>
      </c>
      <c r="C91" s="687"/>
      <c r="D91" s="687"/>
      <c r="E91" s="687"/>
      <c r="F91" s="687"/>
      <c r="G91" s="687"/>
      <c r="H91" s="688"/>
      <c r="I91" s="688"/>
      <c r="J91" s="688"/>
      <c r="K91" s="688"/>
      <c r="L91" s="689"/>
      <c r="M91" s="690"/>
      <c r="N91" s="2151"/>
      <c r="O91" s="2151"/>
      <c r="P91" s="2199"/>
      <c r="Q91" s="2153"/>
      <c r="R91" s="2154"/>
      <c r="S91" s="2154"/>
      <c r="T91" s="2154"/>
      <c r="U91" s="2154"/>
      <c r="V91" s="2154"/>
      <c r="W91" s="2154"/>
      <c r="X91" s="2154"/>
      <c r="Y91" s="2154"/>
      <c r="Z91" s="2154"/>
      <c r="AA91" s="2154"/>
      <c r="AB91" s="2154"/>
      <c r="AC91" s="2154"/>
    </row>
    <row r="92" spans="1:29" s="1334"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8"/>
      <c r="B93" s="672">
        <f>B29</f>
        <v>111</v>
      </c>
      <c r="C93" s="687"/>
      <c r="D93" s="687"/>
      <c r="E93" s="687"/>
      <c r="F93" s="687"/>
      <c r="G93" s="687"/>
      <c r="H93" s="687"/>
      <c r="I93" s="687"/>
      <c r="J93" s="687"/>
      <c r="K93" s="687"/>
      <c r="L93" s="889"/>
      <c r="M93" s="890"/>
      <c r="N93" s="2148"/>
      <c r="O93" s="2148"/>
      <c r="P93" s="2198"/>
      <c r="Q93" s="2142"/>
      <c r="R93" s="2129"/>
      <c r="S93" s="2129"/>
      <c r="T93" s="2129"/>
      <c r="U93" s="2129"/>
      <c r="V93" s="2129"/>
      <c r="W93" s="2129"/>
      <c r="X93" s="2129"/>
      <c r="Y93" s="2129"/>
      <c r="Z93" s="2129"/>
      <c r="AA93" s="2129"/>
      <c r="AB93" s="2129"/>
      <c r="AC93" s="2129"/>
    </row>
    <row r="94" spans="1:29" ht="15.75" thickBot="1">
      <c r="A94" s="668"/>
      <c r="B94" s="677"/>
      <c r="C94" s="691"/>
      <c r="D94" s="670"/>
      <c r="E94" s="670"/>
      <c r="F94" s="670"/>
      <c r="G94" s="670"/>
      <c r="H94" s="670"/>
      <c r="I94" s="670"/>
      <c r="J94" s="670"/>
      <c r="K94" s="670"/>
      <c r="L94" s="670"/>
      <c r="M94" s="671"/>
      <c r="N94" s="2150"/>
      <c r="O94" s="2150"/>
      <c r="P94" s="2198"/>
      <c r="Q94" s="2142"/>
      <c r="R94" s="2129"/>
      <c r="S94" s="2129"/>
      <c r="T94" s="2129"/>
      <c r="U94" s="2129"/>
      <c r="V94" s="2129"/>
      <c r="W94" s="2129"/>
      <c r="X94" s="2129"/>
      <c r="Y94" s="2129"/>
      <c r="Z94" s="2129"/>
      <c r="AA94" s="2129"/>
      <c r="AB94" s="2129"/>
      <c r="AC94" s="2129"/>
    </row>
    <row r="95" spans="1:29" ht="15.75" thickTop="1">
      <c r="A95" s="668"/>
      <c r="B95" s="672">
        <f>B30</f>
        <v>111</v>
      </c>
      <c r="C95" s="687"/>
      <c r="D95" s="687"/>
      <c r="E95" s="687"/>
      <c r="F95" s="687"/>
      <c r="G95" s="717"/>
      <c r="H95" s="717"/>
      <c r="I95" s="717"/>
      <c r="J95" s="717"/>
      <c r="K95" s="718"/>
      <c r="L95" s="719"/>
      <c r="M95" s="720"/>
      <c r="N95" s="2148"/>
      <c r="O95" s="2148"/>
      <c r="P95" s="2198"/>
      <c r="Q95" s="2142"/>
      <c r="R95" s="2129"/>
      <c r="S95" s="2129"/>
      <c r="T95" s="2129"/>
      <c r="U95" s="2129"/>
      <c r="V95" s="2129"/>
      <c r="W95" s="2129"/>
      <c r="X95" s="2129"/>
      <c r="Y95" s="2129"/>
      <c r="Z95" s="2129"/>
      <c r="AA95" s="2129"/>
      <c r="AB95" s="2129"/>
      <c r="AC95" s="2129"/>
    </row>
    <row r="96" spans="1:29" ht="15.75" thickBot="1">
      <c r="A96" s="668"/>
      <c r="B96" s="677"/>
      <c r="C96" s="691"/>
      <c r="D96" s="691"/>
      <c r="E96" s="691"/>
      <c r="F96" s="691"/>
      <c r="G96" s="670"/>
      <c r="H96" s="670"/>
      <c r="I96" s="670"/>
      <c r="J96" s="670"/>
      <c r="K96" s="670"/>
      <c r="L96" s="670"/>
      <c r="M96" s="671"/>
      <c r="N96" s="2150"/>
      <c r="O96" s="2150"/>
      <c r="P96" s="2198"/>
      <c r="Q96" s="2142"/>
      <c r="R96" s="2129"/>
      <c r="S96" s="2129"/>
      <c r="T96" s="2129"/>
      <c r="U96" s="2129"/>
      <c r="V96" s="2129"/>
      <c r="W96" s="2129"/>
      <c r="X96" s="2129"/>
      <c r="Y96" s="2129"/>
      <c r="Z96" s="2129"/>
      <c r="AA96" s="2129"/>
      <c r="AB96" s="2129"/>
      <c r="AC96" s="2129"/>
    </row>
    <row r="97" spans="1:29" ht="15.75" thickTop="1">
      <c r="A97" s="668"/>
      <c r="B97" s="672">
        <f>B31</f>
        <v>111</v>
      </c>
      <c r="C97" s="687"/>
      <c r="D97" s="687"/>
      <c r="E97" s="687"/>
      <c r="F97" s="687"/>
      <c r="G97" s="717"/>
      <c r="H97" s="717"/>
      <c r="I97" s="717"/>
      <c r="J97" s="717"/>
      <c r="K97" s="718"/>
      <c r="L97" s="719"/>
      <c r="M97" s="720"/>
      <c r="N97" s="2148"/>
      <c r="O97" s="2148"/>
      <c r="P97" s="2198"/>
      <c r="Q97" s="2142"/>
      <c r="R97" s="2129"/>
      <c r="S97" s="2129"/>
      <c r="T97" s="2129"/>
      <c r="U97" s="2129"/>
      <c r="V97" s="2129"/>
      <c r="W97" s="2129"/>
      <c r="X97" s="2129"/>
      <c r="Y97" s="2129"/>
      <c r="Z97" s="2129"/>
      <c r="AA97" s="2129"/>
      <c r="AB97" s="2129"/>
      <c r="AC97" s="2129"/>
    </row>
    <row r="98" spans="1:29" ht="15.75" thickBot="1">
      <c r="A98" s="668"/>
      <c r="B98" s="677"/>
      <c r="C98" s="691"/>
      <c r="D98" s="670"/>
      <c r="E98" s="670"/>
      <c r="F98" s="670"/>
      <c r="G98" s="670"/>
      <c r="H98" s="670"/>
      <c r="I98" s="670"/>
      <c r="J98" s="670"/>
      <c r="K98" s="670"/>
      <c r="L98" s="670"/>
      <c r="M98" s="671"/>
      <c r="N98" s="2150"/>
      <c r="O98" s="2150"/>
      <c r="P98" s="2198"/>
      <c r="Q98" s="2142"/>
      <c r="R98" s="2129"/>
      <c r="S98" s="2129"/>
      <c r="T98" s="2129"/>
      <c r="U98" s="2129"/>
      <c r="V98" s="2129"/>
      <c r="W98" s="2129"/>
      <c r="X98" s="2129"/>
      <c r="Y98" s="2129"/>
      <c r="Z98" s="2129"/>
      <c r="AA98" s="2129"/>
      <c r="AB98" s="2129"/>
      <c r="AC98" s="2129"/>
    </row>
    <row r="99" spans="1:29" ht="15.75" thickTop="1">
      <c r="A99" s="668"/>
      <c r="B99" s="680">
        <f>B32</f>
        <v>111</v>
      </c>
      <c r="C99" s="660"/>
      <c r="D99" s="660"/>
      <c r="E99" s="660"/>
      <c r="F99" s="660"/>
      <c r="G99" s="721"/>
      <c r="H99" s="721"/>
      <c r="I99" s="721"/>
      <c r="J99" s="721"/>
      <c r="K99" s="722"/>
      <c r="L99" s="723"/>
      <c r="M99" s="724"/>
      <c r="N99" s="2148"/>
      <c r="O99" s="2148"/>
      <c r="P99" s="2198"/>
      <c r="Q99" s="2142"/>
      <c r="R99" s="2129"/>
      <c r="S99" s="2129"/>
      <c r="T99" s="2129"/>
      <c r="U99" s="2129"/>
      <c r="V99" s="2129"/>
      <c r="W99" s="2129"/>
      <c r="X99" s="2129"/>
      <c r="Y99" s="2129"/>
      <c r="Z99" s="2129"/>
      <c r="AA99" s="2129"/>
      <c r="AB99" s="2129"/>
      <c r="AC99" s="2129"/>
    </row>
    <row r="100" spans="1:29" ht="15.75" thickBot="1">
      <c r="A100" s="892"/>
      <c r="B100" s="698"/>
      <c r="C100" s="699"/>
      <c r="D100" s="699"/>
      <c r="E100" s="699"/>
      <c r="F100" s="699"/>
      <c r="G100" s="725"/>
      <c r="H100" s="725"/>
      <c r="I100" s="725"/>
      <c r="J100" s="725"/>
      <c r="K100" s="725"/>
      <c r="L100" s="725"/>
      <c r="M100" s="726"/>
      <c r="N100" s="2150"/>
      <c r="O100" s="2150"/>
      <c r="P100" s="2198"/>
      <c r="Q100" s="2142"/>
      <c r="R100" s="2129"/>
      <c r="S100" s="2129"/>
      <c r="T100" s="2129"/>
      <c r="U100" s="2129"/>
      <c r="V100" s="2129"/>
      <c r="W100" s="2129"/>
      <c r="X100" s="2129"/>
      <c r="Y100" s="2129"/>
      <c r="Z100" s="2129"/>
      <c r="AA100" s="2129"/>
      <c r="AB100" s="2129"/>
      <c r="AC100" s="2129"/>
    </row>
    <row r="101" spans="1:29">
      <c r="A101" s="663" t="s">
        <v>551</v>
      </c>
      <c r="B101" s="664" t="s">
        <v>747</v>
      </c>
      <c r="C101" s="597"/>
      <c r="D101" s="597"/>
      <c r="E101" s="597"/>
      <c r="F101" s="597"/>
      <c r="G101" s="597"/>
      <c r="H101" s="597"/>
      <c r="I101" s="597"/>
      <c r="J101" s="597"/>
      <c r="K101" s="665"/>
      <c r="L101" s="666"/>
      <c r="M101" s="667"/>
      <c r="N101" s="2148"/>
      <c r="O101" s="2148"/>
      <c r="P101" s="2198"/>
      <c r="Q101" s="2142"/>
      <c r="R101" s="2129"/>
      <c r="S101" s="2129"/>
      <c r="T101" s="2129"/>
      <c r="U101" s="2129"/>
      <c r="V101" s="2129"/>
      <c r="W101" s="2129"/>
      <c r="X101" s="2129"/>
      <c r="Y101" s="2129"/>
      <c r="Z101" s="2129"/>
      <c r="AA101" s="2129"/>
      <c r="AB101" s="2129"/>
      <c r="AC101" s="2129"/>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4" customFormat="1">
      <c r="A104" s="727"/>
      <c r="B104" s="728"/>
      <c r="C104" s="729"/>
      <c r="D104" s="729"/>
      <c r="E104" s="729"/>
      <c r="F104" s="729"/>
      <c r="G104" s="729"/>
      <c r="H104" s="729"/>
      <c r="I104" s="729"/>
      <c r="J104" s="730"/>
      <c r="K104" s="730"/>
      <c r="L104" s="731"/>
      <c r="M104" s="732"/>
      <c r="N104" s="2151"/>
      <c r="O104" s="2151"/>
      <c r="P104" s="2199"/>
      <c r="Q104" s="2153"/>
      <c r="R104" s="2154"/>
      <c r="S104" s="2154"/>
      <c r="T104" s="2154"/>
      <c r="U104" s="2154"/>
      <c r="V104" s="2154"/>
      <c r="W104" s="2154"/>
      <c r="X104" s="2154"/>
      <c r="Y104" s="2154"/>
      <c r="Z104" s="2154"/>
      <c r="AA104" s="2154"/>
      <c r="AB104" s="2154"/>
      <c r="AC104" s="2154"/>
    </row>
    <row r="105" spans="1:29" s="1334" customFormat="1" ht="15.75" thickBot="1">
      <c r="A105" s="686"/>
      <c r="B105" s="677"/>
      <c r="C105" s="691"/>
      <c r="D105" s="670"/>
      <c r="E105" s="670"/>
      <c r="F105" s="670"/>
      <c r="G105" s="670"/>
      <c r="H105" s="670"/>
      <c r="I105" s="670"/>
      <c r="J105" s="670"/>
      <c r="K105" s="670"/>
      <c r="L105" s="670"/>
      <c r="M105" s="671"/>
      <c r="N105" s="2150"/>
      <c r="O105" s="2150"/>
      <c r="P105" s="2199"/>
      <c r="Q105" s="2153"/>
      <c r="R105" s="2154"/>
      <c r="S105" s="2154"/>
      <c r="T105" s="2154"/>
      <c r="U105" s="2154"/>
      <c r="V105" s="2154"/>
      <c r="W105" s="2154"/>
      <c r="X105" s="2154"/>
      <c r="Y105" s="2154"/>
      <c r="Z105" s="2154"/>
      <c r="AA105" s="2154"/>
      <c r="AB105" s="2154"/>
      <c r="AC105" s="2154"/>
    </row>
    <row r="106" spans="1:29" ht="15" thickTop="1">
      <c r="A106" s="734"/>
      <c r="B106" s="672" t="s">
        <v>749</v>
      </c>
      <c r="C106" s="687"/>
      <c r="D106" s="687"/>
      <c r="E106" s="717"/>
      <c r="F106" s="717"/>
      <c r="G106" s="717"/>
      <c r="H106" s="717"/>
      <c r="I106" s="717"/>
      <c r="J106" s="717"/>
      <c r="K106" s="718"/>
      <c r="L106" s="719"/>
      <c r="M106" s="720"/>
      <c r="N106" s="2148"/>
      <c r="O106" s="2148"/>
      <c r="P106" s="2198"/>
      <c r="Q106" s="2142"/>
      <c r="R106" s="2129"/>
      <c r="S106" s="2129"/>
      <c r="T106" s="2129"/>
      <c r="U106" s="2129"/>
      <c r="V106" s="2129"/>
      <c r="W106" s="2129"/>
      <c r="X106" s="2129"/>
      <c r="Y106" s="2129"/>
      <c r="Z106" s="2129"/>
      <c r="AA106" s="2129"/>
      <c r="AB106" s="2129"/>
      <c r="AC106" s="2129"/>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4"/>
      <c r="B108" s="672" t="s">
        <v>751</v>
      </c>
      <c r="C108" s="687"/>
      <c r="D108" s="687"/>
      <c r="E108" s="687"/>
      <c r="F108" s="717"/>
      <c r="G108" s="717"/>
      <c r="H108" s="717"/>
      <c r="I108" s="717"/>
      <c r="J108" s="717"/>
      <c r="K108" s="718"/>
      <c r="L108" s="719"/>
      <c r="M108" s="720"/>
      <c r="N108" s="2148"/>
      <c r="O108" s="2148"/>
      <c r="P108" s="2198"/>
      <c r="Q108" s="2142"/>
      <c r="R108" s="2129"/>
      <c r="S108" s="2129"/>
      <c r="T108" s="2129"/>
      <c r="U108" s="2129"/>
      <c r="V108" s="2129"/>
      <c r="W108" s="2129"/>
      <c r="X108" s="2129"/>
      <c r="Y108" s="2129"/>
      <c r="Z108" s="2129"/>
      <c r="AA108" s="2129"/>
      <c r="AB108" s="2129"/>
      <c r="AC108" s="2129"/>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8"/>
      <c r="O110" s="2148"/>
      <c r="P110" s="2198"/>
      <c r="Q110" s="2142"/>
      <c r="R110" s="2129"/>
      <c r="S110" s="2129"/>
      <c r="T110" s="2129"/>
      <c r="U110" s="2129"/>
      <c r="V110" s="2129"/>
      <c r="W110" s="2129"/>
      <c r="X110" s="2129"/>
      <c r="Y110" s="2129"/>
      <c r="Z110" s="2129"/>
      <c r="AA110" s="2129"/>
      <c r="AB110" s="2129"/>
      <c r="AC110" s="2129"/>
    </row>
    <row r="111" spans="1:29">
      <c r="A111" s="734"/>
      <c r="B111" s="680"/>
      <c r="C111" s="893">
        <v>0.5</v>
      </c>
      <c r="D111" s="893">
        <v>0.6</v>
      </c>
      <c r="E111" s="893">
        <v>0.7</v>
      </c>
      <c r="F111" s="893">
        <v>0.8</v>
      </c>
      <c r="G111" s="893">
        <v>0.9</v>
      </c>
      <c r="H111" s="893">
        <v>1.0001</v>
      </c>
      <c r="I111" s="904"/>
      <c r="J111" s="904"/>
      <c r="K111" s="905"/>
      <c r="L111" s="906"/>
      <c r="M111" s="907"/>
      <c r="N111" s="2148"/>
      <c r="O111" s="2148"/>
      <c r="P111" s="2198"/>
      <c r="Q111" s="2142"/>
      <c r="R111" s="2129"/>
      <c r="S111" s="2129"/>
      <c r="T111" s="2129"/>
      <c r="U111" s="2129"/>
      <c r="V111" s="2129"/>
      <c r="W111" s="2129"/>
      <c r="X111" s="2129"/>
      <c r="Y111" s="2129"/>
      <c r="Z111" s="2129"/>
      <c r="AA111" s="2129"/>
      <c r="AB111" s="2129"/>
      <c r="AC111" s="2129"/>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50"/>
      <c r="O112" s="2150"/>
      <c r="P112" s="2198"/>
      <c r="Q112" s="2142"/>
      <c r="R112" s="2129"/>
      <c r="S112" s="2129"/>
      <c r="T112" s="2129"/>
      <c r="U112" s="2129"/>
      <c r="V112" s="2129"/>
      <c r="W112" s="2129"/>
      <c r="X112" s="2129"/>
      <c r="Y112" s="2129"/>
      <c r="Z112" s="2129"/>
      <c r="AA112" s="2129"/>
      <c r="AB112" s="2129"/>
      <c r="AC112" s="2129"/>
    </row>
    <row r="113" spans="1:29" s="1334" customFormat="1" ht="15" thickTop="1">
      <c r="A113" s="727"/>
      <c r="B113" s="672" t="s">
        <v>786</v>
      </c>
      <c r="C113" s="687"/>
      <c r="D113" s="687"/>
      <c r="E113" s="687"/>
      <c r="F113" s="687"/>
      <c r="G113" s="687"/>
      <c r="H113" s="717"/>
      <c r="I113" s="717"/>
      <c r="J113" s="717"/>
      <c r="K113" s="718"/>
      <c r="L113" s="719"/>
      <c r="M113" s="720"/>
      <c r="N113" s="2151"/>
      <c r="O113" s="2151"/>
      <c r="P113" s="2199"/>
      <c r="Q113" s="2153"/>
      <c r="R113" s="2154"/>
      <c r="S113" s="2154"/>
      <c r="T113" s="2154"/>
      <c r="U113" s="2154"/>
      <c r="V113" s="2154"/>
      <c r="W113" s="2154"/>
      <c r="X113" s="2154"/>
      <c r="Y113" s="2154"/>
      <c r="Z113" s="2154"/>
      <c r="AA113" s="2154"/>
      <c r="AB113" s="2154"/>
      <c r="AC113" s="2154"/>
    </row>
    <row r="114" spans="1:29" s="1334"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4"/>
      <c r="B115" s="672" t="s">
        <v>753</v>
      </c>
      <c r="C115" s="687"/>
      <c r="D115" s="687"/>
      <c r="E115" s="717"/>
      <c r="F115" s="717"/>
      <c r="G115" s="717"/>
      <c r="H115" s="717"/>
      <c r="I115" s="717"/>
      <c r="J115" s="717"/>
      <c r="K115" s="718"/>
      <c r="L115" s="719"/>
      <c r="M115" s="720"/>
      <c r="N115" s="2148"/>
      <c r="O115" s="2148"/>
      <c r="P115" s="2198"/>
      <c r="Q115" s="2142"/>
      <c r="R115" s="2129"/>
      <c r="S115" s="2129"/>
      <c r="T115" s="2129"/>
      <c r="U115" s="2129"/>
      <c r="V115" s="2129"/>
      <c r="W115" s="2129"/>
      <c r="X115" s="2129"/>
      <c r="Y115" s="2129"/>
      <c r="Z115" s="2129"/>
      <c r="AA115" s="2129"/>
      <c r="AB115" s="2129"/>
      <c r="AC115" s="2129"/>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4"/>
      <c r="B117" s="1880" t="s">
        <v>2555</v>
      </c>
      <c r="C117" s="687"/>
      <c r="D117" s="687"/>
      <c r="E117" s="687"/>
      <c r="F117" s="687"/>
      <c r="G117" s="687"/>
      <c r="H117" s="717"/>
      <c r="I117" s="717"/>
      <c r="J117" s="717"/>
      <c r="K117" s="718"/>
      <c r="L117" s="719"/>
      <c r="M117" s="720"/>
      <c r="N117" s="2148"/>
      <c r="O117" s="2148"/>
      <c r="P117" s="2198"/>
      <c r="Q117" s="2142"/>
      <c r="R117" s="2129"/>
      <c r="S117" s="2129"/>
      <c r="T117" s="2129"/>
      <c r="U117" s="2129"/>
      <c r="V117" s="2129"/>
      <c r="W117" s="2129"/>
      <c r="X117" s="2129"/>
      <c r="Y117" s="2129"/>
      <c r="Z117" s="2129"/>
      <c r="AA117" s="2129"/>
      <c r="AB117" s="2129"/>
      <c r="AC117" s="2129"/>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50"/>
      <c r="O118" s="2150"/>
      <c r="P118" s="2198"/>
      <c r="Q118" s="2142"/>
      <c r="R118" s="2129"/>
      <c r="S118" s="2129"/>
      <c r="T118" s="2129"/>
      <c r="U118" s="2129"/>
      <c r="V118" s="2129"/>
      <c r="W118" s="2129"/>
      <c r="X118" s="2129"/>
      <c r="Y118" s="2129"/>
      <c r="Z118" s="2129"/>
      <c r="AA118" s="2129"/>
      <c r="AB118" s="2129"/>
      <c r="AC118" s="2129"/>
    </row>
    <row r="119" spans="1:29" ht="15" thickTop="1">
      <c r="A119" s="734"/>
      <c r="B119" s="916" t="s">
        <v>787</v>
      </c>
      <c r="C119" s="717"/>
      <c r="D119" s="717"/>
      <c r="E119" s="717"/>
      <c r="F119" s="717"/>
      <c r="G119" s="717"/>
      <c r="H119" s="717"/>
      <c r="I119" s="717"/>
      <c r="J119" s="717"/>
      <c r="K119" s="717"/>
      <c r="L119" s="917"/>
      <c r="M119" s="918"/>
      <c r="N119" s="2150"/>
      <c r="O119" s="2150"/>
      <c r="P119" s="2203"/>
      <c r="Q119" s="2190"/>
      <c r="R119" s="2129"/>
      <c r="S119" s="2129"/>
      <c r="T119" s="2129"/>
      <c r="U119" s="2129"/>
      <c r="V119" s="2129"/>
      <c r="W119" s="2129"/>
      <c r="X119" s="2129"/>
      <c r="Y119" s="2129"/>
      <c r="Z119" s="2129"/>
      <c r="AA119" s="2129"/>
      <c r="AB119" s="2129"/>
      <c r="AC119" s="2129"/>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50"/>
      <c r="O120" s="2150"/>
      <c r="P120" s="2198"/>
      <c r="Q120" s="2142"/>
      <c r="R120" s="2129"/>
      <c r="S120" s="2129"/>
      <c r="T120" s="2129"/>
      <c r="U120" s="2129"/>
      <c r="V120" s="2129"/>
      <c r="W120" s="2129"/>
      <c r="X120" s="2129"/>
      <c r="Y120" s="2129"/>
      <c r="Z120" s="2129"/>
      <c r="AA120" s="2129"/>
      <c r="AB120" s="2129"/>
      <c r="AC120" s="2129"/>
    </row>
    <row r="121" spans="1:29" s="1334" customFormat="1" ht="15" thickTop="1">
      <c r="A121" s="727"/>
      <c r="B121" s="672" t="s">
        <v>775</v>
      </c>
      <c r="C121" s="687"/>
      <c r="D121" s="687"/>
      <c r="E121" s="687"/>
      <c r="F121" s="717"/>
      <c r="G121" s="688"/>
      <c r="H121" s="688"/>
      <c r="I121" s="688"/>
      <c r="J121" s="688"/>
      <c r="K121" s="688"/>
      <c r="L121" s="689"/>
      <c r="M121" s="690"/>
      <c r="N121" s="2151"/>
      <c r="O121" s="2151"/>
      <c r="P121" s="2199"/>
      <c r="Q121" s="2153"/>
      <c r="R121" s="2154"/>
      <c r="S121" s="2154"/>
      <c r="T121" s="2154"/>
      <c r="U121" s="2154"/>
      <c r="V121" s="2154"/>
      <c r="W121" s="2154"/>
      <c r="X121" s="2154"/>
      <c r="Y121" s="2154"/>
      <c r="Z121" s="2154"/>
      <c r="AA121" s="2154"/>
      <c r="AB121" s="2154"/>
      <c r="AC121" s="2154"/>
    </row>
    <row r="122" spans="1:29" s="1334" customFormat="1" ht="15.75" thickBot="1">
      <c r="A122" s="686"/>
      <c r="B122" s="669"/>
      <c r="C122" s="691"/>
      <c r="D122" s="691"/>
      <c r="E122" s="691"/>
      <c r="F122" s="691"/>
      <c r="G122" s="691"/>
      <c r="H122" s="691"/>
      <c r="I122" s="691"/>
      <c r="J122" s="691"/>
      <c r="K122" s="691"/>
      <c r="L122" s="691"/>
      <c r="M122" s="691"/>
      <c r="N122" s="2151"/>
      <c r="O122" s="2151"/>
      <c r="P122" s="2199"/>
      <c r="Q122" s="2153"/>
      <c r="R122" s="2154"/>
      <c r="S122" s="2154"/>
      <c r="T122" s="2154"/>
      <c r="U122" s="2154"/>
      <c r="V122" s="2154"/>
      <c r="W122" s="2154"/>
      <c r="X122" s="2154"/>
      <c r="Y122" s="2154"/>
      <c r="Z122" s="2154"/>
      <c r="AA122" s="2154"/>
      <c r="AB122" s="2154"/>
      <c r="AC122" s="2154"/>
    </row>
    <row r="123" spans="1:29" ht="15" thickTop="1">
      <c r="A123" s="734"/>
      <c r="B123" s="672" t="s">
        <v>755</v>
      </c>
      <c r="C123" s="687"/>
      <c r="D123" s="687"/>
      <c r="E123" s="687"/>
      <c r="F123" s="717"/>
      <c r="G123" s="717"/>
      <c r="H123" s="717"/>
      <c r="I123" s="717"/>
      <c r="J123" s="717"/>
      <c r="K123" s="718"/>
      <c r="L123" s="719"/>
      <c r="M123" s="720"/>
      <c r="N123" s="2148"/>
      <c r="O123" s="2148"/>
      <c r="P123" s="2198"/>
      <c r="Q123" s="2142"/>
      <c r="R123" s="2129"/>
      <c r="S123" s="2129"/>
      <c r="T123" s="2129"/>
      <c r="U123" s="2129"/>
      <c r="V123" s="2129"/>
      <c r="W123" s="2129"/>
      <c r="X123" s="2129"/>
      <c r="Y123" s="2129"/>
      <c r="Z123" s="2129"/>
      <c r="AA123" s="2129"/>
      <c r="AB123" s="2129"/>
      <c r="AC123" s="2129"/>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48"/>
      <c r="O125" s="2148"/>
      <c r="P125" s="2199"/>
      <c r="Q125" s="2142"/>
      <c r="R125" s="2129"/>
      <c r="S125" s="2129"/>
      <c r="T125" s="2129"/>
      <c r="U125" s="2129"/>
      <c r="V125" s="2129"/>
      <c r="W125" s="2129"/>
      <c r="X125" s="2129"/>
      <c r="Y125" s="2129"/>
      <c r="Z125" s="2129"/>
      <c r="AA125" s="2129"/>
      <c r="AB125" s="2129"/>
      <c r="AC125" s="2129"/>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50"/>
      <c r="O126" s="2150"/>
      <c r="P126" s="2198"/>
      <c r="Q126" s="2142"/>
      <c r="R126" s="2129"/>
      <c r="S126" s="2129"/>
      <c r="T126" s="2129"/>
      <c r="U126" s="2129"/>
      <c r="V126" s="2129"/>
      <c r="W126" s="2129"/>
      <c r="X126" s="2129"/>
      <c r="Y126" s="2129"/>
      <c r="Z126" s="2129"/>
      <c r="AA126" s="2129"/>
      <c r="AB126" s="2129"/>
      <c r="AC126" s="2129"/>
    </row>
    <row r="127" spans="1:29" s="1334" customFormat="1" ht="15" thickTop="1">
      <c r="A127" s="727"/>
      <c r="B127" s="672">
        <f>B45</f>
        <v>111</v>
      </c>
      <c r="C127" s="687"/>
      <c r="D127" s="687"/>
      <c r="E127" s="687"/>
      <c r="F127" s="687"/>
      <c r="G127" s="687"/>
      <c r="H127" s="688"/>
      <c r="I127" s="688"/>
      <c r="J127" s="688"/>
      <c r="K127" s="688"/>
      <c r="L127" s="689"/>
      <c r="M127" s="690"/>
      <c r="N127" s="2151"/>
      <c r="O127" s="2151"/>
      <c r="P127" s="2199"/>
      <c r="Q127" s="2153"/>
      <c r="R127" s="2154"/>
      <c r="S127" s="2154"/>
      <c r="T127" s="2154"/>
      <c r="U127" s="2154"/>
      <c r="V127" s="2154"/>
      <c r="W127" s="2154"/>
      <c r="X127" s="2154"/>
      <c r="Y127" s="2154"/>
      <c r="Z127" s="2154"/>
      <c r="AA127" s="2154"/>
      <c r="AB127" s="2154"/>
      <c r="AC127" s="2154"/>
    </row>
    <row r="128" spans="1:29" s="1334" customFormat="1" ht="15.75" thickBot="1">
      <c r="A128" s="686"/>
      <c r="B128" s="677"/>
      <c r="C128" s="691"/>
      <c r="D128" s="670"/>
      <c r="E128" s="670"/>
      <c r="F128" s="670"/>
      <c r="G128" s="691"/>
      <c r="H128" s="692"/>
      <c r="I128" s="692"/>
      <c r="J128" s="692"/>
      <c r="K128" s="692"/>
      <c r="L128" s="692"/>
      <c r="M128" s="693"/>
      <c r="N128" s="2151"/>
      <c r="O128" s="2151"/>
      <c r="P128" s="2199"/>
      <c r="Q128" s="2153"/>
      <c r="R128" s="2154"/>
      <c r="S128" s="2154"/>
      <c r="T128" s="2154"/>
      <c r="U128" s="2154"/>
      <c r="V128" s="2154"/>
      <c r="W128" s="2154"/>
      <c r="X128" s="2154"/>
      <c r="Y128" s="2154"/>
      <c r="Z128" s="2154"/>
      <c r="AA128" s="2154"/>
      <c r="AB128" s="2154"/>
      <c r="AC128" s="2154"/>
    </row>
    <row r="129" spans="1:29" ht="15" thickTop="1">
      <c r="A129" s="734"/>
      <c r="B129" s="672">
        <f>B46</f>
        <v>111</v>
      </c>
      <c r="C129" s="687"/>
      <c r="D129" s="687"/>
      <c r="E129" s="687"/>
      <c r="F129" s="687"/>
      <c r="G129" s="717"/>
      <c r="H129" s="717"/>
      <c r="I129" s="717"/>
      <c r="J129" s="717"/>
      <c r="K129" s="718"/>
      <c r="L129" s="719"/>
      <c r="M129" s="720"/>
      <c r="N129" s="2148"/>
      <c r="O129" s="2148"/>
      <c r="P129" s="2198"/>
      <c r="Q129" s="2142"/>
      <c r="R129" s="2129"/>
      <c r="S129" s="2129"/>
      <c r="T129" s="2129"/>
      <c r="U129" s="2129"/>
      <c r="V129" s="2129"/>
      <c r="W129" s="2129"/>
      <c r="X129" s="2129"/>
      <c r="Y129" s="2129"/>
      <c r="Z129" s="2129"/>
      <c r="AA129" s="2129"/>
      <c r="AB129" s="2129"/>
      <c r="AC129" s="2129"/>
    </row>
    <row r="130" spans="1:29" ht="15.75" thickBot="1">
      <c r="A130" s="668"/>
      <c r="B130" s="677"/>
      <c r="C130" s="691"/>
      <c r="D130" s="691"/>
      <c r="E130" s="691"/>
      <c r="F130" s="691"/>
      <c r="G130" s="670"/>
      <c r="H130" s="670"/>
      <c r="I130" s="670"/>
      <c r="J130" s="670"/>
      <c r="K130" s="670"/>
      <c r="L130" s="670"/>
      <c r="M130" s="671"/>
      <c r="N130" s="2150"/>
      <c r="O130" s="2150"/>
      <c r="P130" s="2198"/>
      <c r="Q130" s="2142"/>
      <c r="R130" s="2129"/>
      <c r="S130" s="2129"/>
      <c r="T130" s="2129"/>
      <c r="U130" s="2129"/>
      <c r="V130" s="2129"/>
      <c r="W130" s="2129"/>
      <c r="X130" s="2129"/>
      <c r="Y130" s="2129"/>
      <c r="Z130" s="2129"/>
      <c r="AA130" s="2129"/>
      <c r="AB130" s="2129"/>
      <c r="AC130" s="2129"/>
    </row>
    <row r="131" spans="1:29" ht="15" thickTop="1">
      <c r="A131" s="734"/>
      <c r="B131" s="680">
        <f>B47</f>
        <v>111</v>
      </c>
      <c r="C131" s="660"/>
      <c r="D131" s="660"/>
      <c r="E131" s="660"/>
      <c r="F131" s="660"/>
      <c r="G131" s="721"/>
      <c r="H131" s="721"/>
      <c r="I131" s="721"/>
      <c r="J131" s="721"/>
      <c r="K131" s="660"/>
      <c r="L131" s="661"/>
      <c r="M131" s="724"/>
      <c r="N131" s="2148"/>
      <c r="O131" s="2148"/>
      <c r="P131" s="2198"/>
      <c r="Q131" s="2142"/>
      <c r="R131" s="2129"/>
      <c r="S131" s="2129"/>
      <c r="T131" s="2129"/>
      <c r="U131" s="2129"/>
      <c r="V131" s="2129"/>
      <c r="W131" s="2129"/>
      <c r="X131" s="2129"/>
      <c r="Y131" s="2129"/>
      <c r="Z131" s="2129"/>
      <c r="AA131" s="2129"/>
      <c r="AB131" s="2129"/>
      <c r="AC131" s="2129"/>
    </row>
    <row r="132" spans="1:29" ht="15.75" thickBot="1">
      <c r="A132" s="892"/>
      <c r="B132" s="698"/>
      <c r="C132" s="699"/>
      <c r="D132" s="699"/>
      <c r="E132" s="699"/>
      <c r="F132" s="699"/>
      <c r="G132" s="725"/>
      <c r="H132" s="725"/>
      <c r="I132" s="725"/>
      <c r="J132" s="725"/>
      <c r="K132" s="725"/>
      <c r="L132" s="725"/>
      <c r="M132" s="726"/>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502" t="s">
        <v>788</v>
      </c>
      <c r="C1" s="503" t="s">
        <v>720</v>
      </c>
      <c r="D1" s="848"/>
      <c r="E1" s="505"/>
      <c r="F1" s="2761"/>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427"/>
    </row>
    <row r="2" spans="1:29" s="1331" customFormat="1" ht="28.5" customHeight="1">
      <c r="A2" s="422" t="s">
        <v>467</v>
      </c>
      <c r="B2" s="849"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7"/>
    </row>
    <row r="3" spans="1:29" s="1331" customFormat="1" ht="28.5" customHeight="1" thickBot="1">
      <c r="A3" s="508" t="s">
        <v>519</v>
      </c>
      <c r="B3" s="509" t="e">
        <f>C43</f>
        <v>#DIV/0!</v>
      </c>
      <c r="C3" s="851" t="s">
        <v>722</v>
      </c>
      <c r="D3" s="850">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7"/>
    </row>
    <row r="4" spans="1:29" ht="15">
      <c r="A4" s="511" t="s">
        <v>521</v>
      </c>
      <c r="B4" s="512"/>
      <c r="C4" s="4023" t="s">
        <v>522</v>
      </c>
      <c r="D4" s="4024"/>
      <c r="E4" s="4047" t="s">
        <v>523</v>
      </c>
      <c r="F4" s="4048"/>
      <c r="G4" s="4023" t="s">
        <v>524</v>
      </c>
      <c r="H4" s="4024"/>
      <c r="I4" s="4023" t="s">
        <v>525</v>
      </c>
      <c r="J4" s="4024"/>
      <c r="K4" s="513" t="s">
        <v>526</v>
      </c>
      <c r="L4" s="2117"/>
      <c r="M4" s="2118"/>
      <c r="N4" s="2118"/>
      <c r="O4" s="2118"/>
      <c r="P4" s="4025" t="s">
        <v>527</v>
      </c>
      <c r="Q4" s="4026"/>
      <c r="R4" s="4011" t="s">
        <v>523</v>
      </c>
      <c r="S4" s="4012"/>
      <c r="T4" s="4011" t="s">
        <v>524</v>
      </c>
      <c r="U4" s="4012"/>
      <c r="V4" s="4031" t="s">
        <v>525</v>
      </c>
      <c r="W4" s="4031"/>
      <c r="X4" s="1552"/>
      <c r="Y4" s="4011" t="s">
        <v>527</v>
      </c>
      <c r="Z4" s="4012"/>
      <c r="AA4" s="4006" t="s">
        <v>523</v>
      </c>
      <c r="AB4" s="4007" t="s">
        <v>524</v>
      </c>
      <c r="AC4" s="4006" t="s">
        <v>525</v>
      </c>
    </row>
    <row r="5" spans="1:29" ht="15">
      <c r="A5" s="514"/>
      <c r="B5" s="515"/>
      <c r="C5" s="4034" t="s">
        <v>2926</v>
      </c>
      <c r="D5" s="4035"/>
      <c r="E5" s="4049" t="s">
        <v>2927</v>
      </c>
      <c r="F5" s="4050"/>
      <c r="G5" s="4034" t="s">
        <v>2928</v>
      </c>
      <c r="H5" s="4035"/>
      <c r="I5" s="4034" t="s">
        <v>2929</v>
      </c>
      <c r="J5" s="4035"/>
      <c r="K5" s="513"/>
      <c r="L5" s="2117"/>
      <c r="M5" s="2118"/>
      <c r="N5" s="2118"/>
      <c r="O5" s="2118"/>
      <c r="P5" s="4027"/>
      <c r="Q5" s="4028"/>
      <c r="R5" s="4013"/>
      <c r="S5" s="4014"/>
      <c r="T5" s="4013"/>
      <c r="U5" s="4014"/>
      <c r="V5" s="4031"/>
      <c r="W5" s="4031"/>
      <c r="X5" s="1552"/>
      <c r="Y5" s="4013"/>
      <c r="Z5" s="4014"/>
      <c r="AA5" s="4007"/>
      <c r="AB5" s="4007"/>
      <c r="AC5" s="4007"/>
    </row>
    <row r="6" spans="1:29" ht="15.75" thickBot="1">
      <c r="A6" s="516"/>
      <c r="B6" s="517"/>
      <c r="C6" s="4032" t="s">
        <v>2930</v>
      </c>
      <c r="D6" s="4033"/>
      <c r="E6" s="4051" t="s">
        <v>2930</v>
      </c>
      <c r="F6" s="4052"/>
      <c r="G6" s="4032" t="s">
        <v>2930</v>
      </c>
      <c r="H6" s="4033"/>
      <c r="I6" s="4032" t="s">
        <v>2930</v>
      </c>
      <c r="J6" s="4033"/>
      <c r="K6" s="513" t="s">
        <v>528</v>
      </c>
      <c r="L6" s="2117"/>
      <c r="M6" s="2118"/>
      <c r="N6" s="2118"/>
      <c r="O6" s="2118"/>
      <c r="P6" s="4029"/>
      <c r="Q6" s="4030"/>
      <c r="R6" s="4013"/>
      <c r="S6" s="4014"/>
      <c r="T6" s="4015"/>
      <c r="U6" s="4016"/>
      <c r="V6" s="4031"/>
      <c r="W6" s="4031"/>
      <c r="X6" s="1552"/>
      <c r="Y6" s="4015"/>
      <c r="Z6" s="4016"/>
      <c r="AA6" s="4008"/>
      <c r="AB6" s="4008"/>
      <c r="AC6" s="4008"/>
    </row>
    <row r="7" spans="1:29" s="1215" customFormat="1" ht="15.75" thickBot="1">
      <c r="A7" s="2865"/>
      <c r="B7" s="2872" t="s">
        <v>529</v>
      </c>
      <c r="C7" s="518">
        <f>'数据-取费表'!B2</f>
        <v>43647</v>
      </c>
      <c r="D7" s="519">
        <v>100</v>
      </c>
      <c r="E7" s="520"/>
      <c r="F7" s="521">
        <f>SUMIF(52:52,YEAR(E7)&amp;"-"&amp;MONTH(E7),53:53)</f>
        <v>0</v>
      </c>
      <c r="G7" s="520"/>
      <c r="H7" s="519">
        <f>SUMIF(52:52,YEAR(G7)&amp;"-"&amp;MONTH(G7),53:53)</f>
        <v>0</v>
      </c>
      <c r="I7" s="520"/>
      <c r="J7" s="519">
        <f>SUMIF(52:52,YEAR(I7)&amp;"-"&amp;MONTH(I7),53:53)</f>
        <v>0</v>
      </c>
      <c r="K7" s="523"/>
      <c r="L7" s="2119"/>
      <c r="M7" s="2120"/>
      <c r="N7" s="2120"/>
      <c r="O7" s="2120"/>
      <c r="P7" s="4009" t="s">
        <v>530</v>
      </c>
      <c r="Q7" s="4018"/>
      <c r="R7" s="1553" t="s">
        <v>8</v>
      </c>
      <c r="S7" s="1554">
        <f t="shared" ref="S7:S15" si="0">F7</f>
        <v>0</v>
      </c>
      <c r="T7" s="1553" t="s">
        <v>8</v>
      </c>
      <c r="U7" s="1554">
        <f t="shared" ref="U7:U15" si="1">H7</f>
        <v>0</v>
      </c>
      <c r="V7" s="1553" t="s">
        <v>8</v>
      </c>
      <c r="W7" s="1554">
        <f t="shared" ref="W7:W15" si="2">J7</f>
        <v>0</v>
      </c>
      <c r="X7" s="1555"/>
      <c r="Y7" s="4009" t="s">
        <v>530</v>
      </c>
      <c r="Z7" s="4010"/>
      <c r="AA7" s="1556" t="e">
        <f>D7/F7</f>
        <v>#DIV/0!</v>
      </c>
      <c r="AB7" s="1556" t="e">
        <f>D7/H7</f>
        <v>#DIV/0!</v>
      </c>
      <c r="AC7" s="1556" t="e">
        <f>D7/J7</f>
        <v>#DIV/0!</v>
      </c>
    </row>
    <row r="8" spans="1:29" s="1215" customFormat="1" ht="15.75" thickBot="1">
      <c r="A8" s="2866"/>
      <c r="B8" s="2873" t="s">
        <v>531</v>
      </c>
      <c r="C8" s="524" t="s">
        <v>576</v>
      </c>
      <c r="D8" s="519">
        <v>100</v>
      </c>
      <c r="E8" s="524"/>
      <c r="F8" s="521">
        <f>SUMIF(55:55,E8,56:56)-SUMIF(55:55,C8,56:56)+100</f>
        <v>0</v>
      </c>
      <c r="G8" s="524"/>
      <c r="H8" s="519">
        <f>SUMIF(55:55,G8,56:56)-SUMIF(55:55,C8,56:56)+100</f>
        <v>0</v>
      </c>
      <c r="I8" s="524"/>
      <c r="J8" s="519">
        <f>SUMIF(55:55,I8,56:56)-SUMIF(55:55,C8,56:56)+100</f>
        <v>0</v>
      </c>
      <c r="K8" s="523"/>
      <c r="L8" s="2119"/>
      <c r="M8" s="2120"/>
      <c r="N8" s="2120"/>
      <c r="O8" s="2120"/>
      <c r="P8" s="4009" t="s">
        <v>533</v>
      </c>
      <c r="Q8" s="4010"/>
      <c r="R8" s="1553" t="s">
        <v>8</v>
      </c>
      <c r="S8" s="1554">
        <f t="shared" si="0"/>
        <v>0</v>
      </c>
      <c r="T8" s="1553" t="s">
        <v>8</v>
      </c>
      <c r="U8" s="1554">
        <f t="shared" si="1"/>
        <v>0</v>
      </c>
      <c r="V8" s="1553" t="s">
        <v>8</v>
      </c>
      <c r="W8" s="1554">
        <f t="shared" si="2"/>
        <v>0</v>
      </c>
      <c r="X8" s="1555"/>
      <c r="Y8" s="4009" t="s">
        <v>533</v>
      </c>
      <c r="Z8" s="4010"/>
      <c r="AA8" s="1556" t="e">
        <f t="shared" ref="AA8:AA40" si="3">D8/F8</f>
        <v>#DIV/0!</v>
      </c>
      <c r="AB8" s="1556" t="e">
        <f t="shared" ref="AB8:AB40" si="4">D8/H8</f>
        <v>#DIV/0!</v>
      </c>
      <c r="AC8" s="1556" t="e">
        <f t="shared" ref="AC8:AC40" si="5">D8/J8</f>
        <v>#DIV/0!</v>
      </c>
    </row>
    <row r="9" spans="1:29" s="1215" customFormat="1" ht="15">
      <c r="A9" s="2867"/>
      <c r="B9" s="2874" t="s">
        <v>2755</v>
      </c>
      <c r="C9" s="856"/>
      <c r="D9" s="253">
        <v>100</v>
      </c>
      <c r="E9" s="859"/>
      <c r="F9" s="253">
        <f>SUMIF(57:57,E9,58:58)-SUMIF(57:57,C9,58:58)+100</f>
        <v>100</v>
      </c>
      <c r="G9" s="857"/>
      <c r="H9" s="253">
        <f>SUMIF(57:57,G9,58:58)-SUMIF(57:57,C9,58:58)+100</f>
        <v>100</v>
      </c>
      <c r="I9" s="857"/>
      <c r="J9" s="253">
        <f>SUMIF(57:57,I9,58:58)-SUMIF(57:57,C9,58:58)+100</f>
        <v>100</v>
      </c>
      <c r="K9" s="523"/>
      <c r="L9" s="2119"/>
      <c r="M9" s="2120"/>
      <c r="N9" s="2120"/>
      <c r="O9" s="2121"/>
      <c r="P9" s="4017" t="s">
        <v>535</v>
      </c>
      <c r="Q9" s="1146" t="str">
        <f t="shared" ref="Q9:Q15" si="6">B9</f>
        <v>用途</v>
      </c>
      <c r="R9" s="1553" t="s">
        <v>8</v>
      </c>
      <c r="S9" s="1554">
        <f t="shared" si="0"/>
        <v>100</v>
      </c>
      <c r="T9" s="1553" t="s">
        <v>8</v>
      </c>
      <c r="U9" s="1554">
        <f t="shared" si="1"/>
        <v>100</v>
      </c>
      <c r="V9" s="1553" t="s">
        <v>8</v>
      </c>
      <c r="W9" s="1554">
        <f t="shared" si="2"/>
        <v>100</v>
      </c>
      <c r="X9" s="1555"/>
      <c r="Y9" s="3974" t="s">
        <v>536</v>
      </c>
      <c r="Z9" s="1145" t="str">
        <f t="shared" ref="Z9:Z15" si="7">Q9</f>
        <v>用途</v>
      </c>
      <c r="AA9" s="1556">
        <f t="shared" si="3"/>
        <v>1</v>
      </c>
      <c r="AB9" s="1556">
        <f t="shared" si="4"/>
        <v>1</v>
      </c>
      <c r="AC9" s="1556">
        <f t="shared" si="5"/>
        <v>1</v>
      </c>
    </row>
    <row r="10" spans="1:29" s="1333" customFormat="1" ht="27">
      <c r="A10" s="2868"/>
      <c r="B10" s="2873" t="s">
        <v>2756</v>
      </c>
      <c r="C10" s="860"/>
      <c r="D10" s="254">
        <v>100</v>
      </c>
      <c r="E10" s="860"/>
      <c r="F10" s="254">
        <f>SUMIF(59:59,E10,60:60)-SUMIF(59:59,C10,60:60)+100</f>
        <v>100</v>
      </c>
      <c r="G10" s="861"/>
      <c r="H10" s="254">
        <f>SUMIF(59:59,G10,60:60)-SUMIF(59:59,C10,60:60)+100</f>
        <v>100</v>
      </c>
      <c r="I10" s="860"/>
      <c r="J10" s="254">
        <f>SUMIF(59:59,I10,60:60)-SUMIF(59:59,C10,60:60)+100</f>
        <v>100</v>
      </c>
      <c r="K10" s="583"/>
      <c r="L10" s="2122"/>
      <c r="M10" s="2162"/>
      <c r="N10" s="2162"/>
      <c r="O10" s="2123"/>
      <c r="P10" s="4017"/>
      <c r="Q10" s="1146" t="str">
        <f t="shared" si="6"/>
        <v>土地使用年限（年）</v>
      </c>
      <c r="R10" s="1553" t="s">
        <v>8</v>
      </c>
      <c r="S10" s="1554">
        <f t="shared" si="0"/>
        <v>100</v>
      </c>
      <c r="T10" s="1553" t="s">
        <v>8</v>
      </c>
      <c r="U10" s="1554">
        <f t="shared" si="1"/>
        <v>100</v>
      </c>
      <c r="V10" s="1553" t="s">
        <v>8</v>
      </c>
      <c r="W10" s="1554">
        <f t="shared" si="2"/>
        <v>100</v>
      </c>
      <c r="X10" s="1555"/>
      <c r="Y10" s="3974"/>
      <c r="Z10" s="1145" t="str">
        <f t="shared" si="7"/>
        <v>土地使用年限（年）</v>
      </c>
      <c r="AA10" s="1556">
        <f t="shared" si="3"/>
        <v>1</v>
      </c>
      <c r="AB10" s="1556">
        <f t="shared" si="4"/>
        <v>1</v>
      </c>
      <c r="AC10" s="1556">
        <f t="shared" si="5"/>
        <v>1</v>
      </c>
    </row>
    <row r="11" spans="1:29" ht="15">
      <c r="A11" s="2869"/>
      <c r="B11" s="2873"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4"/>
      <c r="M11" s="2118"/>
      <c r="N11" s="2118"/>
      <c r="O11" s="2125"/>
      <c r="P11" s="4017"/>
      <c r="Q11" s="1146" t="str">
        <f t="shared" si="6"/>
        <v>容积率</v>
      </c>
      <c r="R11" s="1553" t="s">
        <v>8</v>
      </c>
      <c r="S11" s="1554" t="e">
        <f t="shared" si="0"/>
        <v>#N/A</v>
      </c>
      <c r="T11" s="1553" t="s">
        <v>8</v>
      </c>
      <c r="U11" s="1554" t="e">
        <f t="shared" si="1"/>
        <v>#N/A</v>
      </c>
      <c r="V11" s="1553" t="s">
        <v>8</v>
      </c>
      <c r="W11" s="1554" t="e">
        <f t="shared" si="2"/>
        <v>#N/A</v>
      </c>
      <c r="X11" s="1555"/>
      <c r="Y11" s="3974"/>
      <c r="Z11" s="1145" t="str">
        <f t="shared" si="7"/>
        <v>容积率</v>
      </c>
      <c r="AA11" s="1556" t="e">
        <f t="shared" si="3"/>
        <v>#N/A</v>
      </c>
      <c r="AB11" s="1556" t="e">
        <f t="shared" si="4"/>
        <v>#N/A</v>
      </c>
      <c r="AC11" s="1556" t="e">
        <f t="shared" si="5"/>
        <v>#N/A</v>
      </c>
    </row>
    <row r="12" spans="1:29" s="1215" customFormat="1" ht="15">
      <c r="A12" s="2870"/>
      <c r="B12" s="2876">
        <v>111</v>
      </c>
      <c r="C12" s="527"/>
      <c r="D12" s="537">
        <v>100</v>
      </c>
      <c r="E12" s="538"/>
      <c r="F12" s="254">
        <f>SUMIF(64:64,E12,65:65)-SUMIF(64:64,C12,65:65)+100</f>
        <v>100</v>
      </c>
      <c r="G12" s="919"/>
      <c r="H12" s="254">
        <f>SUMIF(64:64,G12,65:65)-SUMIF(64:64,C12,65:65)+100</f>
        <v>100</v>
      </c>
      <c r="I12" s="879"/>
      <c r="J12" s="254">
        <f>SUMIF(64:64,I12,65:65)-SUMIF(64:64,C12,65:65)+100</f>
        <v>100</v>
      </c>
      <c r="K12" s="580"/>
      <c r="L12" s="2119"/>
      <c r="M12" s="2120"/>
      <c r="N12" s="2120"/>
      <c r="O12" s="2121"/>
      <c r="P12" s="4017"/>
      <c r="Q12" s="1146">
        <f t="shared" si="6"/>
        <v>111</v>
      </c>
      <c r="R12" s="1553" t="s">
        <v>8</v>
      </c>
      <c r="S12" s="1554">
        <f t="shared" si="0"/>
        <v>100</v>
      </c>
      <c r="T12" s="1553" t="s">
        <v>8</v>
      </c>
      <c r="U12" s="1554">
        <f t="shared" si="1"/>
        <v>100</v>
      </c>
      <c r="V12" s="1553" t="s">
        <v>8</v>
      </c>
      <c r="W12" s="1554">
        <f t="shared" si="2"/>
        <v>100</v>
      </c>
      <c r="X12" s="1555"/>
      <c r="Y12" s="3974"/>
      <c r="Z12" s="1145">
        <f t="shared" si="7"/>
        <v>111</v>
      </c>
      <c r="AA12" s="1556">
        <f>D12/F12</f>
        <v>1</v>
      </c>
      <c r="AB12" s="1556">
        <f>D12/H12</f>
        <v>1</v>
      </c>
      <c r="AC12" s="1556">
        <f>D12/J12</f>
        <v>1</v>
      </c>
    </row>
    <row r="13" spans="1:29" ht="15">
      <c r="A13" s="2870"/>
      <c r="B13" s="2876">
        <v>111</v>
      </c>
      <c r="C13" s="538"/>
      <c r="D13" s="539">
        <v>100</v>
      </c>
      <c r="E13" s="538"/>
      <c r="F13" s="254">
        <f>SUMIF(66:66,E13,67:67)-SUMIF(66:66,C13,67:67)+100</f>
        <v>100</v>
      </c>
      <c r="G13" s="919"/>
      <c r="H13" s="539">
        <f>SUMIF(66:66,G13,67:67)-SUMIF(66:66,C13,67:67)+100</f>
        <v>100</v>
      </c>
      <c r="I13" s="879"/>
      <c r="J13" s="539">
        <f>SUMIF(66:66,I13,67:67)-SUMIF(66:66,C13,67:67)+100</f>
        <v>100</v>
      </c>
      <c r="K13" s="580"/>
      <c r="L13" s="2126"/>
      <c r="M13" s="2118"/>
      <c r="N13" s="2118"/>
      <c r="O13" s="2125"/>
      <c r="P13" s="4017"/>
      <c r="Q13" s="1146">
        <f t="shared" si="6"/>
        <v>111</v>
      </c>
      <c r="R13" s="1553" t="s">
        <v>8</v>
      </c>
      <c r="S13" s="1554">
        <f t="shared" si="0"/>
        <v>100</v>
      </c>
      <c r="T13" s="1553" t="s">
        <v>8</v>
      </c>
      <c r="U13" s="1554">
        <f t="shared" si="1"/>
        <v>100</v>
      </c>
      <c r="V13" s="1553" t="s">
        <v>8</v>
      </c>
      <c r="W13" s="1554">
        <f t="shared" si="2"/>
        <v>100</v>
      </c>
      <c r="X13" s="1555"/>
      <c r="Y13" s="3974"/>
      <c r="Z13" s="1145">
        <f t="shared" si="7"/>
        <v>111</v>
      </c>
      <c r="AA13" s="1556">
        <f t="shared" si="3"/>
        <v>1</v>
      </c>
      <c r="AB13" s="1556">
        <f t="shared" si="4"/>
        <v>1</v>
      </c>
      <c r="AC13" s="1556">
        <f t="shared" si="5"/>
        <v>1</v>
      </c>
    </row>
    <row r="14" spans="1:29" ht="15.75" thickBot="1">
      <c r="A14" s="2871"/>
      <c r="B14" s="2877">
        <v>111</v>
      </c>
      <c r="C14" s="544"/>
      <c r="D14" s="545">
        <v>100</v>
      </c>
      <c r="E14" s="544"/>
      <c r="F14" s="545">
        <f>SUMIF(68:68,E14,69:69)-SUMIF(68:68,C14,69:69)+100</f>
        <v>100</v>
      </c>
      <c r="G14" s="919"/>
      <c r="H14" s="545">
        <f>SUMIF(68:68,G14,69:69)-SUMIF(68:68,C14,69:69)+100</f>
        <v>100</v>
      </c>
      <c r="I14" s="879"/>
      <c r="J14" s="545">
        <f>SUMIF(68:68,I14,69:69)-SUMIF(68:68,C14,69:69)+100</f>
        <v>100</v>
      </c>
      <c r="K14" s="580"/>
      <c r="L14" s="2126"/>
      <c r="M14" s="2118"/>
      <c r="N14" s="2118"/>
      <c r="O14" s="2125"/>
      <c r="P14" s="4017"/>
      <c r="Q14" s="1146">
        <f t="shared" si="6"/>
        <v>111</v>
      </c>
      <c r="R14" s="1553" t="s">
        <v>8</v>
      </c>
      <c r="S14" s="1554">
        <f t="shared" si="0"/>
        <v>100</v>
      </c>
      <c r="T14" s="1553" t="s">
        <v>8</v>
      </c>
      <c r="U14" s="1554">
        <f t="shared" si="1"/>
        <v>100</v>
      </c>
      <c r="V14" s="1553" t="s">
        <v>8</v>
      </c>
      <c r="W14" s="1554">
        <f t="shared" si="2"/>
        <v>100</v>
      </c>
      <c r="X14" s="1555"/>
      <c r="Y14" s="3974"/>
      <c r="Z14" s="1145">
        <f t="shared" si="7"/>
        <v>111</v>
      </c>
      <c r="AA14" s="1556">
        <f t="shared" si="3"/>
        <v>1</v>
      </c>
      <c r="AB14" s="1556">
        <f t="shared" si="4"/>
        <v>1</v>
      </c>
      <c r="AC14" s="1556">
        <f t="shared" si="5"/>
        <v>1</v>
      </c>
    </row>
    <row r="15" spans="1:29" ht="57">
      <c r="A15" s="2863" t="s">
        <v>2753</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26"/>
      <c r="M15" s="2118"/>
      <c r="N15" s="2118"/>
      <c r="O15" s="2125"/>
      <c r="P15" s="4019" t="s">
        <v>540</v>
      </c>
      <c r="Q15" s="1557" t="str">
        <f t="shared" si="6"/>
        <v>产业集聚程度</v>
      </c>
      <c r="R15" s="1558" t="s">
        <v>8</v>
      </c>
      <c r="S15" s="1559">
        <f t="shared" si="0"/>
        <v>100</v>
      </c>
      <c r="T15" s="1558" t="s">
        <v>8</v>
      </c>
      <c r="U15" s="1559">
        <f t="shared" si="1"/>
        <v>100</v>
      </c>
      <c r="V15" s="1558" t="s">
        <v>8</v>
      </c>
      <c r="W15" s="1559">
        <f t="shared" si="2"/>
        <v>100</v>
      </c>
      <c r="X15" s="1552"/>
      <c r="Y15" s="4019" t="s">
        <v>540</v>
      </c>
      <c r="Z15" s="1560" t="str">
        <f t="shared" si="7"/>
        <v>产业集聚程度</v>
      </c>
      <c r="AA15" s="1561">
        <f t="shared" si="3"/>
        <v>1</v>
      </c>
      <c r="AB15" s="1561">
        <f t="shared" si="4"/>
        <v>1</v>
      </c>
      <c r="AC15" s="1561">
        <f t="shared" si="5"/>
        <v>1</v>
      </c>
    </row>
    <row r="16" spans="1:29" ht="15">
      <c r="A16" s="531"/>
      <c r="B16" s="868"/>
      <c r="C16" s="575"/>
      <c r="D16" s="554"/>
      <c r="E16" s="575"/>
      <c r="F16" s="556"/>
      <c r="G16" s="575"/>
      <c r="H16" s="558"/>
      <c r="I16" s="575"/>
      <c r="J16" s="554"/>
      <c r="K16" s="898"/>
      <c r="L16" s="2126"/>
      <c r="M16" s="2118"/>
      <c r="N16" s="2118"/>
      <c r="O16" s="2125"/>
      <c r="P16" s="4020"/>
      <c r="Q16" s="1557"/>
      <c r="R16" s="1558"/>
      <c r="S16" s="1559"/>
      <c r="T16" s="1558"/>
      <c r="U16" s="1559"/>
      <c r="V16" s="1558"/>
      <c r="W16" s="1559"/>
      <c r="X16" s="1552"/>
      <c r="Y16" s="4020"/>
      <c r="Z16" s="1560"/>
      <c r="AA16" s="1561">
        <v>1</v>
      </c>
      <c r="AB16" s="1561">
        <v>1</v>
      </c>
      <c r="AC16" s="1561">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26"/>
      <c r="M17" s="2118"/>
      <c r="N17" s="2118"/>
      <c r="O17" s="2125"/>
      <c r="P17" s="4020"/>
      <c r="Q17" s="1557" t="str">
        <f>B17</f>
        <v>交通便捷度</v>
      </c>
      <c r="R17" s="1558" t="s">
        <v>8</v>
      </c>
      <c r="S17" s="1559">
        <f>F17</f>
        <v>100</v>
      </c>
      <c r="T17" s="1558" t="s">
        <v>8</v>
      </c>
      <c r="U17" s="1559">
        <f>H17</f>
        <v>100</v>
      </c>
      <c r="V17" s="1558" t="s">
        <v>8</v>
      </c>
      <c r="W17" s="1559">
        <f>J17</f>
        <v>100</v>
      </c>
      <c r="X17" s="1552"/>
      <c r="Y17" s="4020"/>
      <c r="Z17" s="1560" t="str">
        <f>Q17</f>
        <v>交通便捷度</v>
      </c>
      <c r="AA17" s="1561">
        <f t="shared" si="3"/>
        <v>1</v>
      </c>
      <c r="AB17" s="1561">
        <f t="shared" si="4"/>
        <v>1</v>
      </c>
      <c r="AC17" s="1561">
        <f t="shared" si="5"/>
        <v>1</v>
      </c>
    </row>
    <row r="18" spans="1:29" ht="15">
      <c r="A18" s="531"/>
      <c r="B18" s="594"/>
      <c r="C18" s="872"/>
      <c r="D18" s="558"/>
      <c r="E18" s="567"/>
      <c r="F18" s="562"/>
      <c r="G18" s="568"/>
      <c r="H18" s="554"/>
      <c r="I18" s="567"/>
      <c r="J18" s="554"/>
      <c r="K18" s="898"/>
      <c r="L18" s="2126"/>
      <c r="M18" s="2118"/>
      <c r="N18" s="2118"/>
      <c r="O18" s="2125"/>
      <c r="P18" s="4020"/>
      <c r="Q18" s="1557"/>
      <c r="R18" s="1558"/>
      <c r="S18" s="1559"/>
      <c r="T18" s="1558"/>
      <c r="U18" s="1559"/>
      <c r="V18" s="1558"/>
      <c r="W18" s="1559"/>
      <c r="X18" s="1552"/>
      <c r="Y18" s="4020"/>
      <c r="Z18" s="1560"/>
      <c r="AA18" s="1561">
        <v>1</v>
      </c>
      <c r="AB18" s="1561">
        <v>1</v>
      </c>
      <c r="AC18" s="1561">
        <v>1</v>
      </c>
    </row>
    <row r="19" spans="1:29" ht="42.75">
      <c r="A19" s="531"/>
      <c r="B19" s="2566"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26"/>
      <c r="M19" s="2118"/>
      <c r="N19" s="2118"/>
      <c r="O19" s="2125"/>
      <c r="P19" s="4020"/>
      <c r="Q19" s="1557" t="str">
        <f>B19</f>
        <v>公共配套设施</v>
      </c>
      <c r="R19" s="1558" t="s">
        <v>8</v>
      </c>
      <c r="S19" s="1559">
        <f>F19</f>
        <v>100</v>
      </c>
      <c r="T19" s="1558" t="s">
        <v>8</v>
      </c>
      <c r="U19" s="1559">
        <f>H19</f>
        <v>100</v>
      </c>
      <c r="V19" s="1558" t="s">
        <v>8</v>
      </c>
      <c r="W19" s="1559">
        <f>J19</f>
        <v>100</v>
      </c>
      <c r="X19" s="1552"/>
      <c r="Y19" s="4020"/>
      <c r="Z19" s="1560" t="str">
        <f>Q19</f>
        <v>公共配套设施</v>
      </c>
      <c r="AA19" s="1561">
        <f t="shared" si="3"/>
        <v>1</v>
      </c>
      <c r="AB19" s="1561">
        <f t="shared" si="4"/>
        <v>1</v>
      </c>
      <c r="AC19" s="1561">
        <f t="shared" si="5"/>
        <v>1</v>
      </c>
    </row>
    <row r="20" spans="1:29" ht="15">
      <c r="A20" s="531"/>
      <c r="B20" s="565"/>
      <c r="C20" s="575"/>
      <c r="D20" s="554"/>
      <c r="E20" s="555"/>
      <c r="F20" s="556"/>
      <c r="G20" s="557"/>
      <c r="H20" s="554"/>
      <c r="I20" s="555"/>
      <c r="J20" s="554"/>
      <c r="K20" s="898"/>
      <c r="L20" s="2126"/>
      <c r="M20" s="2118"/>
      <c r="N20" s="2118"/>
      <c r="O20" s="2125"/>
      <c r="P20" s="4020"/>
      <c r="Q20" s="1557"/>
      <c r="R20" s="1558"/>
      <c r="S20" s="1559"/>
      <c r="T20" s="1558"/>
      <c r="U20" s="1559"/>
      <c r="V20" s="1558"/>
      <c r="W20" s="1559"/>
      <c r="X20" s="1552"/>
      <c r="Y20" s="4020"/>
      <c r="Z20" s="1560"/>
      <c r="AA20" s="1561">
        <v>1</v>
      </c>
      <c r="AB20" s="1561">
        <v>1</v>
      </c>
      <c r="AC20" s="1561">
        <v>1</v>
      </c>
    </row>
    <row r="21" spans="1:29" ht="28.5">
      <c r="A21" s="531"/>
      <c r="B21" s="2554"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26"/>
      <c r="M21" s="2118"/>
      <c r="N21" s="2118"/>
      <c r="O21" s="2125"/>
      <c r="P21" s="4020"/>
      <c r="Q21" s="2542" t="str">
        <f>B21</f>
        <v>基础设施水平</v>
      </c>
      <c r="R21" s="1558" t="s">
        <v>8</v>
      </c>
      <c r="S21" s="1559">
        <f>F21</f>
        <v>100</v>
      </c>
      <c r="T21" s="1558" t="s">
        <v>8</v>
      </c>
      <c r="U21" s="1559">
        <f>H21</f>
        <v>100</v>
      </c>
      <c r="V21" s="1558" t="s">
        <v>8</v>
      </c>
      <c r="W21" s="1559">
        <f>J21</f>
        <v>100</v>
      </c>
      <c r="X21" s="2544"/>
      <c r="Y21" s="4020"/>
      <c r="Z21" s="2543" t="str">
        <f>Q21</f>
        <v>基础设施水平</v>
      </c>
      <c r="AA21" s="1561">
        <f t="shared" ref="AA21" si="8">D21/F21</f>
        <v>1</v>
      </c>
      <c r="AB21" s="1561">
        <f t="shared" ref="AB21" si="9">D21/H21</f>
        <v>1</v>
      </c>
      <c r="AC21" s="1561">
        <f t="shared" ref="AC21" si="10">D21/J21</f>
        <v>1</v>
      </c>
    </row>
    <row r="22" spans="1:29" ht="15">
      <c r="A22" s="531"/>
      <c r="B22" s="577"/>
      <c r="C22" s="872"/>
      <c r="D22" s="554"/>
      <c r="E22" s="575"/>
      <c r="F22" s="556"/>
      <c r="G22" s="575"/>
      <c r="H22" s="554"/>
      <c r="I22" s="575"/>
      <c r="J22" s="554"/>
      <c r="K22" s="2565"/>
      <c r="L22" s="2126"/>
      <c r="M22" s="2118"/>
      <c r="N22" s="2118"/>
      <c r="O22" s="2125"/>
      <c r="P22" s="4020"/>
      <c r="Q22" s="2542"/>
      <c r="R22" s="1558"/>
      <c r="S22" s="1559"/>
      <c r="T22" s="1558"/>
      <c r="U22" s="1559"/>
      <c r="V22" s="1558"/>
      <c r="W22" s="1559"/>
      <c r="X22" s="2544"/>
      <c r="Y22" s="4020"/>
      <c r="Z22" s="2543"/>
      <c r="AA22" s="1561">
        <v>1</v>
      </c>
      <c r="AB22" s="1561">
        <v>1</v>
      </c>
      <c r="AC22" s="1561">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26"/>
      <c r="M23" s="2118"/>
      <c r="N23" s="2118"/>
      <c r="O23" s="2125"/>
      <c r="P23" s="4020"/>
      <c r="Q23" s="1557" t="str">
        <f>B23</f>
        <v>环境质量</v>
      </c>
      <c r="R23" s="1558" t="s">
        <v>8</v>
      </c>
      <c r="S23" s="1559">
        <f>F23</f>
        <v>100</v>
      </c>
      <c r="T23" s="1558" t="s">
        <v>8</v>
      </c>
      <c r="U23" s="1559">
        <f>H23</f>
        <v>100</v>
      </c>
      <c r="V23" s="1558" t="s">
        <v>8</v>
      </c>
      <c r="W23" s="1559">
        <f>J23</f>
        <v>100</v>
      </c>
      <c r="X23" s="1552"/>
      <c r="Y23" s="4020"/>
      <c r="Z23" s="1560" t="str">
        <f>Q23</f>
        <v>环境质量</v>
      </c>
      <c r="AA23" s="1561">
        <f t="shared" si="3"/>
        <v>1</v>
      </c>
      <c r="AB23" s="1561">
        <f t="shared" si="4"/>
        <v>1</v>
      </c>
      <c r="AC23" s="1561">
        <f t="shared" si="5"/>
        <v>1</v>
      </c>
    </row>
    <row r="24" spans="1:29" ht="15">
      <c r="A24" s="531"/>
      <c r="B24" s="921"/>
      <c r="C24" s="575"/>
      <c r="D24" s="554"/>
      <c r="E24" s="555"/>
      <c r="F24" s="556"/>
      <c r="G24" s="557"/>
      <c r="H24" s="554"/>
      <c r="I24" s="555"/>
      <c r="J24" s="554"/>
      <c r="K24" s="898"/>
      <c r="L24" s="2126"/>
      <c r="M24" s="2118"/>
      <c r="N24" s="2118"/>
      <c r="O24" s="2125"/>
      <c r="P24" s="4020"/>
      <c r="Q24" s="1557"/>
      <c r="R24" s="1558"/>
      <c r="S24" s="1559"/>
      <c r="T24" s="1558"/>
      <c r="U24" s="1559"/>
      <c r="V24" s="1558"/>
      <c r="W24" s="1559"/>
      <c r="X24" s="1552"/>
      <c r="Y24" s="4020"/>
      <c r="Z24" s="1560"/>
      <c r="AA24" s="1561">
        <v>1</v>
      </c>
      <c r="AB24" s="1561">
        <v>1</v>
      </c>
      <c r="AC24" s="1561">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6"/>
      <c r="M25" s="2118"/>
      <c r="N25" s="2118"/>
      <c r="O25" s="2125"/>
      <c r="P25" s="4020"/>
      <c r="Q25" s="1557">
        <f>B25</f>
        <v>111</v>
      </c>
      <c r="R25" s="1558" t="s">
        <v>8</v>
      </c>
      <c r="S25" s="1559">
        <f>F25</f>
        <v>100</v>
      </c>
      <c r="T25" s="1558" t="s">
        <v>8</v>
      </c>
      <c r="U25" s="1559">
        <f>H25</f>
        <v>100</v>
      </c>
      <c r="V25" s="1558" t="s">
        <v>8</v>
      </c>
      <c r="W25" s="1559">
        <f>J25</f>
        <v>100</v>
      </c>
      <c r="X25" s="1552"/>
      <c r="Y25" s="4020"/>
      <c r="Z25" s="1560">
        <f>Q25</f>
        <v>111</v>
      </c>
      <c r="AA25" s="1561">
        <f t="shared" si="3"/>
        <v>1</v>
      </c>
      <c r="AB25" s="1561">
        <f t="shared" si="4"/>
        <v>1</v>
      </c>
      <c r="AC25" s="1561">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6"/>
      <c r="M26" s="2118"/>
      <c r="N26" s="2118"/>
      <c r="O26" s="2125"/>
      <c r="P26" s="4020"/>
      <c r="Q26" s="1557">
        <f t="shared" ref="Q26:Q40" si="11">B26</f>
        <v>111</v>
      </c>
      <c r="R26" s="1558" t="s">
        <v>8</v>
      </c>
      <c r="S26" s="1559">
        <f>F26</f>
        <v>100</v>
      </c>
      <c r="T26" s="1558" t="s">
        <v>8</v>
      </c>
      <c r="U26" s="1559">
        <f>H26</f>
        <v>100</v>
      </c>
      <c r="V26" s="1558" t="s">
        <v>8</v>
      </c>
      <c r="W26" s="1559">
        <f>J26</f>
        <v>100</v>
      </c>
      <c r="X26" s="1552"/>
      <c r="Y26" s="4020"/>
      <c r="Z26" s="1560">
        <f>Q26</f>
        <v>111</v>
      </c>
      <c r="AA26" s="1561">
        <f t="shared" si="3"/>
        <v>1</v>
      </c>
      <c r="AB26" s="1561">
        <f t="shared" si="4"/>
        <v>1</v>
      </c>
      <c r="AC26" s="1561">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9"/>
      <c r="M27" s="2120"/>
      <c r="N27" s="2120"/>
      <c r="O27" s="2121"/>
      <c r="P27" s="4020"/>
      <c r="Q27" s="1146">
        <f t="shared" si="11"/>
        <v>111</v>
      </c>
      <c r="R27" s="1553" t="s">
        <v>8</v>
      </c>
      <c r="S27" s="1554">
        <f>F27</f>
        <v>100</v>
      </c>
      <c r="T27" s="1553" t="s">
        <v>8</v>
      </c>
      <c r="U27" s="1554">
        <f>H27</f>
        <v>100</v>
      </c>
      <c r="V27" s="1553" t="s">
        <v>8</v>
      </c>
      <c r="W27" s="1554">
        <f>J27</f>
        <v>100</v>
      </c>
      <c r="X27" s="1555"/>
      <c r="Y27" s="4020"/>
      <c r="Z27" s="1145">
        <f>Q27</f>
        <v>111</v>
      </c>
      <c r="AA27" s="1561">
        <f>D27/F27</f>
        <v>1</v>
      </c>
      <c r="AB27" s="1561">
        <f>D27/H27</f>
        <v>1</v>
      </c>
      <c r="AC27" s="1561">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6"/>
      <c r="M28" s="2118"/>
      <c r="N28" s="2118"/>
      <c r="O28" s="2125"/>
      <c r="P28" s="4020"/>
      <c r="Q28" s="1557">
        <f t="shared" si="11"/>
        <v>111</v>
      </c>
      <c r="R28" s="1558" t="s">
        <v>8</v>
      </c>
      <c r="S28" s="1559">
        <f t="shared" ref="S28:S40" si="12">F28</f>
        <v>100</v>
      </c>
      <c r="T28" s="1558" t="s">
        <v>8</v>
      </c>
      <c r="U28" s="1559">
        <f t="shared" ref="U28:U40" si="13">H28</f>
        <v>100</v>
      </c>
      <c r="V28" s="1558" t="s">
        <v>8</v>
      </c>
      <c r="W28" s="1559">
        <f t="shared" ref="W28:W40" si="14">J28</f>
        <v>100</v>
      </c>
      <c r="X28" s="1552"/>
      <c r="Y28" s="4020"/>
      <c r="Z28" s="1560">
        <f t="shared" ref="Z28:Z40" si="15">Q28</f>
        <v>111</v>
      </c>
      <c r="AA28" s="1561">
        <f t="shared" si="3"/>
        <v>1</v>
      </c>
      <c r="AB28" s="1561">
        <f t="shared" si="4"/>
        <v>1</v>
      </c>
      <c r="AC28" s="1561">
        <f t="shared" si="5"/>
        <v>1</v>
      </c>
    </row>
    <row r="29" spans="1:29" ht="15">
      <c r="A29" s="2861" t="s">
        <v>2754</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26"/>
      <c r="M29" s="2118"/>
      <c r="N29" s="2118"/>
      <c r="O29" s="2125"/>
      <c r="P29" s="4021" t="s">
        <v>550</v>
      </c>
      <c r="Q29" s="1557" t="str">
        <f t="shared" si="11"/>
        <v>建筑类型</v>
      </c>
      <c r="R29" s="1558" t="s">
        <v>8</v>
      </c>
      <c r="S29" s="1559">
        <f t="shared" si="12"/>
        <v>100</v>
      </c>
      <c r="T29" s="1558" t="s">
        <v>8</v>
      </c>
      <c r="U29" s="1559">
        <f t="shared" si="13"/>
        <v>100</v>
      </c>
      <c r="V29" s="1558" t="s">
        <v>8</v>
      </c>
      <c r="W29" s="1559">
        <f t="shared" si="14"/>
        <v>100</v>
      </c>
      <c r="X29" s="1552"/>
      <c r="Y29" s="4022" t="s">
        <v>550</v>
      </c>
      <c r="Z29" s="1560" t="str">
        <f t="shared" si="15"/>
        <v>建筑类型</v>
      </c>
      <c r="AA29" s="1561">
        <f t="shared" si="3"/>
        <v>1</v>
      </c>
      <c r="AB29" s="1561">
        <f t="shared" si="4"/>
        <v>1</v>
      </c>
      <c r="AC29" s="1561">
        <f t="shared" si="5"/>
        <v>1</v>
      </c>
    </row>
    <row r="30" spans="1:29" s="1334"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4"/>
      <c r="M30" s="2155"/>
      <c r="N30" s="2155"/>
      <c r="O30" s="2127"/>
      <c r="P30" s="4022"/>
      <c r="Q30" s="1589" t="str">
        <f t="shared" si="11"/>
        <v>项目建筑规模</v>
      </c>
      <c r="R30" s="1562" t="s">
        <v>8</v>
      </c>
      <c r="S30" s="1563" t="e">
        <f t="shared" si="12"/>
        <v>#N/A</v>
      </c>
      <c r="T30" s="1562" t="s">
        <v>8</v>
      </c>
      <c r="U30" s="1563" t="e">
        <f t="shared" si="13"/>
        <v>#N/A</v>
      </c>
      <c r="V30" s="1562" t="s">
        <v>8</v>
      </c>
      <c r="W30" s="1563" t="e">
        <f t="shared" si="14"/>
        <v>#N/A</v>
      </c>
      <c r="X30" s="1564"/>
      <c r="Y30" s="4022"/>
      <c r="Z30" s="1565" t="str">
        <f t="shared" si="15"/>
        <v>项目建筑规模</v>
      </c>
      <c r="AA30" s="1561" t="e">
        <f t="shared" si="3"/>
        <v>#N/A</v>
      </c>
      <c r="AB30" s="1561" t="e">
        <f t="shared" si="4"/>
        <v>#N/A</v>
      </c>
      <c r="AC30" s="1561"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6"/>
      <c r="M31" s="2118"/>
      <c r="N31" s="2118"/>
      <c r="O31" s="2125"/>
      <c r="P31" s="4022"/>
      <c r="Q31" s="1557" t="str">
        <f t="shared" si="11"/>
        <v>建筑结构</v>
      </c>
      <c r="R31" s="1558" t="s">
        <v>8</v>
      </c>
      <c r="S31" s="1559">
        <f t="shared" si="12"/>
        <v>100</v>
      </c>
      <c r="T31" s="1558" t="s">
        <v>8</v>
      </c>
      <c r="U31" s="1559">
        <f t="shared" si="13"/>
        <v>100</v>
      </c>
      <c r="V31" s="1558" t="s">
        <v>8</v>
      </c>
      <c r="W31" s="1559">
        <f t="shared" si="14"/>
        <v>100</v>
      </c>
      <c r="X31" s="1552"/>
      <c r="Y31" s="4022"/>
      <c r="Z31" s="1560" t="str">
        <f t="shared" si="15"/>
        <v>建筑结构</v>
      </c>
      <c r="AA31" s="1561">
        <f t="shared" si="3"/>
        <v>1</v>
      </c>
      <c r="AB31" s="1561">
        <f t="shared" si="4"/>
        <v>1</v>
      </c>
      <c r="AC31" s="1561">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6"/>
      <c r="M32" s="2118"/>
      <c r="N32" s="2118"/>
      <c r="O32" s="2125"/>
      <c r="P32" s="4022"/>
      <c r="Q32" s="1557" t="str">
        <f t="shared" si="11"/>
        <v>公共部分装修</v>
      </c>
      <c r="R32" s="1558" t="s">
        <v>8</v>
      </c>
      <c r="S32" s="1559">
        <f t="shared" si="12"/>
        <v>100</v>
      </c>
      <c r="T32" s="1558" t="s">
        <v>8</v>
      </c>
      <c r="U32" s="1559">
        <f t="shared" si="13"/>
        <v>100</v>
      </c>
      <c r="V32" s="1558" t="s">
        <v>8</v>
      </c>
      <c r="W32" s="1559">
        <f t="shared" si="14"/>
        <v>100</v>
      </c>
      <c r="X32" s="1552"/>
      <c r="Y32" s="4022"/>
      <c r="Z32" s="1560" t="str">
        <f t="shared" si="15"/>
        <v>公共部分装修</v>
      </c>
      <c r="AA32" s="1561">
        <f t="shared" si="3"/>
        <v>1</v>
      </c>
      <c r="AB32" s="1561">
        <f t="shared" si="4"/>
        <v>1</v>
      </c>
      <c r="AC32" s="1561">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6"/>
      <c r="M33" s="2118"/>
      <c r="N33" s="2118"/>
      <c r="O33" s="2125"/>
      <c r="P33" s="4022"/>
      <c r="Q33" s="1557" t="str">
        <f t="shared" si="11"/>
        <v>成新度</v>
      </c>
      <c r="R33" s="1558" t="s">
        <v>8</v>
      </c>
      <c r="S33" s="1559" t="e">
        <f t="shared" si="12"/>
        <v>#N/A</v>
      </c>
      <c r="T33" s="1558" t="s">
        <v>8</v>
      </c>
      <c r="U33" s="1559" t="e">
        <f t="shared" si="13"/>
        <v>#N/A</v>
      </c>
      <c r="V33" s="1558" t="s">
        <v>8</v>
      </c>
      <c r="W33" s="1559" t="e">
        <f t="shared" si="14"/>
        <v>#N/A</v>
      </c>
      <c r="X33" s="1552"/>
      <c r="Y33" s="4022"/>
      <c r="Z33" s="1560" t="str">
        <f t="shared" si="15"/>
        <v>成新度</v>
      </c>
      <c r="AA33" s="1561" t="e">
        <f t="shared" si="3"/>
        <v>#N/A</v>
      </c>
      <c r="AB33" s="1561" t="e">
        <f t="shared" si="4"/>
        <v>#N/A</v>
      </c>
      <c r="AC33" s="1561" t="e">
        <f t="shared" si="5"/>
        <v>#N/A</v>
      </c>
    </row>
    <row r="34" spans="1:29" s="1215"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9"/>
      <c r="M34" s="2120"/>
      <c r="N34" s="2120"/>
      <c r="O34" s="2121"/>
      <c r="P34" s="4022"/>
      <c r="Q34" s="1146" t="str">
        <f t="shared" si="11"/>
        <v>物业管理</v>
      </c>
      <c r="R34" s="1553" t="s">
        <v>8</v>
      </c>
      <c r="S34" s="1554">
        <f t="shared" si="12"/>
        <v>100</v>
      </c>
      <c r="T34" s="1553" t="s">
        <v>8</v>
      </c>
      <c r="U34" s="1554">
        <f t="shared" si="13"/>
        <v>100</v>
      </c>
      <c r="V34" s="1553" t="s">
        <v>8</v>
      </c>
      <c r="W34" s="1554">
        <f t="shared" si="14"/>
        <v>100</v>
      </c>
      <c r="X34" s="1555"/>
      <c r="Y34" s="4022"/>
      <c r="Z34" s="1145" t="str">
        <f t="shared" si="15"/>
        <v>物业管理</v>
      </c>
      <c r="AA34" s="1556">
        <f t="shared" si="3"/>
        <v>1</v>
      </c>
      <c r="AB34" s="1556">
        <f t="shared" si="4"/>
        <v>1</v>
      </c>
      <c r="AC34" s="1556">
        <f t="shared" si="5"/>
        <v>1</v>
      </c>
    </row>
    <row r="35" spans="1:29" ht="15">
      <c r="A35" s="593"/>
      <c r="B35" s="1879"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6"/>
      <c r="M35" s="2118"/>
      <c r="N35" s="2118"/>
      <c r="O35" s="2125"/>
      <c r="P35" s="4022" t="s">
        <v>550</v>
      </c>
      <c r="Q35" s="1557" t="str">
        <f t="shared" si="11"/>
        <v>市政基础设施</v>
      </c>
      <c r="R35" s="1558" t="s">
        <v>8</v>
      </c>
      <c r="S35" s="1559">
        <f t="shared" si="12"/>
        <v>100</v>
      </c>
      <c r="T35" s="1558" t="s">
        <v>8</v>
      </c>
      <c r="U35" s="1559">
        <f t="shared" si="13"/>
        <v>100</v>
      </c>
      <c r="V35" s="1558" t="s">
        <v>8</v>
      </c>
      <c r="W35" s="1559">
        <f t="shared" si="14"/>
        <v>100</v>
      </c>
      <c r="X35" s="1552"/>
      <c r="Y35" s="4022" t="s">
        <v>550</v>
      </c>
      <c r="Z35" s="1560" t="str">
        <f t="shared" si="15"/>
        <v>市政基础设施</v>
      </c>
      <c r="AA35" s="1561">
        <f t="shared" si="3"/>
        <v>1</v>
      </c>
      <c r="AB35" s="1561">
        <f t="shared" si="4"/>
        <v>1</v>
      </c>
      <c r="AC35" s="1561">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6"/>
      <c r="M36" s="2118"/>
      <c r="N36" s="2118"/>
      <c r="O36" s="2125"/>
      <c r="P36" s="4022"/>
      <c r="Q36" s="1557" t="str">
        <f t="shared" si="11"/>
        <v>内部装修</v>
      </c>
      <c r="R36" s="1558" t="s">
        <v>8</v>
      </c>
      <c r="S36" s="1559">
        <f t="shared" si="12"/>
        <v>100</v>
      </c>
      <c r="T36" s="1558" t="s">
        <v>8</v>
      </c>
      <c r="U36" s="1559">
        <f t="shared" si="13"/>
        <v>100</v>
      </c>
      <c r="V36" s="1558" t="s">
        <v>8</v>
      </c>
      <c r="W36" s="1559">
        <f t="shared" si="14"/>
        <v>100</v>
      </c>
      <c r="X36" s="1552"/>
      <c r="Y36" s="4022"/>
      <c r="Z36" s="1560" t="str">
        <f t="shared" si="15"/>
        <v>内部装修</v>
      </c>
      <c r="AA36" s="1561">
        <f t="shared" si="3"/>
        <v>1</v>
      </c>
      <c r="AB36" s="1561">
        <f t="shared" si="4"/>
        <v>1</v>
      </c>
      <c r="AC36" s="1561">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6"/>
      <c r="M37" s="2118"/>
      <c r="N37" s="2118"/>
      <c r="O37" s="2125"/>
      <c r="P37" s="4022"/>
      <c r="Q37" s="1557" t="str">
        <f t="shared" si="11"/>
        <v>内部装修状况</v>
      </c>
      <c r="R37" s="1558" t="s">
        <v>8</v>
      </c>
      <c r="S37" s="1559">
        <f t="shared" si="12"/>
        <v>100</v>
      </c>
      <c r="T37" s="1558" t="s">
        <v>8</v>
      </c>
      <c r="U37" s="1559">
        <f t="shared" si="13"/>
        <v>100</v>
      </c>
      <c r="V37" s="1558" t="s">
        <v>8</v>
      </c>
      <c r="W37" s="1559">
        <f t="shared" si="14"/>
        <v>100</v>
      </c>
      <c r="X37" s="1552"/>
      <c r="Y37" s="4022"/>
      <c r="Z37" s="1560" t="str">
        <f t="shared" si="15"/>
        <v>内部装修状况</v>
      </c>
      <c r="AA37" s="1561">
        <f t="shared" si="3"/>
        <v>1</v>
      </c>
      <c r="AB37" s="1561">
        <f t="shared" si="4"/>
        <v>1</v>
      </c>
      <c r="AC37" s="1561">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4"/>
      <c r="M38" s="2155"/>
      <c r="N38" s="2155"/>
      <c r="O38" s="2127"/>
      <c r="P38" s="4022"/>
      <c r="Q38" s="1589">
        <f t="shared" si="11"/>
        <v>111</v>
      </c>
      <c r="R38" s="1562" t="s">
        <v>8</v>
      </c>
      <c r="S38" s="1563">
        <f t="shared" si="12"/>
        <v>100</v>
      </c>
      <c r="T38" s="1562" t="s">
        <v>8</v>
      </c>
      <c r="U38" s="1563">
        <f t="shared" si="13"/>
        <v>100</v>
      </c>
      <c r="V38" s="1562" t="s">
        <v>8</v>
      </c>
      <c r="W38" s="1563">
        <f t="shared" si="14"/>
        <v>100</v>
      </c>
      <c r="X38" s="1564"/>
      <c r="Y38" s="4022"/>
      <c r="Z38" s="1565">
        <f t="shared" si="15"/>
        <v>111</v>
      </c>
      <c r="AA38" s="1561">
        <f t="shared" si="3"/>
        <v>1</v>
      </c>
      <c r="AB38" s="1561">
        <f t="shared" si="4"/>
        <v>1</v>
      </c>
      <c r="AC38" s="1561">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6"/>
      <c r="M39" s="2118"/>
      <c r="N39" s="2118"/>
      <c r="O39" s="2125"/>
      <c r="P39" s="4022"/>
      <c r="Q39" s="1557">
        <f t="shared" si="11"/>
        <v>111</v>
      </c>
      <c r="R39" s="1558" t="s">
        <v>8</v>
      </c>
      <c r="S39" s="1559">
        <f t="shared" si="12"/>
        <v>100</v>
      </c>
      <c r="T39" s="1558" t="s">
        <v>8</v>
      </c>
      <c r="U39" s="1559">
        <f t="shared" si="13"/>
        <v>100</v>
      </c>
      <c r="V39" s="1558" t="s">
        <v>8</v>
      </c>
      <c r="W39" s="1559">
        <f t="shared" si="14"/>
        <v>100</v>
      </c>
      <c r="X39" s="1552"/>
      <c r="Y39" s="4022"/>
      <c r="Z39" s="1560">
        <f t="shared" si="15"/>
        <v>111</v>
      </c>
      <c r="AA39" s="1561">
        <f t="shared" si="3"/>
        <v>1</v>
      </c>
      <c r="AB39" s="1561">
        <f t="shared" si="4"/>
        <v>1</v>
      </c>
      <c r="AC39" s="1561">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6"/>
      <c r="M40" s="2118"/>
      <c r="N40" s="2118"/>
      <c r="O40" s="2125"/>
      <c r="P40" s="4101"/>
      <c r="Q40" s="1557">
        <f t="shared" si="11"/>
        <v>111</v>
      </c>
      <c r="R40" s="1558" t="s">
        <v>8</v>
      </c>
      <c r="S40" s="1559">
        <f t="shared" si="12"/>
        <v>100</v>
      </c>
      <c r="T40" s="1558" t="s">
        <v>8</v>
      </c>
      <c r="U40" s="1559">
        <f t="shared" si="13"/>
        <v>100</v>
      </c>
      <c r="V40" s="1558" t="s">
        <v>8</v>
      </c>
      <c r="W40" s="1559">
        <f t="shared" si="14"/>
        <v>100</v>
      </c>
      <c r="X40" s="1552"/>
      <c r="Y40" s="4101"/>
      <c r="Z40" s="1560">
        <f t="shared" si="15"/>
        <v>111</v>
      </c>
      <c r="AA40" s="1561">
        <f t="shared" si="3"/>
        <v>1</v>
      </c>
      <c r="AB40" s="1561">
        <f t="shared" si="4"/>
        <v>1</v>
      </c>
      <c r="AC40" s="1561">
        <f t="shared" si="5"/>
        <v>1</v>
      </c>
    </row>
    <row r="41" spans="1:29" ht="15">
      <c r="A41" s="606" t="s">
        <v>736</v>
      </c>
      <c r="B41" s="886"/>
      <c r="C41" s="2590" t="s">
        <v>1</v>
      </c>
      <c r="D41" s="2591"/>
      <c r="E41" s="2592"/>
      <c r="F41" s="2593"/>
      <c r="G41" s="2594"/>
      <c r="H41" s="2595"/>
      <c r="I41" s="2592"/>
      <c r="J41" s="2595"/>
      <c r="K41" s="1595"/>
      <c r="L41" s="2128"/>
      <c r="M41" s="2129"/>
      <c r="N41" s="2118"/>
      <c r="O41" s="2129"/>
      <c r="P41" s="4017" t="str">
        <f>A41</f>
        <v>成交单价（元/平方米）</v>
      </c>
      <c r="Q41" s="4017"/>
      <c r="R41" s="4100">
        <f>E41</f>
        <v>0</v>
      </c>
      <c r="S41" s="4100"/>
      <c r="T41" s="4100">
        <f>G41</f>
        <v>0</v>
      </c>
      <c r="U41" s="4100"/>
      <c r="V41" s="4100">
        <f>I41</f>
        <v>0</v>
      </c>
      <c r="W41" s="4100"/>
      <c r="X41" s="1544"/>
      <c r="Y41" s="1566"/>
      <c r="Z41" s="1544"/>
      <c r="AA41" s="1544"/>
      <c r="AB41" s="1544"/>
      <c r="AC41" s="1544"/>
    </row>
    <row r="42" spans="1:29" ht="15.75" thickBot="1">
      <c r="A42" s="614" t="s">
        <v>2759</v>
      </c>
      <c r="B42" s="887"/>
      <c r="C42" s="2596" t="e">
        <f>R43</f>
        <v>#DIV/0!</v>
      </c>
      <c r="D42" s="2597"/>
      <c r="E42" s="2598" t="e">
        <f>R42</f>
        <v>#DIV/0!</v>
      </c>
      <c r="F42" s="2598"/>
      <c r="G42" s="2596" t="e">
        <f>T42</f>
        <v>#DIV/0!</v>
      </c>
      <c r="H42" s="2597"/>
      <c r="I42" s="2598" t="e">
        <f>V42</f>
        <v>#DIV/0!</v>
      </c>
      <c r="J42" s="2597"/>
      <c r="K42" s="1596"/>
      <c r="L42" s="2128"/>
      <c r="M42" s="2129"/>
      <c r="N42" s="2118"/>
      <c r="O42" s="2129"/>
      <c r="P42" s="4017" t="str">
        <f>A42</f>
        <v>比较价格（元/平方米）</v>
      </c>
      <c r="Q42" s="4017"/>
      <c r="R42" s="4100" t="e">
        <f>IF(F1="售价",ROUND(PRODUCT(R41,AA7:AA40),0),ROUND(PRODUCT(R41,AA7:AA40),1))</f>
        <v>#DIV/0!</v>
      </c>
      <c r="S42" s="4100"/>
      <c r="T42" s="4100" t="e">
        <f>IF(F1="售价",ROUND(PRODUCT(T41,AB7:AB40),0),ROUND(PRODUCT(T41,AB7:AB40),1))</f>
        <v>#DIV/0!</v>
      </c>
      <c r="U42" s="4100"/>
      <c r="V42" s="4100" t="e">
        <f>IF(F1="售价",ROUND(PRODUCT(V41,AC7:AC40),0),ROUND(PRODUCT(V41,AC7:AC40),1))</f>
        <v>#DIV/0!</v>
      </c>
      <c r="W42" s="4100"/>
      <c r="X42" s="1544"/>
      <c r="Y42" s="1544"/>
      <c r="Z42" s="1544"/>
      <c r="AA42" s="1544"/>
      <c r="AB42" s="1544"/>
      <c r="AC42" s="1544"/>
    </row>
    <row r="43" spans="1:29" ht="15.75" thickBot="1">
      <c r="A43" s="620" t="s">
        <v>2932</v>
      </c>
      <c r="B43" s="621"/>
      <c r="C43" s="2599" t="e">
        <f>R43</f>
        <v>#DIV/0!</v>
      </c>
      <c r="D43" s="2599"/>
      <c r="E43" s="2599"/>
      <c r="F43" s="2599"/>
      <c r="G43" s="2599"/>
      <c r="H43" s="2599"/>
      <c r="I43" s="2599"/>
      <c r="J43" s="2599"/>
      <c r="K43" s="1597"/>
      <c r="L43" s="2128"/>
      <c r="M43" s="2129"/>
      <c r="N43" s="2129"/>
      <c r="O43" s="2129"/>
      <c r="P43" s="4038" t="str">
        <f>A43</f>
        <v>估价对象XX用房的比较价格（楼面单价，元/平方米）</v>
      </c>
      <c r="Q43" s="4039"/>
      <c r="R43" s="4099" t="e">
        <f>IF(F1="售价",ROUND(AVERAGE(R42:V42),0),ROUND(AVERAGE(R42:V42),1))</f>
        <v>#DIV/0!</v>
      </c>
      <c r="S43" s="4099"/>
      <c r="T43" s="4099"/>
      <c r="U43" s="4099"/>
      <c r="V43" s="4099"/>
      <c r="W43" s="4099"/>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40" customFormat="1" ht="13.5" customHeight="1">
      <c r="A48" s="2130"/>
      <c r="B48" s="2130"/>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40"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574</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2" customFormat="1" ht="15">
      <c r="A52" s="644" t="s">
        <v>529</v>
      </c>
      <c r="B52" s="645"/>
      <c r="C52" s="2756" t="str">
        <f>YEAR(C7)&amp;"-"&amp;MONTH(C7)</f>
        <v>2019-7</v>
      </c>
      <c r="D52" s="2758">
        <f>EDATE(C52,-1)</f>
        <v>43617</v>
      </c>
      <c r="E52" s="2758">
        <f t="shared" ref="E52:O52" si="16">EDATE(D52,-1)</f>
        <v>43586</v>
      </c>
      <c r="F52" s="2758">
        <f t="shared" si="16"/>
        <v>43556</v>
      </c>
      <c r="G52" s="2758">
        <f t="shared" si="16"/>
        <v>43525</v>
      </c>
      <c r="H52" s="2758">
        <f t="shared" si="16"/>
        <v>43497</v>
      </c>
      <c r="I52" s="2758">
        <f t="shared" si="16"/>
        <v>43466</v>
      </c>
      <c r="J52" s="2758">
        <f t="shared" si="16"/>
        <v>43435</v>
      </c>
      <c r="K52" s="2758">
        <f t="shared" si="16"/>
        <v>43405</v>
      </c>
      <c r="L52" s="2758">
        <f t="shared" si="16"/>
        <v>43374</v>
      </c>
      <c r="M52" s="2758">
        <f t="shared" si="16"/>
        <v>43344</v>
      </c>
      <c r="N52" s="2758">
        <f t="shared" si="16"/>
        <v>43313</v>
      </c>
      <c r="O52" s="2758">
        <f t="shared" si="16"/>
        <v>43282</v>
      </c>
      <c r="P52" s="2144"/>
      <c r="Q52" s="2145"/>
      <c r="R52" s="2145"/>
      <c r="S52" s="2145"/>
      <c r="T52" s="2145"/>
      <c r="U52" s="2145"/>
      <c r="V52" s="2145"/>
      <c r="W52" s="2145"/>
      <c r="X52" s="2145"/>
      <c r="Y52" s="2145"/>
      <c r="Z52" s="2145"/>
      <c r="AA52" s="2145"/>
      <c r="AB52" s="2145"/>
      <c r="AC52" s="2145"/>
    </row>
    <row r="53" spans="1:29" s="1215" customFormat="1" ht="15">
      <c r="A53" s="646"/>
      <c r="B53" s="647"/>
      <c r="C53" s="648">
        <v>100</v>
      </c>
      <c r="D53" s="649"/>
      <c r="E53" s="649"/>
      <c r="F53" s="649"/>
      <c r="G53" s="649"/>
      <c r="H53" s="649"/>
      <c r="I53" s="649"/>
      <c r="J53" s="649"/>
      <c r="K53" s="649"/>
      <c r="L53" s="649"/>
      <c r="M53" s="650"/>
      <c r="N53" s="649"/>
      <c r="O53" s="651"/>
      <c r="P53" s="2142"/>
      <c r="Q53" s="1977"/>
      <c r="R53" s="1977"/>
      <c r="S53" s="1977"/>
      <c r="T53" s="1977"/>
      <c r="U53" s="1977"/>
      <c r="V53" s="1977"/>
      <c r="W53" s="1977"/>
      <c r="X53" s="1977"/>
      <c r="Y53" s="1977"/>
      <c r="Z53" s="1977"/>
      <c r="AA53" s="1977"/>
      <c r="AB53" s="1977"/>
      <c r="AC53" s="1977"/>
    </row>
    <row r="54" spans="1:29" s="1215" customFormat="1" ht="15.75" thickBot="1">
      <c r="A54" s="652" t="s">
        <v>575</v>
      </c>
      <c r="B54" s="653"/>
      <c r="C54" s="654"/>
      <c r="D54" s="655"/>
      <c r="E54" s="655"/>
      <c r="F54" s="655"/>
      <c r="G54" s="655"/>
      <c r="H54" s="655"/>
      <c r="I54" s="655"/>
      <c r="J54" s="655"/>
      <c r="K54" s="655"/>
      <c r="L54" s="655"/>
      <c r="M54" s="656"/>
      <c r="N54" s="655"/>
      <c r="O54" s="657"/>
      <c r="P54" s="2142"/>
      <c r="Q54" s="2142"/>
      <c r="R54" s="1977"/>
      <c r="S54" s="1977"/>
      <c r="T54" s="1977"/>
      <c r="U54" s="1977"/>
      <c r="V54" s="1977"/>
      <c r="W54" s="1977"/>
      <c r="X54" s="1977"/>
      <c r="Y54" s="1977"/>
      <c r="Z54" s="1977"/>
      <c r="AA54" s="1977"/>
      <c r="AB54" s="1977"/>
      <c r="AC54" s="1977"/>
    </row>
    <row r="55" spans="1:29" s="1215" customFormat="1" ht="15">
      <c r="A55" s="658" t="s">
        <v>531</v>
      </c>
      <c r="B55" s="647"/>
      <c r="C55" s="659" t="s">
        <v>576</v>
      </c>
      <c r="D55" s="660"/>
      <c r="E55" s="660"/>
      <c r="F55" s="660"/>
      <c r="G55" s="660"/>
      <c r="H55" s="660"/>
      <c r="I55" s="660"/>
      <c r="J55" s="660"/>
      <c r="K55" s="660"/>
      <c r="L55" s="661"/>
      <c r="M55" s="662"/>
      <c r="N55" s="2146"/>
      <c r="O55" s="2146"/>
      <c r="P55" s="2147"/>
      <c r="Q55" s="2142"/>
      <c r="R55" s="1977"/>
      <c r="S55" s="1977"/>
      <c r="T55" s="1977"/>
      <c r="U55" s="1977"/>
      <c r="V55" s="1977"/>
      <c r="W55" s="1977"/>
      <c r="X55" s="1977"/>
      <c r="Y55" s="1977"/>
      <c r="Z55" s="1977"/>
      <c r="AA55" s="1977"/>
      <c r="AB55" s="1977"/>
      <c r="AC55" s="1977"/>
    </row>
    <row r="56" spans="1:29" s="1215" customFormat="1" ht="15.75" thickBot="1">
      <c r="A56" s="658"/>
      <c r="B56" s="647"/>
      <c r="C56" s="648">
        <v>100</v>
      </c>
      <c r="D56" s="649"/>
      <c r="E56" s="649"/>
      <c r="F56" s="649"/>
      <c r="G56" s="649"/>
      <c r="H56" s="649"/>
      <c r="I56" s="649"/>
      <c r="J56" s="649"/>
      <c r="K56" s="649"/>
      <c r="L56" s="649"/>
      <c r="M56" s="651"/>
      <c r="N56" s="2146"/>
      <c r="O56" s="2146"/>
      <c r="P56" s="2142"/>
      <c r="Q56" s="2142"/>
      <c r="R56" s="1977"/>
      <c r="S56" s="1977"/>
      <c r="T56" s="1977"/>
      <c r="U56" s="1977"/>
      <c r="V56" s="1977"/>
      <c r="W56" s="1977"/>
      <c r="X56" s="1977"/>
      <c r="Y56" s="1977"/>
      <c r="Z56" s="1977"/>
      <c r="AA56" s="1977"/>
      <c r="AB56" s="1977"/>
      <c r="AC56" s="1977"/>
    </row>
    <row r="57" spans="1:29">
      <c r="A57" s="663" t="s">
        <v>577</v>
      </c>
      <c r="B57" s="664" t="s">
        <v>534</v>
      </c>
      <c r="C57" s="703">
        <f>C9</f>
        <v>0</v>
      </c>
      <c r="D57" s="597"/>
      <c r="E57" s="597"/>
      <c r="F57" s="597"/>
      <c r="G57" s="597"/>
      <c r="H57" s="597"/>
      <c r="I57" s="597"/>
      <c r="J57" s="597"/>
      <c r="K57" s="665"/>
      <c r="L57" s="666"/>
      <c r="M57" s="667"/>
      <c r="N57" s="2148"/>
      <c r="O57" s="2148"/>
      <c r="P57" s="2149"/>
      <c r="Q57" s="2142"/>
      <c r="R57" s="2129"/>
      <c r="S57" s="2129"/>
      <c r="T57" s="2129"/>
      <c r="U57" s="2129"/>
      <c r="V57" s="2129"/>
      <c r="W57" s="2129"/>
      <c r="X57" s="2129"/>
      <c r="Y57" s="2129"/>
      <c r="Z57" s="2129"/>
      <c r="AA57" s="2129"/>
      <c r="AB57" s="2129"/>
      <c r="AC57" s="2129"/>
    </row>
    <row r="58" spans="1:29" ht="15.75" thickBot="1">
      <c r="A58" s="668"/>
      <c r="B58" s="669"/>
      <c r="C58" s="670"/>
      <c r="D58" s="670"/>
      <c r="E58" s="670"/>
      <c r="F58" s="670"/>
      <c r="G58" s="670"/>
      <c r="H58" s="670"/>
      <c r="I58" s="670"/>
      <c r="J58" s="670"/>
      <c r="K58" s="670"/>
      <c r="L58" s="670"/>
      <c r="M58" s="671"/>
      <c r="N58" s="2150"/>
      <c r="O58" s="2150"/>
      <c r="P58" s="2149"/>
      <c r="Q58" s="2142"/>
      <c r="R58" s="2129"/>
      <c r="S58" s="2129"/>
      <c r="T58" s="2129"/>
      <c r="U58" s="2129"/>
      <c r="V58" s="2129"/>
      <c r="W58" s="2129"/>
      <c r="X58" s="2129"/>
      <c r="Y58" s="2129"/>
      <c r="Z58" s="2129"/>
      <c r="AA58" s="2129"/>
      <c r="AB58" s="2129"/>
      <c r="AC58" s="2129"/>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48"/>
      <c r="O59" s="2148"/>
      <c r="P59" s="2149"/>
      <c r="Q59" s="2142"/>
      <c r="R59" s="2129"/>
      <c r="S59" s="2129"/>
      <c r="T59" s="2129"/>
      <c r="U59" s="2129"/>
      <c r="V59" s="2129"/>
      <c r="W59" s="2129"/>
      <c r="X59" s="2129"/>
      <c r="Y59" s="2129"/>
      <c r="Z59" s="2129"/>
      <c r="AA59" s="2129"/>
      <c r="AB59" s="2129"/>
      <c r="AC59" s="2129"/>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50"/>
      <c r="O60" s="2150"/>
      <c r="P60" s="2149"/>
      <c r="Q60" s="2142"/>
      <c r="R60" s="2129"/>
      <c r="S60" s="2129"/>
      <c r="T60" s="2129"/>
      <c r="U60" s="2129"/>
      <c r="V60" s="2129"/>
      <c r="W60" s="2129"/>
      <c r="X60" s="2129"/>
      <c r="Y60" s="2129"/>
      <c r="Z60" s="2129"/>
      <c r="AA60" s="2129"/>
      <c r="AB60" s="2129"/>
      <c r="AC60" s="2129"/>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8"/>
      <c r="B62" s="682"/>
      <c r="C62" s="540"/>
      <c r="D62" s="540"/>
      <c r="E62" s="540"/>
      <c r="F62" s="540"/>
      <c r="G62" s="540"/>
      <c r="H62" s="540"/>
      <c r="I62" s="540"/>
      <c r="J62" s="540"/>
      <c r="K62" s="683"/>
      <c r="L62" s="684"/>
      <c r="M62" s="685"/>
      <c r="N62" s="2148"/>
      <c r="O62" s="2148"/>
      <c r="P62" s="2149"/>
      <c r="Q62" s="2142"/>
      <c r="R62" s="2129"/>
      <c r="S62" s="2129"/>
      <c r="T62" s="2129"/>
      <c r="U62" s="2129"/>
      <c r="V62" s="2129"/>
      <c r="W62" s="2129"/>
      <c r="X62" s="2129"/>
      <c r="Y62" s="2129"/>
      <c r="Z62" s="2129"/>
      <c r="AA62" s="2129"/>
      <c r="AB62" s="2129"/>
      <c r="AC62" s="2129"/>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50"/>
      <c r="O63" s="2150"/>
      <c r="P63" s="2149"/>
      <c r="Q63" s="2142"/>
      <c r="R63" s="2129"/>
      <c r="S63" s="2129"/>
      <c r="T63" s="2129"/>
      <c r="U63" s="2129"/>
      <c r="V63" s="2129"/>
      <c r="W63" s="2129"/>
      <c r="X63" s="2129"/>
      <c r="Y63" s="2129"/>
      <c r="Z63" s="2129"/>
      <c r="AA63" s="2129"/>
      <c r="AB63" s="2129"/>
      <c r="AC63" s="2129"/>
    </row>
    <row r="64" spans="1:29" s="1334" customFormat="1" ht="15.75" thickTop="1">
      <c r="A64" s="686"/>
      <c r="B64" s="672">
        <f>B12</f>
        <v>111</v>
      </c>
      <c r="C64" s="687"/>
      <c r="D64" s="687"/>
      <c r="E64" s="687"/>
      <c r="F64" s="687"/>
      <c r="G64" s="687"/>
      <c r="H64" s="688"/>
      <c r="I64" s="688"/>
      <c r="J64" s="688"/>
      <c r="K64" s="688"/>
      <c r="L64" s="689"/>
      <c r="M64" s="690"/>
      <c r="N64" s="2151"/>
      <c r="O64" s="2151"/>
      <c r="P64" s="2152"/>
      <c r="Q64" s="2153"/>
      <c r="R64" s="2154"/>
      <c r="S64" s="2154"/>
      <c r="T64" s="2154"/>
      <c r="U64" s="2154"/>
      <c r="V64" s="2154"/>
      <c r="W64" s="2154"/>
      <c r="X64" s="2154"/>
      <c r="Y64" s="2154"/>
      <c r="Z64" s="2154"/>
      <c r="AA64" s="2154"/>
      <c r="AB64" s="2154"/>
      <c r="AC64" s="2154"/>
    </row>
    <row r="65" spans="1:29" s="1334" customFormat="1" ht="15.75" thickBot="1">
      <c r="A65" s="686"/>
      <c r="B65" s="677"/>
      <c r="C65" s="691"/>
      <c r="D65" s="670"/>
      <c r="E65" s="670"/>
      <c r="F65" s="670"/>
      <c r="G65" s="670"/>
      <c r="H65" s="670"/>
      <c r="I65" s="670"/>
      <c r="J65" s="670"/>
      <c r="K65" s="670"/>
      <c r="L65" s="670"/>
      <c r="M65" s="671"/>
      <c r="N65" s="2150"/>
      <c r="O65" s="2150"/>
      <c r="P65" s="2152"/>
      <c r="Q65" s="2153"/>
      <c r="R65" s="2154"/>
      <c r="S65" s="2154"/>
      <c r="T65" s="2154"/>
      <c r="U65" s="2154"/>
      <c r="V65" s="2154"/>
      <c r="W65" s="2154"/>
      <c r="X65" s="2154"/>
      <c r="Y65" s="2154"/>
      <c r="Z65" s="2154"/>
      <c r="AA65" s="2154"/>
      <c r="AB65" s="2154"/>
      <c r="AC65" s="2154"/>
    </row>
    <row r="66" spans="1:29" s="1334" customFormat="1" ht="15.75" thickTop="1">
      <c r="A66" s="686"/>
      <c r="B66" s="672">
        <f>B13</f>
        <v>111</v>
      </c>
      <c r="C66" s="687"/>
      <c r="D66" s="687"/>
      <c r="E66" s="687"/>
      <c r="F66" s="687"/>
      <c r="G66" s="687"/>
      <c r="H66" s="688"/>
      <c r="I66" s="688"/>
      <c r="J66" s="688"/>
      <c r="K66" s="688"/>
      <c r="L66" s="689"/>
      <c r="M66" s="690"/>
      <c r="N66" s="2151"/>
      <c r="O66" s="2151"/>
      <c r="P66" s="2155"/>
      <c r="Q66" s="2156"/>
      <c r="R66" s="2154"/>
      <c r="S66" s="2154"/>
      <c r="T66" s="2154"/>
      <c r="U66" s="2154"/>
      <c r="V66" s="2154"/>
      <c r="W66" s="2154"/>
      <c r="X66" s="2154"/>
      <c r="Y66" s="2154"/>
      <c r="Z66" s="2154"/>
      <c r="AA66" s="2154"/>
      <c r="AB66" s="2154"/>
      <c r="AC66" s="2154"/>
    </row>
    <row r="67" spans="1:29" s="1334" customFormat="1" ht="15.75" thickBot="1">
      <c r="A67" s="686"/>
      <c r="B67" s="677"/>
      <c r="C67" s="691"/>
      <c r="D67" s="670"/>
      <c r="E67" s="670"/>
      <c r="F67" s="670"/>
      <c r="G67" s="691"/>
      <c r="H67" s="692"/>
      <c r="I67" s="692"/>
      <c r="J67" s="692"/>
      <c r="K67" s="692"/>
      <c r="L67" s="692"/>
      <c r="M67" s="693"/>
      <c r="N67" s="2151"/>
      <c r="O67" s="2151"/>
      <c r="P67" s="2152"/>
      <c r="Q67" s="2153"/>
      <c r="R67" s="2154"/>
      <c r="S67" s="2154"/>
      <c r="T67" s="2154"/>
      <c r="U67" s="2154"/>
      <c r="V67" s="2154"/>
      <c r="W67" s="2154"/>
      <c r="X67" s="2154"/>
      <c r="Y67" s="2154"/>
      <c r="Z67" s="2154"/>
      <c r="AA67" s="2154"/>
      <c r="AB67" s="2154"/>
      <c r="AC67" s="2154"/>
    </row>
    <row r="68" spans="1:29" s="1334" customFormat="1" ht="15.75" thickTop="1">
      <c r="A68" s="686"/>
      <c r="B68" s="680">
        <f>B14</f>
        <v>111</v>
      </c>
      <c r="C68" s="660"/>
      <c r="D68" s="660"/>
      <c r="E68" s="660"/>
      <c r="F68" s="660"/>
      <c r="G68" s="660"/>
      <c r="H68" s="694"/>
      <c r="I68" s="694"/>
      <c r="J68" s="694"/>
      <c r="K68" s="694"/>
      <c r="L68" s="695"/>
      <c r="M68" s="696"/>
      <c r="N68" s="2151"/>
      <c r="O68" s="2151"/>
      <c r="P68" s="2157"/>
      <c r="Q68" s="2153"/>
      <c r="R68" s="2154"/>
      <c r="S68" s="2154"/>
      <c r="T68" s="2154"/>
      <c r="U68" s="2154"/>
      <c r="V68" s="2154"/>
      <c r="W68" s="2154"/>
      <c r="X68" s="2154"/>
      <c r="Y68" s="2154"/>
      <c r="Z68" s="2154"/>
      <c r="AA68" s="2154"/>
      <c r="AB68" s="2154"/>
      <c r="AC68" s="2154"/>
    </row>
    <row r="69" spans="1:29" s="1334" customFormat="1" ht="15.75" thickBot="1">
      <c r="A69" s="697"/>
      <c r="B69" s="698"/>
      <c r="C69" s="699"/>
      <c r="D69" s="699"/>
      <c r="E69" s="699"/>
      <c r="F69" s="699"/>
      <c r="G69" s="699"/>
      <c r="H69" s="700"/>
      <c r="I69" s="700"/>
      <c r="J69" s="700"/>
      <c r="K69" s="700"/>
      <c r="L69" s="700"/>
      <c r="M69" s="701"/>
      <c r="N69" s="2151"/>
      <c r="O69" s="2151"/>
      <c r="P69" s="2152"/>
      <c r="Q69" s="2153"/>
      <c r="R69" s="2154"/>
      <c r="S69" s="2154"/>
      <c r="T69" s="2154"/>
      <c r="U69" s="2154"/>
      <c r="V69" s="2154"/>
      <c r="W69" s="2154"/>
      <c r="X69" s="2154"/>
      <c r="Y69" s="2154"/>
      <c r="Z69" s="2154"/>
      <c r="AA69" s="2154"/>
      <c r="AB69" s="2154"/>
      <c r="AC69" s="2154"/>
    </row>
    <row r="70" spans="1:29">
      <c r="A70" s="663" t="s">
        <v>539</v>
      </c>
      <c r="B70" s="664" t="s">
        <v>585</v>
      </c>
      <c r="C70" s="702" t="s">
        <v>579</v>
      </c>
      <c r="D70" s="702" t="s">
        <v>580</v>
      </c>
      <c r="E70" s="702" t="s">
        <v>581</v>
      </c>
      <c r="F70" s="702" t="s">
        <v>582</v>
      </c>
      <c r="G70" s="702" t="s">
        <v>583</v>
      </c>
      <c r="H70" s="703"/>
      <c r="I70" s="703"/>
      <c r="J70" s="703"/>
      <c r="K70" s="704"/>
      <c r="L70" s="705"/>
      <c r="M70" s="706"/>
      <c r="N70" s="2148"/>
      <c r="O70" s="2148"/>
      <c r="P70" s="2158"/>
      <c r="Q70" s="2142"/>
      <c r="R70" s="2129"/>
      <c r="S70" s="2129"/>
      <c r="T70" s="2129"/>
      <c r="U70" s="2129"/>
      <c r="V70" s="2129"/>
      <c r="W70" s="2129"/>
      <c r="X70" s="2129"/>
      <c r="Y70" s="2129"/>
      <c r="Z70" s="2129"/>
      <c r="AA70" s="2129"/>
      <c r="AB70" s="2129"/>
      <c r="AC70" s="2129"/>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50"/>
      <c r="O71" s="2150"/>
      <c r="P71" s="2149"/>
      <c r="Q71" s="2142"/>
      <c r="R71" s="2129"/>
      <c r="S71" s="2129"/>
      <c r="T71" s="2129"/>
      <c r="U71" s="2129"/>
      <c r="V71" s="2129"/>
      <c r="W71" s="2129"/>
      <c r="X71" s="2129"/>
      <c r="Y71" s="2129"/>
      <c r="Z71" s="2129"/>
      <c r="AA71" s="2129"/>
      <c r="AB71" s="2129"/>
      <c r="AC71" s="2129"/>
    </row>
    <row r="72" spans="1:29" ht="15.75" thickTop="1">
      <c r="A72" s="668"/>
      <c r="B72" s="672" t="s">
        <v>586</v>
      </c>
      <c r="C72" s="707" t="s">
        <v>579</v>
      </c>
      <c r="D72" s="707" t="s">
        <v>580</v>
      </c>
      <c r="E72" s="707" t="s">
        <v>581</v>
      </c>
      <c r="F72" s="707" t="s">
        <v>582</v>
      </c>
      <c r="G72" s="707" t="s">
        <v>583</v>
      </c>
      <c r="H72" s="673"/>
      <c r="I72" s="673"/>
      <c r="J72" s="673"/>
      <c r="K72" s="674"/>
      <c r="L72" s="675"/>
      <c r="M72" s="676"/>
      <c r="N72" s="2148"/>
      <c r="O72" s="2148"/>
      <c r="P72" s="2149"/>
      <c r="Q72" s="2142"/>
      <c r="R72" s="2129"/>
      <c r="S72" s="2129"/>
      <c r="T72" s="2129"/>
      <c r="U72" s="2129"/>
      <c r="V72" s="2129"/>
      <c r="W72" s="2129"/>
      <c r="X72" s="2129"/>
      <c r="Y72" s="2129"/>
      <c r="Z72" s="2129"/>
      <c r="AA72" s="2129"/>
      <c r="AB72" s="2129"/>
      <c r="AC72" s="2129"/>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50"/>
      <c r="O73" s="2150"/>
      <c r="P73" s="2149"/>
      <c r="Q73" s="2142"/>
      <c r="R73" s="2129"/>
      <c r="S73" s="2129"/>
      <c r="T73" s="2129"/>
      <c r="U73" s="2129"/>
      <c r="V73" s="2129"/>
      <c r="W73" s="2129"/>
      <c r="X73" s="2129"/>
      <c r="Y73" s="2129"/>
      <c r="Z73" s="2129"/>
      <c r="AA73" s="2129"/>
      <c r="AB73" s="2129"/>
      <c r="AC73" s="2129"/>
    </row>
    <row r="74" spans="1:29" ht="15.75" thickTop="1">
      <c r="A74" s="668"/>
      <c r="B74" s="1880" t="s">
        <v>2556</v>
      </c>
      <c r="C74" s="707" t="s">
        <v>579</v>
      </c>
      <c r="D74" s="707" t="s">
        <v>580</v>
      </c>
      <c r="E74" s="707" t="s">
        <v>581</v>
      </c>
      <c r="F74" s="707" t="s">
        <v>582</v>
      </c>
      <c r="G74" s="707" t="s">
        <v>583</v>
      </c>
      <c r="H74" s="673"/>
      <c r="I74" s="673"/>
      <c r="J74" s="673"/>
      <c r="K74" s="674"/>
      <c r="L74" s="675"/>
      <c r="M74" s="676"/>
      <c r="N74" s="2148"/>
      <c r="O74" s="2148"/>
      <c r="P74" s="2149"/>
      <c r="Q74" s="2142"/>
      <c r="R74" s="2129"/>
      <c r="S74" s="2129"/>
      <c r="T74" s="2129"/>
      <c r="U74" s="2129"/>
      <c r="V74" s="2129"/>
      <c r="W74" s="2129"/>
      <c r="X74" s="2129"/>
      <c r="Y74" s="2129"/>
      <c r="Z74" s="2129"/>
      <c r="AA74" s="2129"/>
      <c r="AB74" s="2129"/>
      <c r="AC74" s="2129"/>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50"/>
      <c r="O75" s="2150"/>
      <c r="P75" s="2149"/>
      <c r="Q75" s="2142"/>
      <c r="R75" s="2129"/>
      <c r="S75" s="2129"/>
      <c r="T75" s="2129"/>
      <c r="U75" s="2129"/>
      <c r="V75" s="2129"/>
      <c r="W75" s="2129"/>
      <c r="X75" s="2129"/>
      <c r="Y75" s="2129"/>
      <c r="Z75" s="2129"/>
      <c r="AA75" s="2129"/>
      <c r="AB75" s="2129"/>
      <c r="AC75" s="2129"/>
    </row>
    <row r="76" spans="1:29" ht="15.75" thickTop="1">
      <c r="A76" s="668"/>
      <c r="B76" s="2560" t="s">
        <v>2557</v>
      </c>
      <c r="C76" s="2561" t="s">
        <v>2558</v>
      </c>
      <c r="D76" s="2561" t="s">
        <v>2559</v>
      </c>
      <c r="E76" s="2561" t="s">
        <v>2560</v>
      </c>
      <c r="F76" s="2561" t="s">
        <v>2561</v>
      </c>
      <c r="G76" s="2561" t="s">
        <v>2562</v>
      </c>
      <c r="H76" s="934"/>
      <c r="I76" s="934"/>
      <c r="J76" s="934"/>
      <c r="K76" s="934"/>
      <c r="L76" s="934"/>
      <c r="M76" s="558"/>
      <c r="N76" s="2150"/>
      <c r="O76" s="2150"/>
      <c r="P76" s="2149"/>
      <c r="Q76" s="2142"/>
      <c r="R76" s="2129"/>
      <c r="S76" s="2129"/>
      <c r="T76" s="2129"/>
      <c r="U76" s="2129"/>
      <c r="V76" s="2129"/>
      <c r="W76" s="2129"/>
      <c r="X76" s="2129"/>
      <c r="Y76" s="2129"/>
      <c r="Z76" s="2129"/>
      <c r="AA76" s="2129"/>
      <c r="AB76" s="2129"/>
      <c r="AC76" s="2129"/>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50"/>
      <c r="O77" s="2150"/>
      <c r="P77" s="2149"/>
      <c r="Q77" s="2142"/>
      <c r="R77" s="2129"/>
      <c r="S77" s="2129"/>
      <c r="T77" s="2129"/>
      <c r="U77" s="2129"/>
      <c r="V77" s="2129"/>
      <c r="W77" s="2129"/>
      <c r="X77" s="2129"/>
      <c r="Y77" s="2129"/>
      <c r="Z77" s="2129"/>
      <c r="AA77" s="2129"/>
      <c r="AB77" s="2129"/>
      <c r="AC77" s="2129"/>
    </row>
    <row r="78" spans="1:29" ht="15.75" thickTop="1">
      <c r="A78" s="668"/>
      <c r="B78" s="672" t="s">
        <v>784</v>
      </c>
      <c r="C78" s="707" t="s">
        <v>579</v>
      </c>
      <c r="D78" s="707" t="s">
        <v>580</v>
      </c>
      <c r="E78" s="707" t="s">
        <v>581</v>
      </c>
      <c r="F78" s="707" t="s">
        <v>582</v>
      </c>
      <c r="G78" s="707" t="s">
        <v>583</v>
      </c>
      <c r="H78" s="673"/>
      <c r="I78" s="673"/>
      <c r="J78" s="673"/>
      <c r="K78" s="674"/>
      <c r="L78" s="675"/>
      <c r="M78" s="676"/>
      <c r="N78" s="2148"/>
      <c r="O78" s="2148"/>
      <c r="P78" s="2149"/>
      <c r="Q78" s="2142"/>
      <c r="R78" s="2129"/>
      <c r="S78" s="2129"/>
      <c r="T78" s="2129"/>
      <c r="U78" s="2129"/>
      <c r="V78" s="2129"/>
      <c r="W78" s="2129"/>
      <c r="X78" s="2129"/>
      <c r="Y78" s="2129"/>
      <c r="Z78" s="2129"/>
      <c r="AA78" s="2129"/>
      <c r="AB78" s="2129"/>
      <c r="AC78" s="2129"/>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50"/>
      <c r="O79" s="2150"/>
      <c r="P79" s="2149"/>
      <c r="Q79" s="2142"/>
      <c r="R79" s="2129"/>
      <c r="S79" s="2129"/>
      <c r="T79" s="2129"/>
      <c r="U79" s="2129"/>
      <c r="V79" s="2129"/>
      <c r="W79" s="2129"/>
      <c r="X79" s="2129"/>
      <c r="Y79" s="2129"/>
      <c r="Z79" s="2129"/>
      <c r="AA79" s="2129"/>
      <c r="AB79" s="2129"/>
      <c r="AC79" s="2129"/>
    </row>
    <row r="80" spans="1:29" s="1215" customFormat="1" ht="15.75" thickTop="1">
      <c r="A80" s="708"/>
      <c r="B80" s="672">
        <f>B25</f>
        <v>111</v>
      </c>
      <c r="C80" s="687"/>
      <c r="D80" s="687"/>
      <c r="E80" s="687"/>
      <c r="F80" s="687"/>
      <c r="G80" s="687"/>
      <c r="H80" s="687"/>
      <c r="I80" s="687"/>
      <c r="J80" s="687"/>
      <c r="K80" s="687"/>
      <c r="L80" s="889"/>
      <c r="M80" s="890"/>
      <c r="N80" s="2146"/>
      <c r="O80" s="2146"/>
      <c r="P80" s="2149"/>
      <c r="Q80" s="2142"/>
      <c r="R80" s="1977"/>
      <c r="S80" s="1977"/>
      <c r="T80" s="1977"/>
      <c r="U80" s="1977"/>
      <c r="V80" s="1977"/>
      <c r="W80" s="1977"/>
      <c r="X80" s="1977"/>
      <c r="Y80" s="1977"/>
      <c r="Z80" s="1977"/>
      <c r="AA80" s="1977"/>
      <c r="AB80" s="1977"/>
      <c r="AC80" s="1977"/>
    </row>
    <row r="81" spans="1:29" s="1215" customFormat="1" ht="15.75" thickBot="1">
      <c r="A81" s="708"/>
      <c r="B81" s="677"/>
      <c r="C81" s="691"/>
      <c r="D81" s="670"/>
      <c r="E81" s="670"/>
      <c r="F81" s="670"/>
      <c r="G81" s="670"/>
      <c r="H81" s="670"/>
      <c r="I81" s="670"/>
      <c r="J81" s="670"/>
      <c r="K81" s="670"/>
      <c r="L81" s="670"/>
      <c r="M81" s="671"/>
      <c r="N81" s="2150"/>
      <c r="O81" s="2150"/>
      <c r="P81" s="2149"/>
      <c r="Q81" s="2142"/>
      <c r="R81" s="1977"/>
      <c r="S81" s="1977"/>
      <c r="T81" s="1977"/>
      <c r="U81" s="1977"/>
      <c r="V81" s="1977"/>
      <c r="W81" s="1977"/>
      <c r="X81" s="1977"/>
      <c r="Y81" s="1977"/>
      <c r="Z81" s="1977"/>
      <c r="AA81" s="1977"/>
      <c r="AB81" s="1977"/>
      <c r="AC81" s="1977"/>
    </row>
    <row r="82" spans="1:29" s="1215" customFormat="1" ht="15.75" thickTop="1">
      <c r="A82" s="708"/>
      <c r="B82" s="672">
        <f>B26</f>
        <v>111</v>
      </c>
      <c r="C82" s="687"/>
      <c r="D82" s="687"/>
      <c r="E82" s="687"/>
      <c r="F82" s="687"/>
      <c r="G82" s="687"/>
      <c r="H82" s="687"/>
      <c r="I82" s="687"/>
      <c r="J82" s="687"/>
      <c r="K82" s="687"/>
      <c r="L82" s="889"/>
      <c r="M82" s="890"/>
      <c r="N82" s="2146"/>
      <c r="O82" s="2146"/>
      <c r="P82" s="2149"/>
      <c r="Q82" s="2142"/>
      <c r="R82" s="1977"/>
      <c r="S82" s="1977"/>
      <c r="T82" s="1977"/>
      <c r="U82" s="1977"/>
      <c r="V82" s="1977"/>
      <c r="W82" s="1977"/>
      <c r="X82" s="1977"/>
      <c r="Y82" s="1977"/>
      <c r="Z82" s="1977"/>
      <c r="AA82" s="1977"/>
      <c r="AB82" s="1977"/>
      <c r="AC82" s="1977"/>
    </row>
    <row r="83" spans="1:29" s="1215" customFormat="1" ht="15.75" thickBot="1">
      <c r="A83" s="708"/>
      <c r="B83" s="677"/>
      <c r="C83" s="691"/>
      <c r="D83" s="670"/>
      <c r="E83" s="670"/>
      <c r="F83" s="670"/>
      <c r="G83" s="670"/>
      <c r="H83" s="670"/>
      <c r="I83" s="670"/>
      <c r="J83" s="670"/>
      <c r="K83" s="670"/>
      <c r="L83" s="670"/>
      <c r="M83" s="671"/>
      <c r="N83" s="2150"/>
      <c r="O83" s="2150"/>
      <c r="P83" s="2149"/>
      <c r="Q83" s="2142"/>
      <c r="R83" s="1977"/>
      <c r="S83" s="1977"/>
      <c r="T83" s="1977"/>
      <c r="U83" s="1977"/>
      <c r="V83" s="1977"/>
      <c r="W83" s="1977"/>
      <c r="X83" s="1977"/>
      <c r="Y83" s="1977"/>
      <c r="Z83" s="1977"/>
      <c r="AA83" s="1977"/>
      <c r="AB83" s="1977"/>
      <c r="AC83" s="1977"/>
    </row>
    <row r="84" spans="1:29" s="1334" customFormat="1" ht="15.75" thickTop="1">
      <c r="A84" s="686"/>
      <c r="B84" s="672">
        <f>B27</f>
        <v>111</v>
      </c>
      <c r="C84" s="687"/>
      <c r="D84" s="687"/>
      <c r="E84" s="687"/>
      <c r="F84" s="687"/>
      <c r="G84" s="687"/>
      <c r="H84" s="687"/>
      <c r="I84" s="687"/>
      <c r="J84" s="687"/>
      <c r="K84" s="687"/>
      <c r="L84" s="889"/>
      <c r="M84" s="890"/>
      <c r="N84" s="2151"/>
      <c r="O84" s="2151"/>
      <c r="P84" s="2152"/>
      <c r="Q84" s="2153"/>
      <c r="R84" s="2154"/>
      <c r="S84" s="2154"/>
      <c r="T84" s="2154"/>
      <c r="U84" s="2154"/>
      <c r="V84" s="2154"/>
      <c r="W84" s="2154"/>
      <c r="X84" s="2154"/>
      <c r="Y84" s="2154"/>
      <c r="Z84" s="2154"/>
      <c r="AA84" s="2154"/>
      <c r="AB84" s="2154"/>
      <c r="AC84" s="2154"/>
    </row>
    <row r="85" spans="1:29" s="1334" customFormat="1" ht="15.75" thickBot="1">
      <c r="A85" s="686"/>
      <c r="B85" s="677"/>
      <c r="C85" s="691"/>
      <c r="D85" s="670"/>
      <c r="E85" s="670"/>
      <c r="F85" s="670"/>
      <c r="G85" s="670"/>
      <c r="H85" s="670"/>
      <c r="I85" s="670"/>
      <c r="J85" s="670"/>
      <c r="K85" s="670"/>
      <c r="L85" s="670"/>
      <c r="M85" s="671"/>
      <c r="N85" s="2151"/>
      <c r="O85" s="2151"/>
      <c r="P85" s="2152"/>
      <c r="Q85" s="2153"/>
      <c r="R85" s="2154"/>
      <c r="S85" s="2154"/>
      <c r="T85" s="2154"/>
      <c r="U85" s="2154"/>
      <c r="V85" s="2154"/>
      <c r="W85" s="2154"/>
      <c r="X85" s="2154"/>
      <c r="Y85" s="2154"/>
      <c r="Z85" s="2154"/>
      <c r="AA85" s="2154"/>
      <c r="AB85" s="2154"/>
      <c r="AC85" s="2154"/>
    </row>
    <row r="86" spans="1:29" ht="15.75" thickTop="1">
      <c r="A86" s="668"/>
      <c r="B86" s="680">
        <f>B28</f>
        <v>111</v>
      </c>
      <c r="C86" s="660"/>
      <c r="D86" s="660"/>
      <c r="E86" s="660"/>
      <c r="F86" s="660"/>
      <c r="G86" s="721"/>
      <c r="H86" s="721"/>
      <c r="I86" s="721"/>
      <c r="J86" s="721"/>
      <c r="K86" s="722"/>
      <c r="L86" s="723"/>
      <c r="M86" s="724"/>
      <c r="N86" s="2148"/>
      <c r="O86" s="2148"/>
      <c r="P86" s="2149"/>
      <c r="Q86" s="2142"/>
      <c r="R86" s="2129"/>
      <c r="S86" s="2129"/>
      <c r="T86" s="2129"/>
      <c r="U86" s="2129"/>
      <c r="V86" s="2129"/>
      <c r="W86" s="2129"/>
      <c r="X86" s="2129"/>
      <c r="Y86" s="2129"/>
      <c r="Z86" s="2129"/>
      <c r="AA86" s="2129"/>
      <c r="AB86" s="2129"/>
      <c r="AC86" s="2129"/>
    </row>
    <row r="87" spans="1:29" ht="15.75" thickBot="1">
      <c r="A87" s="892"/>
      <c r="B87" s="698"/>
      <c r="C87" s="699"/>
      <c r="D87" s="699"/>
      <c r="E87" s="699"/>
      <c r="F87" s="699"/>
      <c r="G87" s="725"/>
      <c r="H87" s="725"/>
      <c r="I87" s="725"/>
      <c r="J87" s="725"/>
      <c r="K87" s="725"/>
      <c r="L87" s="725"/>
      <c r="M87" s="726"/>
      <c r="N87" s="2150"/>
      <c r="O87" s="2150"/>
      <c r="P87" s="2149"/>
      <c r="Q87" s="2142"/>
      <c r="R87" s="2129"/>
      <c r="S87" s="2129"/>
      <c r="T87" s="2129"/>
      <c r="U87" s="2129"/>
      <c r="V87" s="2129"/>
      <c r="W87" s="2129"/>
      <c r="X87" s="2129"/>
      <c r="Y87" s="2129"/>
      <c r="Z87" s="2129"/>
      <c r="AA87" s="2129"/>
      <c r="AB87" s="2129"/>
      <c r="AC87" s="2129"/>
    </row>
    <row r="88" spans="1:29">
      <c r="A88" s="663" t="s">
        <v>551</v>
      </c>
      <c r="B88" s="664" t="s">
        <v>747</v>
      </c>
      <c r="C88" s="597"/>
      <c r="D88" s="597"/>
      <c r="E88" s="597"/>
      <c r="F88" s="597"/>
      <c r="G88" s="597"/>
      <c r="H88" s="597"/>
      <c r="I88" s="597"/>
      <c r="J88" s="597"/>
      <c r="K88" s="665"/>
      <c r="L88" s="666"/>
      <c r="M88" s="667"/>
      <c r="N88" s="2148"/>
      <c r="O88" s="2148"/>
      <c r="P88" s="2149"/>
      <c r="Q88" s="2142"/>
      <c r="R88" s="2129"/>
      <c r="S88" s="2129"/>
      <c r="T88" s="2129"/>
      <c r="U88" s="2129"/>
      <c r="V88" s="2129"/>
      <c r="W88" s="2129"/>
      <c r="X88" s="2129"/>
      <c r="Y88" s="2129"/>
      <c r="Z88" s="2129"/>
      <c r="AA88" s="2129"/>
      <c r="AB88" s="2129"/>
      <c r="AC88" s="2129"/>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6"/>
      <c r="O90" s="2146"/>
      <c r="P90" s="2149"/>
      <c r="Q90" s="2142"/>
      <c r="R90" s="2129"/>
      <c r="S90" s="2129"/>
      <c r="T90" s="2129"/>
      <c r="U90" s="2129"/>
      <c r="V90" s="2129"/>
      <c r="W90" s="2129"/>
      <c r="X90" s="2129"/>
      <c r="Y90" s="2129"/>
      <c r="Z90" s="2129"/>
      <c r="AA90" s="2129"/>
      <c r="AB90" s="2129"/>
      <c r="AC90" s="2129"/>
    </row>
    <row r="91" spans="1:29" s="1334" customFormat="1">
      <c r="A91" s="727"/>
      <c r="B91" s="728"/>
      <c r="C91" s="729"/>
      <c r="D91" s="729"/>
      <c r="E91" s="729"/>
      <c r="F91" s="729"/>
      <c r="G91" s="729"/>
      <c r="H91" s="729"/>
      <c r="I91" s="729"/>
      <c r="J91" s="730"/>
      <c r="K91" s="730"/>
      <c r="L91" s="731"/>
      <c r="M91" s="732"/>
      <c r="N91" s="2151"/>
      <c r="O91" s="2151"/>
      <c r="P91" s="2152"/>
      <c r="Q91" s="2153"/>
      <c r="R91" s="2154"/>
      <c r="S91" s="2154"/>
      <c r="T91" s="2154"/>
      <c r="U91" s="2154"/>
      <c r="V91" s="2154"/>
      <c r="W91" s="2154"/>
      <c r="X91" s="2154"/>
      <c r="Y91" s="2154"/>
      <c r="Z91" s="2154"/>
      <c r="AA91" s="2154"/>
      <c r="AB91" s="2154"/>
      <c r="AC91" s="2154"/>
    </row>
    <row r="92" spans="1:29" s="1334" customFormat="1" ht="15.75" thickBot="1">
      <c r="A92" s="686"/>
      <c r="B92" s="677"/>
      <c r="C92" s="691"/>
      <c r="D92" s="670"/>
      <c r="E92" s="670"/>
      <c r="F92" s="670"/>
      <c r="G92" s="670"/>
      <c r="H92" s="670"/>
      <c r="I92" s="670"/>
      <c r="J92" s="670"/>
      <c r="K92" s="670"/>
      <c r="L92" s="670"/>
      <c r="M92" s="671"/>
      <c r="N92" s="2150"/>
      <c r="O92" s="2150"/>
      <c r="P92" s="2152"/>
      <c r="Q92" s="2153"/>
      <c r="R92" s="2154"/>
      <c r="S92" s="2154"/>
      <c r="T92" s="2154"/>
      <c r="U92" s="2154"/>
      <c r="V92" s="2154"/>
      <c r="W92" s="2154"/>
      <c r="X92" s="2154"/>
      <c r="Y92" s="2154"/>
      <c r="Z92" s="2154"/>
      <c r="AA92" s="2154"/>
      <c r="AB92" s="2154"/>
      <c r="AC92" s="2154"/>
    </row>
    <row r="93" spans="1:29" ht="15" thickTop="1">
      <c r="A93" s="734"/>
      <c r="B93" s="672" t="s">
        <v>749</v>
      </c>
      <c r="C93" s="687"/>
      <c r="D93" s="687"/>
      <c r="E93" s="717"/>
      <c r="F93" s="717"/>
      <c r="G93" s="717"/>
      <c r="H93" s="717"/>
      <c r="I93" s="717"/>
      <c r="J93" s="717"/>
      <c r="K93" s="718"/>
      <c r="L93" s="719"/>
      <c r="M93" s="720"/>
      <c r="N93" s="2148"/>
      <c r="O93" s="2148"/>
      <c r="P93" s="2149"/>
      <c r="Q93" s="2142"/>
      <c r="R93" s="2129"/>
      <c r="S93" s="2129"/>
      <c r="T93" s="2129"/>
      <c r="U93" s="2129"/>
      <c r="V93" s="2129"/>
      <c r="W93" s="2129"/>
      <c r="X93" s="2129"/>
      <c r="Y93" s="2129"/>
      <c r="Z93" s="2129"/>
      <c r="AA93" s="2129"/>
      <c r="AB93" s="2129"/>
      <c r="AC93" s="2129"/>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4"/>
      <c r="B95" s="672" t="s">
        <v>751</v>
      </c>
      <c r="C95" s="687"/>
      <c r="D95" s="687"/>
      <c r="E95" s="687"/>
      <c r="F95" s="717"/>
      <c r="G95" s="717"/>
      <c r="H95" s="717"/>
      <c r="I95" s="717"/>
      <c r="J95" s="717"/>
      <c r="K95" s="718"/>
      <c r="L95" s="719"/>
      <c r="M95" s="720"/>
      <c r="N95" s="2148"/>
      <c r="O95" s="2148"/>
      <c r="P95" s="2149"/>
      <c r="Q95" s="2142"/>
      <c r="R95" s="2129"/>
      <c r="S95" s="2129"/>
      <c r="T95" s="2129"/>
      <c r="U95" s="2129"/>
      <c r="V95" s="2129"/>
      <c r="W95" s="2129"/>
      <c r="X95" s="2129"/>
      <c r="Y95" s="2129"/>
      <c r="Z95" s="2129"/>
      <c r="AA95" s="2129"/>
      <c r="AB95" s="2129"/>
      <c r="AC95" s="2129"/>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8"/>
      <c r="O97" s="2148"/>
      <c r="P97" s="2149"/>
      <c r="Q97" s="2142"/>
      <c r="R97" s="2129"/>
      <c r="S97" s="2129"/>
      <c r="T97" s="2129"/>
      <c r="U97" s="2129"/>
      <c r="V97" s="2129"/>
      <c r="W97" s="2129"/>
      <c r="X97" s="2129"/>
      <c r="Y97" s="2129"/>
      <c r="Z97" s="2129"/>
      <c r="AA97" s="2129"/>
      <c r="AB97" s="2129"/>
      <c r="AC97" s="2129"/>
    </row>
    <row r="98" spans="1:29">
      <c r="A98" s="734"/>
      <c r="B98" s="680"/>
      <c r="C98" s="893">
        <v>0.5</v>
      </c>
      <c r="D98" s="893">
        <v>0.6</v>
      </c>
      <c r="E98" s="893">
        <v>0.7</v>
      </c>
      <c r="F98" s="893">
        <v>0.8</v>
      </c>
      <c r="G98" s="893">
        <v>0.9</v>
      </c>
      <c r="H98" s="893">
        <v>1.0001</v>
      </c>
      <c r="I98" s="904"/>
      <c r="J98" s="904"/>
      <c r="K98" s="905"/>
      <c r="L98" s="906"/>
      <c r="M98" s="907"/>
      <c r="N98" s="2148"/>
      <c r="O98" s="2148"/>
      <c r="P98" s="2149"/>
      <c r="Q98" s="2142"/>
      <c r="R98" s="2129"/>
      <c r="S98" s="2129"/>
      <c r="T98" s="2129"/>
      <c r="U98" s="2129"/>
      <c r="V98" s="2129"/>
      <c r="W98" s="2129"/>
      <c r="X98" s="2129"/>
      <c r="Y98" s="2129"/>
      <c r="Z98" s="2129"/>
      <c r="AA98" s="2129"/>
      <c r="AB98" s="2129"/>
      <c r="AC98" s="2129"/>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50"/>
      <c r="O99" s="2150"/>
      <c r="P99" s="2149"/>
      <c r="Q99" s="2142"/>
      <c r="R99" s="2129"/>
      <c r="S99" s="2129"/>
      <c r="T99" s="2129"/>
      <c r="U99" s="2129"/>
      <c r="V99" s="2129"/>
      <c r="W99" s="2129"/>
      <c r="X99" s="2129"/>
      <c r="Y99" s="2129"/>
      <c r="Z99" s="2129"/>
      <c r="AA99" s="2129"/>
      <c r="AB99" s="2129"/>
      <c r="AC99" s="2129"/>
    </row>
    <row r="100" spans="1:29" s="1334" customFormat="1" ht="15" thickTop="1">
      <c r="A100" s="727"/>
      <c r="B100" s="672" t="s">
        <v>753</v>
      </c>
      <c r="C100" s="687"/>
      <c r="D100" s="687"/>
      <c r="E100" s="687"/>
      <c r="F100" s="687"/>
      <c r="G100" s="687"/>
      <c r="H100" s="717"/>
      <c r="I100" s="717"/>
      <c r="J100" s="717"/>
      <c r="K100" s="718"/>
      <c r="L100" s="719"/>
      <c r="M100" s="720"/>
      <c r="N100" s="2151"/>
      <c r="O100" s="2151"/>
      <c r="P100" s="2152"/>
      <c r="Q100" s="2153"/>
      <c r="R100" s="2154"/>
      <c r="S100" s="2154"/>
      <c r="T100" s="2154"/>
      <c r="U100" s="2154"/>
      <c r="V100" s="2154"/>
      <c r="W100" s="2154"/>
      <c r="X100" s="2154"/>
      <c r="Y100" s="2154"/>
      <c r="Z100" s="2154"/>
      <c r="AA100" s="2154"/>
      <c r="AB100" s="2154"/>
      <c r="AC100" s="2154"/>
    </row>
    <row r="101" spans="1:29" s="1334"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4"/>
      <c r="B102" s="1880" t="s">
        <v>2555</v>
      </c>
      <c r="C102" s="687"/>
      <c r="D102" s="687"/>
      <c r="E102" s="687"/>
      <c r="F102" s="687"/>
      <c r="G102" s="687"/>
      <c r="H102" s="717"/>
      <c r="I102" s="717"/>
      <c r="J102" s="717"/>
      <c r="K102" s="718"/>
      <c r="L102" s="719"/>
      <c r="M102" s="720"/>
      <c r="N102" s="2148"/>
      <c r="O102" s="2148"/>
      <c r="P102" s="2149"/>
      <c r="Q102" s="2142"/>
      <c r="R102" s="2129"/>
      <c r="S102" s="2129"/>
      <c r="T102" s="2129"/>
      <c r="U102" s="2129"/>
      <c r="V102" s="2129"/>
      <c r="W102" s="2129"/>
      <c r="X102" s="2129"/>
      <c r="Y102" s="2129"/>
      <c r="Z102" s="2129"/>
      <c r="AA102" s="2129"/>
      <c r="AB102" s="2129"/>
      <c r="AC102" s="2129"/>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4"/>
      <c r="B104" s="672" t="s">
        <v>755</v>
      </c>
      <c r="C104" s="687"/>
      <c r="D104" s="687"/>
      <c r="E104" s="687"/>
      <c r="F104" s="687"/>
      <c r="G104" s="687"/>
      <c r="H104" s="717"/>
      <c r="I104" s="717"/>
      <c r="J104" s="717"/>
      <c r="K104" s="718"/>
      <c r="L104" s="719"/>
      <c r="M104" s="720"/>
      <c r="N104" s="2148"/>
      <c r="O104" s="2148"/>
      <c r="P104" s="2149"/>
      <c r="Q104" s="2142"/>
      <c r="R104" s="2129"/>
      <c r="S104" s="2129"/>
      <c r="T104" s="2129"/>
      <c r="U104" s="2129"/>
      <c r="V104" s="2129"/>
      <c r="W104" s="2129"/>
      <c r="X104" s="2129"/>
      <c r="Y104" s="2129"/>
      <c r="Z104" s="2129"/>
      <c r="AA104" s="2129"/>
      <c r="AB104" s="2129"/>
      <c r="AC104" s="2129"/>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50"/>
      <c r="O105" s="2150"/>
      <c r="P105" s="2149"/>
      <c r="Q105" s="2142"/>
      <c r="R105" s="2129"/>
      <c r="S105" s="2129"/>
      <c r="T105" s="2129"/>
      <c r="U105" s="2129"/>
      <c r="V105" s="2129"/>
      <c r="W105" s="2129"/>
      <c r="X105" s="2129"/>
      <c r="Y105" s="2129"/>
      <c r="Z105" s="2129"/>
      <c r="AA105" s="2129"/>
      <c r="AB105" s="2129"/>
      <c r="AC105" s="2129"/>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50"/>
      <c r="O106" s="2150"/>
      <c r="P106" s="2189"/>
      <c r="Q106" s="2190"/>
      <c r="R106" s="2129"/>
      <c r="S106" s="2129"/>
      <c r="T106" s="2129"/>
      <c r="U106" s="2129"/>
      <c r="V106" s="2129"/>
      <c r="W106" s="2129"/>
      <c r="X106" s="2129"/>
      <c r="Y106" s="2129"/>
      <c r="Z106" s="2129"/>
      <c r="AA106" s="2129"/>
      <c r="AB106" s="2129"/>
      <c r="AC106" s="2129"/>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50"/>
      <c r="O107" s="2150"/>
      <c r="P107" s="2149"/>
      <c r="Q107" s="2142"/>
      <c r="R107" s="2129"/>
      <c r="S107" s="2129"/>
      <c r="T107" s="2129"/>
      <c r="U107" s="2129"/>
      <c r="V107" s="2129"/>
      <c r="W107" s="2129"/>
      <c r="X107" s="2129"/>
      <c r="Y107" s="2129"/>
      <c r="Z107" s="2129"/>
      <c r="AA107" s="2129"/>
      <c r="AB107" s="2129"/>
      <c r="AC107" s="2129"/>
    </row>
    <row r="108" spans="1:29" s="1334" customFormat="1" ht="15" thickTop="1">
      <c r="A108" s="727"/>
      <c r="B108" s="672">
        <f>B38</f>
        <v>111</v>
      </c>
      <c r="C108" s="687"/>
      <c r="D108" s="687"/>
      <c r="E108" s="687"/>
      <c r="F108" s="687"/>
      <c r="G108" s="687"/>
      <c r="H108" s="688"/>
      <c r="I108" s="688"/>
      <c r="J108" s="688"/>
      <c r="K108" s="688"/>
      <c r="L108" s="689"/>
      <c r="M108" s="690"/>
      <c r="N108" s="2151"/>
      <c r="O108" s="2151"/>
      <c r="P108" s="2152"/>
      <c r="Q108" s="2153"/>
      <c r="R108" s="2154"/>
      <c r="S108" s="2154"/>
      <c r="T108" s="2154"/>
      <c r="U108" s="2154"/>
      <c r="V108" s="2154"/>
      <c r="W108" s="2154"/>
      <c r="X108" s="2154"/>
      <c r="Y108" s="2154"/>
      <c r="Z108" s="2154"/>
      <c r="AA108" s="2154"/>
      <c r="AB108" s="2154"/>
      <c r="AC108" s="2154"/>
    </row>
    <row r="109" spans="1:29" s="1334" customFormat="1" ht="15.75" thickBot="1">
      <c r="A109" s="686"/>
      <c r="B109" s="669"/>
      <c r="C109" s="691"/>
      <c r="D109" s="670"/>
      <c r="E109" s="670"/>
      <c r="F109" s="670"/>
      <c r="G109" s="691"/>
      <c r="H109" s="692"/>
      <c r="I109" s="692"/>
      <c r="J109" s="692"/>
      <c r="K109" s="692"/>
      <c r="L109" s="692"/>
      <c r="M109" s="693"/>
      <c r="N109" s="2151"/>
      <c r="O109" s="2151"/>
      <c r="P109" s="2152"/>
      <c r="Q109" s="2153"/>
      <c r="R109" s="2154"/>
      <c r="S109" s="2154"/>
      <c r="T109" s="2154"/>
      <c r="U109" s="2154"/>
      <c r="V109" s="2154"/>
      <c r="W109" s="2154"/>
      <c r="X109" s="2154"/>
      <c r="Y109" s="2154"/>
      <c r="Z109" s="2154"/>
      <c r="AA109" s="2154"/>
      <c r="AB109" s="2154"/>
      <c r="AC109" s="2154"/>
    </row>
    <row r="110" spans="1:29" ht="15" thickTop="1">
      <c r="A110" s="734"/>
      <c r="B110" s="672">
        <f>B39</f>
        <v>111</v>
      </c>
      <c r="C110" s="687"/>
      <c r="D110" s="687"/>
      <c r="E110" s="687"/>
      <c r="F110" s="687"/>
      <c r="G110" s="687"/>
      <c r="H110" s="688"/>
      <c r="I110" s="688"/>
      <c r="J110" s="688"/>
      <c r="K110" s="688"/>
      <c r="L110" s="689"/>
      <c r="M110" s="690"/>
      <c r="N110" s="2148"/>
      <c r="O110" s="2148"/>
      <c r="P110" s="2149"/>
      <c r="Q110" s="2142"/>
      <c r="R110" s="2129"/>
      <c r="S110" s="2129"/>
      <c r="T110" s="2129"/>
      <c r="U110" s="2129"/>
      <c r="V110" s="2129"/>
      <c r="W110" s="2129"/>
      <c r="X110" s="2129"/>
      <c r="Y110" s="2129"/>
      <c r="Z110" s="2129"/>
      <c r="AA110" s="2129"/>
      <c r="AB110" s="2129"/>
      <c r="AC110" s="2129"/>
    </row>
    <row r="111" spans="1:29" ht="15.75" thickBot="1">
      <c r="A111" s="668"/>
      <c r="B111" s="677"/>
      <c r="C111" s="691"/>
      <c r="D111" s="670"/>
      <c r="E111" s="670"/>
      <c r="F111" s="670"/>
      <c r="G111" s="691"/>
      <c r="H111" s="692"/>
      <c r="I111" s="692"/>
      <c r="J111" s="692"/>
      <c r="K111" s="692"/>
      <c r="L111" s="692"/>
      <c r="M111" s="693"/>
      <c r="N111" s="2150"/>
      <c r="O111" s="2150"/>
      <c r="P111" s="2149"/>
      <c r="Q111" s="2142"/>
      <c r="R111" s="2129"/>
      <c r="S111" s="2129"/>
      <c r="T111" s="2129"/>
      <c r="U111" s="2129"/>
      <c r="V111" s="2129"/>
      <c r="W111" s="2129"/>
      <c r="X111" s="2129"/>
      <c r="Y111" s="2129"/>
      <c r="Z111" s="2129"/>
      <c r="AA111" s="2129"/>
      <c r="AB111" s="2129"/>
      <c r="AC111" s="2129"/>
    </row>
    <row r="112" spans="1:29" ht="15" thickTop="1">
      <c r="A112" s="734"/>
      <c r="B112" s="680">
        <f>B40</f>
        <v>111</v>
      </c>
      <c r="C112" s="660"/>
      <c r="D112" s="660"/>
      <c r="E112" s="660"/>
      <c r="F112" s="660"/>
      <c r="G112" s="721"/>
      <c r="H112" s="721"/>
      <c r="I112" s="721"/>
      <c r="J112" s="721"/>
      <c r="K112" s="660"/>
      <c r="L112" s="661"/>
      <c r="M112" s="724"/>
      <c r="N112" s="2148"/>
      <c r="O112" s="2148"/>
      <c r="P112" s="2149"/>
      <c r="Q112" s="2142"/>
      <c r="R112" s="2129"/>
      <c r="S112" s="2129"/>
      <c r="T112" s="2129"/>
      <c r="U112" s="2129"/>
      <c r="V112" s="2129"/>
      <c r="W112" s="2129"/>
      <c r="X112" s="2129"/>
      <c r="Y112" s="2129"/>
      <c r="Z112" s="2129"/>
      <c r="AA112" s="2129"/>
      <c r="AB112" s="2129"/>
      <c r="AC112" s="2129"/>
    </row>
    <row r="113" spans="1:29" ht="15.75" thickBot="1">
      <c r="A113" s="892"/>
      <c r="B113" s="698"/>
      <c r="C113" s="699"/>
      <c r="D113" s="699"/>
      <c r="E113" s="699"/>
      <c r="F113" s="699"/>
      <c r="G113" s="725"/>
      <c r="H113" s="725"/>
      <c r="I113" s="725"/>
      <c r="J113" s="725"/>
      <c r="K113" s="725"/>
      <c r="L113" s="725"/>
      <c r="M113" s="726"/>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922"/>
      <c r="C1" s="503" t="s">
        <v>792</v>
      </c>
      <c r="D1" s="848"/>
      <c r="E1" s="505"/>
      <c r="F1" s="2761"/>
      <c r="G1" s="1585" t="s">
        <v>793</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794</v>
      </c>
      <c r="B2" s="849"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8" t="s">
        <v>795</v>
      </c>
      <c r="B3" s="509" t="e">
        <f>IF(B37="元/平方米",C39,ROUND(B2*10000/D3,0))</f>
        <v>#DIV/0!</v>
      </c>
      <c r="C3" s="851" t="s">
        <v>796</v>
      </c>
      <c r="D3" s="850">
        <f>SUMIF('数据-汇总表'!$C19:$C33,D1,'数据-汇总表'!$E19:$E33)</f>
        <v>0</v>
      </c>
      <c r="E3" s="1832" t="s">
        <v>2076</v>
      </c>
      <c r="F3" s="850">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7"/>
    </row>
    <row r="4" spans="1:29" ht="15">
      <c r="A4" s="511" t="s">
        <v>797</v>
      </c>
      <c r="B4" s="512"/>
      <c r="C4" s="4023" t="s">
        <v>798</v>
      </c>
      <c r="D4" s="4024"/>
      <c r="E4" s="4023" t="s">
        <v>799</v>
      </c>
      <c r="F4" s="4024"/>
      <c r="G4" s="4023" t="s">
        <v>800</v>
      </c>
      <c r="H4" s="4024"/>
      <c r="I4" s="4023" t="s">
        <v>801</v>
      </c>
      <c r="J4" s="4024"/>
      <c r="K4" s="513" t="s">
        <v>802</v>
      </c>
      <c r="L4" s="2117"/>
      <c r="M4" s="2118"/>
      <c r="N4" s="2118"/>
      <c r="O4" s="2118"/>
      <c r="P4" s="4025" t="s">
        <v>803</v>
      </c>
      <c r="Q4" s="4026"/>
      <c r="R4" s="4011" t="s">
        <v>799</v>
      </c>
      <c r="S4" s="4012"/>
      <c r="T4" s="4011" t="s">
        <v>800</v>
      </c>
      <c r="U4" s="4012"/>
      <c r="V4" s="4031" t="s">
        <v>801</v>
      </c>
      <c r="W4" s="4031"/>
      <c r="X4" s="1552"/>
      <c r="Y4" s="4011" t="s">
        <v>803</v>
      </c>
      <c r="Z4" s="4012"/>
      <c r="AA4" s="4006" t="s">
        <v>799</v>
      </c>
      <c r="AB4" s="4007" t="s">
        <v>800</v>
      </c>
      <c r="AC4" s="4006" t="s">
        <v>801</v>
      </c>
    </row>
    <row r="5" spans="1:29" ht="15">
      <c r="A5" s="514"/>
      <c r="B5" s="515"/>
      <c r="C5" s="4034" t="s">
        <v>2926</v>
      </c>
      <c r="D5" s="4035"/>
      <c r="E5" s="4034" t="s">
        <v>2927</v>
      </c>
      <c r="F5" s="4035"/>
      <c r="G5" s="4034" t="s">
        <v>2928</v>
      </c>
      <c r="H5" s="4035"/>
      <c r="I5" s="4034" t="s">
        <v>2929</v>
      </c>
      <c r="J5" s="4035"/>
      <c r="K5" s="513"/>
      <c r="L5" s="2117"/>
      <c r="M5" s="2118"/>
      <c r="N5" s="2118"/>
      <c r="O5" s="2118"/>
      <c r="P5" s="4027"/>
      <c r="Q5" s="4028"/>
      <c r="R5" s="4013"/>
      <c r="S5" s="4014"/>
      <c r="T5" s="4013"/>
      <c r="U5" s="4014"/>
      <c r="V5" s="4031"/>
      <c r="W5" s="4031"/>
      <c r="X5" s="1552"/>
      <c r="Y5" s="4013"/>
      <c r="Z5" s="4014"/>
      <c r="AA5" s="4007"/>
      <c r="AB5" s="4007"/>
      <c r="AC5" s="4007"/>
    </row>
    <row r="6" spans="1:29" ht="15.75" thickBot="1">
      <c r="A6" s="516"/>
      <c r="B6" s="517"/>
      <c r="C6" s="4032" t="s">
        <v>2930</v>
      </c>
      <c r="D6" s="4033"/>
      <c r="E6" s="4036" t="s">
        <v>2930</v>
      </c>
      <c r="F6" s="4037"/>
      <c r="G6" s="4032" t="s">
        <v>2930</v>
      </c>
      <c r="H6" s="4033"/>
      <c r="I6" s="4032" t="s">
        <v>2930</v>
      </c>
      <c r="J6" s="4033"/>
      <c r="K6" s="513" t="s">
        <v>528</v>
      </c>
      <c r="L6" s="2117"/>
      <c r="M6" s="2118"/>
      <c r="N6" s="2118"/>
      <c r="O6" s="2118"/>
      <c r="P6" s="4029"/>
      <c r="Q6" s="4030"/>
      <c r="R6" s="4013"/>
      <c r="S6" s="4014"/>
      <c r="T6" s="4015"/>
      <c r="U6" s="4016"/>
      <c r="V6" s="4031"/>
      <c r="W6" s="4031"/>
      <c r="X6" s="1552"/>
      <c r="Y6" s="4015"/>
      <c r="Z6" s="4016"/>
      <c r="AA6" s="4008"/>
      <c r="AB6" s="4008"/>
      <c r="AC6" s="4008"/>
    </row>
    <row r="7" spans="1:29" s="1215" customFormat="1" ht="15.75" thickBot="1">
      <c r="A7" s="2865"/>
      <c r="B7" s="2872" t="s">
        <v>529</v>
      </c>
      <c r="C7" s="518">
        <f>'数据-取费表'!B2</f>
        <v>43647</v>
      </c>
      <c r="D7" s="519">
        <v>100</v>
      </c>
      <c r="E7" s="520"/>
      <c r="F7" s="521">
        <f>SUMIF(48:48,YEAR(E7)&amp;"-"&amp;MONTH(E7),49:49)</f>
        <v>0</v>
      </c>
      <c r="G7" s="522"/>
      <c r="H7" s="519">
        <f>SUMIF(48:48,YEAR(G7)&amp;"-"&amp;MONTH(G7),49:49)</f>
        <v>0</v>
      </c>
      <c r="I7" s="522"/>
      <c r="J7" s="519">
        <f>SUMIF(48:48,YEAR(I7)&amp;"-"&amp;MONTH(I7),49:49)</f>
        <v>0</v>
      </c>
      <c r="K7" s="523"/>
      <c r="L7" s="2119"/>
      <c r="M7" s="2120"/>
      <c r="N7" s="2120"/>
      <c r="O7" s="2120"/>
      <c r="P7" s="4009" t="s">
        <v>530</v>
      </c>
      <c r="Q7" s="4018"/>
      <c r="R7" s="1553" t="s">
        <v>8</v>
      </c>
      <c r="S7" s="1554">
        <f t="shared" ref="S7:S14" si="0">F7</f>
        <v>0</v>
      </c>
      <c r="T7" s="1553" t="s">
        <v>8</v>
      </c>
      <c r="U7" s="1554">
        <f t="shared" ref="U7:U14" si="1">H7</f>
        <v>0</v>
      </c>
      <c r="V7" s="1553" t="s">
        <v>8</v>
      </c>
      <c r="W7" s="1554">
        <f t="shared" ref="W7:W14" si="2">J7</f>
        <v>0</v>
      </c>
      <c r="X7" s="1555"/>
      <c r="Y7" s="4009" t="s">
        <v>530</v>
      </c>
      <c r="Z7" s="4010"/>
      <c r="AA7" s="1556" t="e">
        <f>D7/F7</f>
        <v>#DIV/0!</v>
      </c>
      <c r="AB7" s="1556" t="e">
        <f>D7/H7</f>
        <v>#DIV/0!</v>
      </c>
      <c r="AC7" s="1556" t="e">
        <f>D7/J7</f>
        <v>#DIV/0!</v>
      </c>
    </row>
    <row r="8" spans="1:29" s="1215" customFormat="1" ht="15.75" thickBot="1">
      <c r="A8" s="2866"/>
      <c r="B8" s="2873" t="s">
        <v>531</v>
      </c>
      <c r="C8" s="524" t="s">
        <v>576</v>
      </c>
      <c r="D8" s="519">
        <v>100</v>
      </c>
      <c r="E8" s="524"/>
      <c r="F8" s="521">
        <f>SUMIF(51:51,E8,52:52)-SUMIF(51:51,C8,52:52)+100</f>
        <v>0</v>
      </c>
      <c r="G8" s="524"/>
      <c r="H8" s="519">
        <f>SUMIF(51:51,G8,52:52)-SUMIF(51:51,C8,52:52)+100</f>
        <v>0</v>
      </c>
      <c r="I8" s="524"/>
      <c r="J8" s="519">
        <f>SUMIF(51:51,I8,52:52)-SUMIF(51:51,C8,52:52)+100</f>
        <v>0</v>
      </c>
      <c r="K8" s="523"/>
      <c r="L8" s="2119"/>
      <c r="M8" s="2120"/>
      <c r="N8" s="2120"/>
      <c r="O8" s="2120"/>
      <c r="P8" s="4009" t="s">
        <v>533</v>
      </c>
      <c r="Q8" s="4010"/>
      <c r="R8" s="1553" t="s">
        <v>8</v>
      </c>
      <c r="S8" s="1554">
        <f t="shared" si="0"/>
        <v>0</v>
      </c>
      <c r="T8" s="1553" t="s">
        <v>8</v>
      </c>
      <c r="U8" s="1554">
        <f t="shared" si="1"/>
        <v>0</v>
      </c>
      <c r="V8" s="1553" t="s">
        <v>8</v>
      </c>
      <c r="W8" s="1554">
        <f t="shared" si="2"/>
        <v>0</v>
      </c>
      <c r="X8" s="1555"/>
      <c r="Y8" s="4009" t="s">
        <v>533</v>
      </c>
      <c r="Z8" s="4010"/>
      <c r="AA8" s="1556" t="e">
        <f t="shared" ref="AA8:AA36" si="3">D8/F8</f>
        <v>#DIV/0!</v>
      </c>
      <c r="AB8" s="1556" t="e">
        <f t="shared" ref="AB8:AB36" si="4">D8/H8</f>
        <v>#DIV/0!</v>
      </c>
      <c r="AC8" s="1556" t="e">
        <f t="shared" ref="AC8:AC36" si="5">D8/J8</f>
        <v>#DIV/0!</v>
      </c>
    </row>
    <row r="9" spans="1:29" s="1215" customFormat="1" ht="15">
      <c r="A9" s="2867"/>
      <c r="B9" s="2874" t="s">
        <v>2755</v>
      </c>
      <c r="C9" s="856"/>
      <c r="D9" s="253">
        <v>100</v>
      </c>
      <c r="E9" s="859"/>
      <c r="F9" s="253">
        <f>SUMIF(53:53,E9,54:54)-SUMIF(53:53,C9,54:54)+100</f>
        <v>100</v>
      </c>
      <c r="G9" s="857"/>
      <c r="H9" s="253">
        <f>SUMIF(53:53,G9,54:54)-SUMIF(53:53,C9,54:54)+100</f>
        <v>100</v>
      </c>
      <c r="I9" s="857"/>
      <c r="J9" s="253">
        <f>SUMIF(53:53,I9,54:54)-SUMIF(53:53,C9,54:54)+100</f>
        <v>100</v>
      </c>
      <c r="K9" s="523"/>
      <c r="L9" s="2119"/>
      <c r="M9" s="2120"/>
      <c r="N9" s="2120"/>
      <c r="O9" s="2121"/>
      <c r="P9" s="4017" t="s">
        <v>535</v>
      </c>
      <c r="Q9" s="1146" t="str">
        <f t="shared" ref="Q9:Q14" si="6">B9</f>
        <v>用途</v>
      </c>
      <c r="R9" s="1553" t="s">
        <v>8</v>
      </c>
      <c r="S9" s="1554">
        <f t="shared" si="0"/>
        <v>100</v>
      </c>
      <c r="T9" s="1553" t="s">
        <v>8</v>
      </c>
      <c r="U9" s="1554">
        <f t="shared" si="1"/>
        <v>100</v>
      </c>
      <c r="V9" s="1553" t="s">
        <v>8</v>
      </c>
      <c r="W9" s="1554">
        <f t="shared" si="2"/>
        <v>100</v>
      </c>
      <c r="X9" s="1555"/>
      <c r="Y9" s="3974" t="s">
        <v>536</v>
      </c>
      <c r="Z9" s="1145" t="str">
        <f t="shared" ref="Z9:Z14" si="7">Q9</f>
        <v>用途</v>
      </c>
      <c r="AA9" s="1556">
        <f t="shared" si="3"/>
        <v>1</v>
      </c>
      <c r="AB9" s="1556">
        <f t="shared" si="4"/>
        <v>1</v>
      </c>
      <c r="AC9" s="1556">
        <f t="shared" si="5"/>
        <v>1</v>
      </c>
    </row>
    <row r="10" spans="1:29" s="1333" customFormat="1" ht="27">
      <c r="A10" s="2868"/>
      <c r="B10" s="2873" t="s">
        <v>2756</v>
      </c>
      <c r="C10" s="860"/>
      <c r="D10" s="254">
        <v>100</v>
      </c>
      <c r="E10" s="860"/>
      <c r="F10" s="254">
        <f>SUMIF(55:55,E10,56:56)-SUMIF(55:55,C10,56:56)+100</f>
        <v>100</v>
      </c>
      <c r="G10" s="861"/>
      <c r="H10" s="254">
        <f>SUMIF(55:55,G10,56:56)-SUMIF(55:55,C10,56:56)+100</f>
        <v>100</v>
      </c>
      <c r="I10" s="860"/>
      <c r="J10" s="254">
        <f>SUMIF(55:55,I10,56:56)-SUMIF(55:55,C10,56:56)+100</f>
        <v>100</v>
      </c>
      <c r="K10" s="583"/>
      <c r="L10" s="2122"/>
      <c r="M10" s="2162"/>
      <c r="N10" s="2162"/>
      <c r="O10" s="2123"/>
      <c r="P10" s="4017"/>
      <c r="Q10" s="1146" t="str">
        <f t="shared" si="6"/>
        <v>土地使用年限（年）</v>
      </c>
      <c r="R10" s="1553" t="s">
        <v>8</v>
      </c>
      <c r="S10" s="1554">
        <f t="shared" si="0"/>
        <v>100</v>
      </c>
      <c r="T10" s="1553" t="s">
        <v>8</v>
      </c>
      <c r="U10" s="1554">
        <f t="shared" si="1"/>
        <v>100</v>
      </c>
      <c r="V10" s="1553" t="s">
        <v>8</v>
      </c>
      <c r="W10" s="1554">
        <f t="shared" si="2"/>
        <v>100</v>
      </c>
      <c r="X10" s="1555"/>
      <c r="Y10" s="3974"/>
      <c r="Z10" s="1145" t="str">
        <f t="shared" si="7"/>
        <v>土地使用年限（年）</v>
      </c>
      <c r="AA10" s="1556">
        <f t="shared" si="3"/>
        <v>1</v>
      </c>
      <c r="AB10" s="1556">
        <f t="shared" si="4"/>
        <v>1</v>
      </c>
      <c r="AC10" s="1556">
        <f t="shared" si="5"/>
        <v>1</v>
      </c>
    </row>
    <row r="11" spans="1:29" ht="15">
      <c r="A11" s="2870"/>
      <c r="B11" s="2876">
        <v>111</v>
      </c>
      <c r="C11" s="527"/>
      <c r="D11" s="254">
        <v>100</v>
      </c>
      <c r="E11" s="527"/>
      <c r="F11" s="254">
        <f>SUMIF(57:57,E11,58:58)-SUMIF(57:57,C11,58:58)+100</f>
        <v>100</v>
      </c>
      <c r="G11" s="527"/>
      <c r="H11" s="254">
        <f>SUMIF(57:57,G11,58:58)-SUMIF(57:57,C11,58:58)+100</f>
        <v>100</v>
      </c>
      <c r="I11" s="527"/>
      <c r="J11" s="254">
        <f>SUMIF(57:57,I11,58:58)-SUMIF(57:57,C11,58:58)+100</f>
        <v>100</v>
      </c>
      <c r="K11" s="580"/>
      <c r="L11" s="2124"/>
      <c r="M11" s="2118"/>
      <c r="N11" s="2118"/>
      <c r="O11" s="2125"/>
      <c r="P11" s="4017"/>
      <c r="Q11" s="1146">
        <f t="shared" si="6"/>
        <v>111</v>
      </c>
      <c r="R11" s="1553" t="s">
        <v>8</v>
      </c>
      <c r="S11" s="1554">
        <f t="shared" si="0"/>
        <v>100</v>
      </c>
      <c r="T11" s="1553" t="s">
        <v>8</v>
      </c>
      <c r="U11" s="1554">
        <f t="shared" si="1"/>
        <v>100</v>
      </c>
      <c r="V11" s="1553" t="s">
        <v>8</v>
      </c>
      <c r="W11" s="1554">
        <f t="shared" si="2"/>
        <v>100</v>
      </c>
      <c r="X11" s="1555"/>
      <c r="Y11" s="3974"/>
      <c r="Z11" s="1145">
        <f t="shared" si="7"/>
        <v>111</v>
      </c>
      <c r="AA11" s="1556">
        <f t="shared" si="3"/>
        <v>1</v>
      </c>
      <c r="AB11" s="1556">
        <f t="shared" si="4"/>
        <v>1</v>
      </c>
      <c r="AC11" s="1556">
        <f t="shared" si="5"/>
        <v>1</v>
      </c>
    </row>
    <row r="12" spans="1:29" s="1215" customFormat="1" ht="15">
      <c r="A12" s="2870"/>
      <c r="B12" s="2876">
        <v>111</v>
      </c>
      <c r="C12" s="527"/>
      <c r="D12" s="537">
        <v>100</v>
      </c>
      <c r="E12" s="527"/>
      <c r="F12" s="254">
        <f>SUMIF(59:59,E12,60:60)-SUMIF(59:59,C12,60:60)+100</f>
        <v>100</v>
      </c>
      <c r="G12" s="527"/>
      <c r="H12" s="254">
        <f>SUMIF(59:59,G12,60:60)-SUMIF(59:59,C12,60:60)+100</f>
        <v>100</v>
      </c>
      <c r="I12" s="527"/>
      <c r="J12" s="254">
        <f>SUMIF(59:59,I12,60:60)-SUMIF(59:59,C12,60:60)+100</f>
        <v>100</v>
      </c>
      <c r="K12" s="580"/>
      <c r="L12" s="2119"/>
      <c r="M12" s="2120"/>
      <c r="N12" s="2120"/>
      <c r="O12" s="2121"/>
      <c r="P12" s="4017"/>
      <c r="Q12" s="1146">
        <f t="shared" si="6"/>
        <v>111</v>
      </c>
      <c r="R12" s="1553" t="s">
        <v>8</v>
      </c>
      <c r="S12" s="1554">
        <f t="shared" si="0"/>
        <v>100</v>
      </c>
      <c r="T12" s="1553" t="s">
        <v>8</v>
      </c>
      <c r="U12" s="1554">
        <f t="shared" si="1"/>
        <v>100</v>
      </c>
      <c r="V12" s="1553" t="s">
        <v>8</v>
      </c>
      <c r="W12" s="1554">
        <f t="shared" si="2"/>
        <v>100</v>
      </c>
      <c r="X12" s="1555"/>
      <c r="Y12" s="3974"/>
      <c r="Z12" s="1145">
        <f t="shared" si="7"/>
        <v>111</v>
      </c>
      <c r="AA12" s="1556">
        <f>D12/F12</f>
        <v>1</v>
      </c>
      <c r="AB12" s="1556">
        <f>D12/H12</f>
        <v>1</v>
      </c>
      <c r="AC12" s="1556">
        <f>D12/J12</f>
        <v>1</v>
      </c>
    </row>
    <row r="13" spans="1:29" ht="15.75" thickBot="1">
      <c r="A13" s="2871"/>
      <c r="B13" s="2877">
        <v>111</v>
      </c>
      <c r="C13" s="538"/>
      <c r="D13" s="539">
        <v>100</v>
      </c>
      <c r="E13" s="527"/>
      <c r="F13" s="254">
        <f>SUMIF(61:61,E13,62:62)-SUMIF(61:61,C13,62:62)+100</f>
        <v>100</v>
      </c>
      <c r="G13" s="527"/>
      <c r="H13" s="539">
        <f>SUMIF(61:61,G13,62:62)-SUMIF(61:61,C13,62:62)+100</f>
        <v>100</v>
      </c>
      <c r="I13" s="527"/>
      <c r="J13" s="539">
        <f>SUMIF(61:61,I13,62:62)-SUMIF(61:61,C13,62:62)+100</f>
        <v>100</v>
      </c>
      <c r="K13" s="580"/>
      <c r="L13" s="2126"/>
      <c r="M13" s="2118"/>
      <c r="N13" s="2118"/>
      <c r="O13" s="2125"/>
      <c r="P13" s="4017"/>
      <c r="Q13" s="1146">
        <f t="shared" si="6"/>
        <v>111</v>
      </c>
      <c r="R13" s="1553" t="s">
        <v>8</v>
      </c>
      <c r="S13" s="1554">
        <f t="shared" si="0"/>
        <v>100</v>
      </c>
      <c r="T13" s="1553" t="s">
        <v>8</v>
      </c>
      <c r="U13" s="1554">
        <f t="shared" si="1"/>
        <v>100</v>
      </c>
      <c r="V13" s="1553" t="s">
        <v>8</v>
      </c>
      <c r="W13" s="1554">
        <f t="shared" si="2"/>
        <v>100</v>
      </c>
      <c r="X13" s="1555"/>
      <c r="Y13" s="3974"/>
      <c r="Z13" s="1145">
        <f t="shared" si="7"/>
        <v>111</v>
      </c>
      <c r="AA13" s="1556">
        <f t="shared" si="3"/>
        <v>1</v>
      </c>
      <c r="AB13" s="1556">
        <f t="shared" si="4"/>
        <v>1</v>
      </c>
      <c r="AC13" s="1556">
        <f t="shared" si="5"/>
        <v>1</v>
      </c>
    </row>
    <row r="14" spans="1:29" ht="128.25">
      <c r="A14" s="2863" t="s">
        <v>2753</v>
      </c>
      <c r="B14" s="546" t="s">
        <v>543</v>
      </c>
      <c r="C14" s="920" t="str">
        <f>IF(B1="工业",估价对象房地状况!G4,估价对象房地状况!C6)</f>
        <v>周边道路密集程度一般、公共交通通达情况一般，有107路，203路、等公交线路通过，停车便捷程度一般，综合评价交通便捷度一般。</v>
      </c>
      <c r="D14" s="548">
        <v>100</v>
      </c>
      <c r="E14" s="549"/>
      <c r="F14" s="550">
        <f>SUMIF(63:63,E15,64:64)-SUMIF(63:63,C15,64:64)+100</f>
        <v>100</v>
      </c>
      <c r="G14" s="551"/>
      <c r="H14" s="548">
        <f>SUMIF(63:63,G15,64:64)-SUMIF(63:63,C15,64:64)+100</f>
        <v>100</v>
      </c>
      <c r="I14" s="549"/>
      <c r="J14" s="548">
        <f>SUMIF(63:63,I15,64:64)-SUMIF(63:63,C15,64:64)+100</f>
        <v>100</v>
      </c>
      <c r="K14" s="897"/>
      <c r="L14" s="2126"/>
      <c r="M14" s="2118"/>
      <c r="N14" s="2118"/>
      <c r="O14" s="2125"/>
      <c r="P14" s="4019" t="s">
        <v>540</v>
      </c>
      <c r="Q14" s="1557" t="str">
        <f t="shared" si="6"/>
        <v>交通便捷度</v>
      </c>
      <c r="R14" s="1558" t="s">
        <v>8</v>
      </c>
      <c r="S14" s="1559">
        <f t="shared" si="0"/>
        <v>100</v>
      </c>
      <c r="T14" s="1558" t="s">
        <v>8</v>
      </c>
      <c r="U14" s="1559">
        <f t="shared" si="1"/>
        <v>100</v>
      </c>
      <c r="V14" s="1558" t="s">
        <v>8</v>
      </c>
      <c r="W14" s="1559">
        <f t="shared" si="2"/>
        <v>100</v>
      </c>
      <c r="X14" s="1552"/>
      <c r="Y14" s="4019" t="s">
        <v>540</v>
      </c>
      <c r="Z14" s="1560" t="str">
        <f t="shared" si="7"/>
        <v>交通便捷度</v>
      </c>
      <c r="AA14" s="1561">
        <f t="shared" si="3"/>
        <v>1</v>
      </c>
      <c r="AB14" s="1561">
        <f t="shared" si="4"/>
        <v>1</v>
      </c>
      <c r="AC14" s="1561">
        <f t="shared" si="5"/>
        <v>1</v>
      </c>
    </row>
    <row r="15" spans="1:29" ht="15">
      <c r="A15" s="514"/>
      <c r="B15" s="923"/>
      <c r="C15" s="575"/>
      <c r="D15" s="554"/>
      <c r="E15" s="575"/>
      <c r="F15" s="556"/>
      <c r="G15" s="575"/>
      <c r="H15" s="558"/>
      <c r="I15" s="575"/>
      <c r="J15" s="554"/>
      <c r="K15" s="898"/>
      <c r="L15" s="2126"/>
      <c r="M15" s="2118"/>
      <c r="N15" s="2118"/>
      <c r="O15" s="2125"/>
      <c r="P15" s="4020"/>
      <c r="Q15" s="1557"/>
      <c r="R15" s="1558"/>
      <c r="S15" s="1559"/>
      <c r="T15" s="1558"/>
      <c r="U15" s="1559"/>
      <c r="V15" s="1558"/>
      <c r="W15" s="1559"/>
      <c r="X15" s="1552"/>
      <c r="Y15" s="4020"/>
      <c r="Z15" s="1560"/>
      <c r="AA15" s="1561">
        <v>1</v>
      </c>
      <c r="AB15" s="1561">
        <v>1</v>
      </c>
      <c r="AC15" s="1561">
        <v>1</v>
      </c>
    </row>
    <row r="16" spans="1:29" ht="128.25">
      <c r="A16" s="514"/>
      <c r="B16" s="2566" t="s">
        <v>2545</v>
      </c>
      <c r="C16" s="871" t="str">
        <f>IF(B1="工业",估价对象房地状况!G5,估价对象房地状况!C7)</f>
        <v>所在区域2公里范围内有银行（中国邮政储蓄银行）、学校（巴川中学）、商业（无）、医院（无）等配套设施，公共配套设施一般；</v>
      </c>
      <c r="D16" s="564">
        <v>100</v>
      </c>
      <c r="E16" s="571"/>
      <c r="F16" s="570">
        <f>SUMIF(65:65,E17,66:66)-SUMIF(65:65,C17,66:66)+100</f>
        <v>100</v>
      </c>
      <c r="G16" s="571"/>
      <c r="H16" s="564">
        <f>SUMIF(65:65,G17,66:66)-SUMIF(65:65,C17,66:66)+100</f>
        <v>100</v>
      </c>
      <c r="I16" s="569"/>
      <c r="J16" s="564">
        <f>SUMIF(65:65,I17,66:66)-SUMIF(65:65,C17,66:66)+100</f>
        <v>100</v>
      </c>
      <c r="K16" s="897"/>
      <c r="L16" s="2126"/>
      <c r="M16" s="2118"/>
      <c r="N16" s="2118"/>
      <c r="O16" s="2125"/>
      <c r="P16" s="4020"/>
      <c r="Q16" s="1557" t="str">
        <f>B16</f>
        <v>公共配套设施</v>
      </c>
      <c r="R16" s="1558" t="s">
        <v>8</v>
      </c>
      <c r="S16" s="1559">
        <f>F16</f>
        <v>100</v>
      </c>
      <c r="T16" s="1558" t="s">
        <v>8</v>
      </c>
      <c r="U16" s="1559">
        <f>H16</f>
        <v>100</v>
      </c>
      <c r="V16" s="1558" t="s">
        <v>8</v>
      </c>
      <c r="W16" s="1559">
        <f>J16</f>
        <v>100</v>
      </c>
      <c r="X16" s="1552"/>
      <c r="Y16" s="4020"/>
      <c r="Z16" s="1560" t="str">
        <f>Q16</f>
        <v>公共配套设施</v>
      </c>
      <c r="AA16" s="1561">
        <f t="shared" si="3"/>
        <v>1</v>
      </c>
      <c r="AB16" s="1561">
        <f t="shared" si="4"/>
        <v>1</v>
      </c>
      <c r="AC16" s="1561">
        <f t="shared" si="5"/>
        <v>1</v>
      </c>
    </row>
    <row r="17" spans="1:29" ht="15">
      <c r="A17" s="514"/>
      <c r="B17" s="565"/>
      <c r="C17" s="872"/>
      <c r="D17" s="554"/>
      <c r="E17" s="575"/>
      <c r="F17" s="556"/>
      <c r="G17" s="575"/>
      <c r="H17" s="554"/>
      <c r="I17" s="575"/>
      <c r="J17" s="554"/>
      <c r="K17" s="898"/>
      <c r="L17" s="2126"/>
      <c r="M17" s="2118"/>
      <c r="N17" s="2118"/>
      <c r="O17" s="2125"/>
      <c r="P17" s="4020"/>
      <c r="Q17" s="1557"/>
      <c r="R17" s="1558"/>
      <c r="S17" s="1559"/>
      <c r="T17" s="1558"/>
      <c r="U17" s="1559"/>
      <c r="V17" s="1558"/>
      <c r="W17" s="1559"/>
      <c r="X17" s="1552"/>
      <c r="Y17" s="4020"/>
      <c r="Z17" s="1560"/>
      <c r="AA17" s="1561">
        <v>1</v>
      </c>
      <c r="AB17" s="1561">
        <v>1</v>
      </c>
      <c r="AC17" s="1561">
        <v>1</v>
      </c>
    </row>
    <row r="18" spans="1:29" ht="28.5">
      <c r="A18" s="514"/>
      <c r="B18" s="2554" t="s">
        <v>2557</v>
      </c>
      <c r="C18" s="871" t="str">
        <f>IF(B1="工业",估价对象房地状况!G6,估价对象房地状况!C8)</f>
        <v>所在区域基础设施水平达六通</v>
      </c>
      <c r="D18" s="558">
        <v>100</v>
      </c>
      <c r="E18" s="571"/>
      <c r="F18" s="570">
        <f>SUMIF(67:67,E19,68:68)-SUMIF(67:67,C19,68:68)+100</f>
        <v>100</v>
      </c>
      <c r="G18" s="571"/>
      <c r="H18" s="564">
        <f>SUMIF(67:67,G19,68:68)-SUMIF(67:67,C19,68:68)+100</f>
        <v>100</v>
      </c>
      <c r="I18" s="569"/>
      <c r="J18" s="564">
        <f>SUMIF(67:67,I19,68:68)-SUMIF(67:67,C19,68:68)+100</f>
        <v>100</v>
      </c>
      <c r="K18" s="897"/>
      <c r="L18" s="2126"/>
      <c r="M18" s="2118"/>
      <c r="N18" s="2118"/>
      <c r="O18" s="2125"/>
      <c r="P18" s="4020"/>
      <c r="Q18" s="2542" t="str">
        <f>B18</f>
        <v>基础设施水平</v>
      </c>
      <c r="R18" s="1558" t="s">
        <v>8</v>
      </c>
      <c r="S18" s="1559">
        <f>F18</f>
        <v>100</v>
      </c>
      <c r="T18" s="1558" t="s">
        <v>8</v>
      </c>
      <c r="U18" s="1559">
        <f>H18</f>
        <v>100</v>
      </c>
      <c r="V18" s="1558" t="s">
        <v>8</v>
      </c>
      <c r="W18" s="1559">
        <f>J18</f>
        <v>100</v>
      </c>
      <c r="X18" s="2544"/>
      <c r="Y18" s="4020"/>
      <c r="Z18" s="2543" t="str">
        <f>Q18</f>
        <v>基础设施水平</v>
      </c>
      <c r="AA18" s="1561">
        <f t="shared" ref="AA18" si="8">D18/F18</f>
        <v>1</v>
      </c>
      <c r="AB18" s="1561">
        <f t="shared" ref="AB18" si="9">D18/H18</f>
        <v>1</v>
      </c>
      <c r="AC18" s="1561">
        <f t="shared" ref="AC18" si="10">D18/J18</f>
        <v>1</v>
      </c>
    </row>
    <row r="19" spans="1:29" ht="15">
      <c r="A19" s="514"/>
      <c r="B19" s="577"/>
      <c r="C19" s="872"/>
      <c r="D19" s="558"/>
      <c r="E19" s="575"/>
      <c r="F19" s="556"/>
      <c r="G19" s="575"/>
      <c r="H19" s="554"/>
      <c r="I19" s="575"/>
      <c r="J19" s="554"/>
      <c r="K19" s="2565"/>
      <c r="L19" s="2126"/>
      <c r="M19" s="2118"/>
      <c r="N19" s="2118"/>
      <c r="O19" s="2125"/>
      <c r="P19" s="4020"/>
      <c r="Q19" s="2542"/>
      <c r="R19" s="1558"/>
      <c r="S19" s="1559"/>
      <c r="T19" s="1558"/>
      <c r="U19" s="1559"/>
      <c r="V19" s="1558"/>
      <c r="W19" s="1559"/>
      <c r="X19" s="2544"/>
      <c r="Y19" s="4020"/>
      <c r="Z19" s="2543"/>
      <c r="AA19" s="1561">
        <v>1</v>
      </c>
      <c r="AB19" s="1561">
        <v>1</v>
      </c>
      <c r="AC19" s="1561">
        <v>1</v>
      </c>
    </row>
    <row r="20" spans="1:29" ht="85.5">
      <c r="A20" s="514"/>
      <c r="B20" s="559" t="s">
        <v>804</v>
      </c>
      <c r="C20" s="871" t="str">
        <f>IF(B1="工业",估价对象房地状况!G7,估价对象房地状况!C9)</f>
        <v>周边自然环境（项目内部天鹅湖）；人文环境（潼南区图书馆），综合评价环境状况较好；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26"/>
      <c r="M20" s="2118"/>
      <c r="N20" s="2118"/>
      <c r="O20" s="2125"/>
      <c r="P20" s="4020"/>
      <c r="Q20" s="1557" t="str">
        <f>B20</f>
        <v>自然及人文环境</v>
      </c>
      <c r="R20" s="1558" t="s">
        <v>8</v>
      </c>
      <c r="S20" s="1559">
        <f>F20</f>
        <v>100</v>
      </c>
      <c r="T20" s="1558" t="s">
        <v>8</v>
      </c>
      <c r="U20" s="1559">
        <f>H20</f>
        <v>100</v>
      </c>
      <c r="V20" s="1558" t="s">
        <v>8</v>
      </c>
      <c r="W20" s="1559">
        <f>J20</f>
        <v>100</v>
      </c>
      <c r="X20" s="1552"/>
      <c r="Y20" s="4020"/>
      <c r="Z20" s="1560" t="str">
        <f>Q20</f>
        <v>自然及人文环境</v>
      </c>
      <c r="AA20" s="1561">
        <f t="shared" si="3"/>
        <v>1</v>
      </c>
      <c r="AB20" s="1561">
        <f t="shared" si="4"/>
        <v>1</v>
      </c>
      <c r="AC20" s="1561">
        <f t="shared" si="5"/>
        <v>1</v>
      </c>
    </row>
    <row r="21" spans="1:29" ht="15">
      <c r="A21" s="514"/>
      <c r="B21" s="565"/>
      <c r="C21" s="575"/>
      <c r="D21" s="554"/>
      <c r="E21" s="575"/>
      <c r="F21" s="556"/>
      <c r="G21" s="575"/>
      <c r="H21" s="554"/>
      <c r="I21" s="575"/>
      <c r="J21" s="554"/>
      <c r="K21" s="898"/>
      <c r="L21" s="2126"/>
      <c r="M21" s="2118"/>
      <c r="N21" s="2118"/>
      <c r="O21" s="2125"/>
      <c r="P21" s="4020"/>
      <c r="Q21" s="1557"/>
      <c r="R21" s="1558"/>
      <c r="S21" s="1559"/>
      <c r="T21" s="1558"/>
      <c r="U21" s="1559"/>
      <c r="V21" s="1558"/>
      <c r="W21" s="1559"/>
      <c r="X21" s="1552"/>
      <c r="Y21" s="4020"/>
      <c r="Z21" s="1560"/>
      <c r="AA21" s="1561">
        <v>1</v>
      </c>
      <c r="AB21" s="1561">
        <v>1</v>
      </c>
      <c r="AC21" s="1561">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6"/>
      <c r="M22" s="2118"/>
      <c r="N22" s="2118"/>
      <c r="O22" s="2125"/>
      <c r="P22" s="4020"/>
      <c r="Q22" s="1557" t="str">
        <f>B22</f>
        <v>楼层</v>
      </c>
      <c r="R22" s="1558" t="s">
        <v>8</v>
      </c>
      <c r="S22" s="1559">
        <f>F22</f>
        <v>100</v>
      </c>
      <c r="T22" s="1558" t="s">
        <v>8</v>
      </c>
      <c r="U22" s="1559">
        <f>H22</f>
        <v>100</v>
      </c>
      <c r="V22" s="1558" t="s">
        <v>8</v>
      </c>
      <c r="W22" s="1559">
        <f>J22</f>
        <v>100</v>
      </c>
      <c r="X22" s="1552"/>
      <c r="Y22" s="4020"/>
      <c r="Z22" s="1560" t="str">
        <f>Q22</f>
        <v>楼层</v>
      </c>
      <c r="AA22" s="1561">
        <f t="shared" si="3"/>
        <v>1</v>
      </c>
      <c r="AB22" s="1561">
        <f t="shared" si="4"/>
        <v>1</v>
      </c>
      <c r="AC22" s="1561">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6"/>
      <c r="M23" s="2118"/>
      <c r="N23" s="2118"/>
      <c r="O23" s="2125"/>
      <c r="P23" s="4020"/>
      <c r="Q23" s="1557">
        <f>B23</f>
        <v>111</v>
      </c>
      <c r="R23" s="1558" t="s">
        <v>8</v>
      </c>
      <c r="S23" s="1559">
        <f>F23</f>
        <v>100</v>
      </c>
      <c r="T23" s="1558" t="s">
        <v>8</v>
      </c>
      <c r="U23" s="1559">
        <f>H23</f>
        <v>100</v>
      </c>
      <c r="V23" s="1558" t="s">
        <v>8</v>
      </c>
      <c r="W23" s="1559">
        <f>J23</f>
        <v>100</v>
      </c>
      <c r="X23" s="1552"/>
      <c r="Y23" s="4020"/>
      <c r="Z23" s="1560">
        <f>Q23</f>
        <v>111</v>
      </c>
      <c r="AA23" s="1561">
        <f t="shared" si="3"/>
        <v>1</v>
      </c>
      <c r="AB23" s="1561">
        <f t="shared" si="4"/>
        <v>1</v>
      </c>
      <c r="AC23" s="1561">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6"/>
      <c r="M24" s="2118"/>
      <c r="N24" s="2118"/>
      <c r="O24" s="2125"/>
      <c r="P24" s="4020"/>
      <c r="Q24" s="1557">
        <f t="shared" ref="Q24:Q36" si="11">B24</f>
        <v>111</v>
      </c>
      <c r="R24" s="1558" t="s">
        <v>8</v>
      </c>
      <c r="S24" s="1559">
        <f>F24</f>
        <v>100</v>
      </c>
      <c r="T24" s="1558" t="s">
        <v>8</v>
      </c>
      <c r="U24" s="1559">
        <f>H24</f>
        <v>100</v>
      </c>
      <c r="V24" s="1558" t="s">
        <v>8</v>
      </c>
      <c r="W24" s="1559">
        <f>J24</f>
        <v>100</v>
      </c>
      <c r="X24" s="1552"/>
      <c r="Y24" s="4020"/>
      <c r="Z24" s="1560">
        <f>Q24</f>
        <v>111</v>
      </c>
      <c r="AA24" s="1561">
        <f t="shared" si="3"/>
        <v>1</v>
      </c>
      <c r="AB24" s="1561">
        <f t="shared" si="4"/>
        <v>1</v>
      </c>
      <c r="AC24" s="1561">
        <f t="shared" si="5"/>
        <v>1</v>
      </c>
    </row>
    <row r="25" spans="1:29" s="1215"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19"/>
      <c r="M25" s="2120"/>
      <c r="N25" s="2120"/>
      <c r="O25" s="2121"/>
      <c r="P25" s="4020"/>
      <c r="Q25" s="1146">
        <f t="shared" si="11"/>
        <v>111</v>
      </c>
      <c r="R25" s="1553" t="s">
        <v>8</v>
      </c>
      <c r="S25" s="1554">
        <f>F25</f>
        <v>100</v>
      </c>
      <c r="T25" s="1553" t="s">
        <v>8</v>
      </c>
      <c r="U25" s="1554">
        <f>H25</f>
        <v>100</v>
      </c>
      <c r="V25" s="1553" t="s">
        <v>8</v>
      </c>
      <c r="W25" s="1554">
        <f>J25</f>
        <v>100</v>
      </c>
      <c r="X25" s="1555"/>
      <c r="Y25" s="4020"/>
      <c r="Z25" s="1145">
        <f>Q25</f>
        <v>111</v>
      </c>
      <c r="AA25" s="1561">
        <f>D25/F25</f>
        <v>1</v>
      </c>
      <c r="AB25" s="1561">
        <f>D25/H25</f>
        <v>1</v>
      </c>
      <c r="AC25" s="1561">
        <f>D25/J25</f>
        <v>1</v>
      </c>
    </row>
    <row r="26" spans="1:29" ht="15">
      <c r="A26" s="2861" t="s">
        <v>2754</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6"/>
      <c r="M26" s="2118"/>
      <c r="N26" s="2118"/>
      <c r="O26" s="2125"/>
      <c r="P26" s="4021"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4022" t="s">
        <v>550</v>
      </c>
      <c r="Z26" s="1560" t="str">
        <f t="shared" ref="Z26:Z36" si="15">Q26</f>
        <v>配套类型</v>
      </c>
      <c r="AA26" s="1561">
        <f t="shared" si="3"/>
        <v>1</v>
      </c>
      <c r="AB26" s="1561">
        <f t="shared" si="4"/>
        <v>1</v>
      </c>
      <c r="AC26" s="1561">
        <f t="shared" si="5"/>
        <v>1</v>
      </c>
    </row>
    <row r="27" spans="1:29" s="1334"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24"/>
      <c r="M27" s="2155"/>
      <c r="N27" s="2155"/>
      <c r="O27" s="2127"/>
      <c r="P27" s="4022"/>
      <c r="Q27" s="1589" t="str">
        <f t="shared" si="11"/>
        <v>项目停车位配比</v>
      </c>
      <c r="R27" s="1562" t="s">
        <v>8</v>
      </c>
      <c r="S27" s="1563">
        <f t="shared" si="12"/>
        <v>100</v>
      </c>
      <c r="T27" s="1562" t="s">
        <v>8</v>
      </c>
      <c r="U27" s="1563">
        <f t="shared" si="13"/>
        <v>100</v>
      </c>
      <c r="V27" s="1562" t="s">
        <v>8</v>
      </c>
      <c r="W27" s="1563">
        <f t="shared" si="14"/>
        <v>100</v>
      </c>
      <c r="X27" s="1564"/>
      <c r="Y27" s="4022"/>
      <c r="Z27" s="1565" t="str">
        <f t="shared" si="15"/>
        <v>项目停车位配比</v>
      </c>
      <c r="AA27" s="1561">
        <f t="shared" si="3"/>
        <v>1</v>
      </c>
      <c r="AB27" s="1561">
        <f t="shared" si="4"/>
        <v>1</v>
      </c>
      <c r="AC27" s="1561">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6"/>
      <c r="M28" s="2118"/>
      <c r="N28" s="2118"/>
      <c r="O28" s="2125"/>
      <c r="P28" s="4022"/>
      <c r="Q28" s="1557" t="str">
        <f t="shared" si="11"/>
        <v>公共部分装修</v>
      </c>
      <c r="R28" s="1558" t="s">
        <v>8</v>
      </c>
      <c r="S28" s="1559">
        <f t="shared" si="12"/>
        <v>100</v>
      </c>
      <c r="T28" s="1558" t="s">
        <v>8</v>
      </c>
      <c r="U28" s="1559">
        <f t="shared" si="13"/>
        <v>100</v>
      </c>
      <c r="V28" s="1558" t="s">
        <v>8</v>
      </c>
      <c r="W28" s="1559">
        <f t="shared" si="14"/>
        <v>100</v>
      </c>
      <c r="X28" s="1552"/>
      <c r="Y28" s="4022"/>
      <c r="Z28" s="1560" t="str">
        <f t="shared" si="15"/>
        <v>公共部分装修</v>
      </c>
      <c r="AA28" s="1561">
        <f t="shared" si="3"/>
        <v>1</v>
      </c>
      <c r="AB28" s="1561">
        <f t="shared" si="4"/>
        <v>1</v>
      </c>
      <c r="AC28" s="1561">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6"/>
      <c r="M29" s="2118"/>
      <c r="N29" s="2118"/>
      <c r="O29" s="2125"/>
      <c r="P29" s="4022"/>
      <c r="Q29" s="1557" t="str">
        <f t="shared" si="11"/>
        <v>成新率</v>
      </c>
      <c r="R29" s="1558" t="s">
        <v>8</v>
      </c>
      <c r="S29" s="1559" t="e">
        <f t="shared" si="12"/>
        <v>#N/A</v>
      </c>
      <c r="T29" s="1558" t="s">
        <v>8</v>
      </c>
      <c r="U29" s="1559" t="e">
        <f t="shared" si="13"/>
        <v>#N/A</v>
      </c>
      <c r="V29" s="1558" t="s">
        <v>8</v>
      </c>
      <c r="W29" s="1559" t="e">
        <f t="shared" si="14"/>
        <v>#N/A</v>
      </c>
      <c r="X29" s="1552"/>
      <c r="Y29" s="4022"/>
      <c r="Z29" s="1560" t="str">
        <f t="shared" si="15"/>
        <v>成新率</v>
      </c>
      <c r="AA29" s="1561" t="e">
        <f t="shared" si="3"/>
        <v>#N/A</v>
      </c>
      <c r="AB29" s="1561" t="e">
        <f t="shared" si="4"/>
        <v>#N/A</v>
      </c>
      <c r="AC29" s="1561"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26"/>
      <c r="M30" s="2118"/>
      <c r="N30" s="2118"/>
      <c r="O30" s="2125"/>
      <c r="P30" s="4022"/>
      <c r="Q30" s="1557" t="str">
        <f t="shared" si="11"/>
        <v>物业等级</v>
      </c>
      <c r="R30" s="1558" t="s">
        <v>8</v>
      </c>
      <c r="S30" s="1559">
        <f t="shared" si="12"/>
        <v>100</v>
      </c>
      <c r="T30" s="1558" t="s">
        <v>8</v>
      </c>
      <c r="U30" s="1559">
        <f t="shared" si="13"/>
        <v>100</v>
      </c>
      <c r="V30" s="1558" t="s">
        <v>8</v>
      </c>
      <c r="W30" s="1559">
        <f t="shared" si="14"/>
        <v>100</v>
      </c>
      <c r="X30" s="1552"/>
      <c r="Y30" s="4022"/>
      <c r="Z30" s="1560" t="str">
        <f t="shared" si="15"/>
        <v>物业等级</v>
      </c>
      <c r="AA30" s="1561">
        <f t="shared" si="3"/>
        <v>1</v>
      </c>
      <c r="AB30" s="1561">
        <f t="shared" si="4"/>
        <v>1</v>
      </c>
      <c r="AC30" s="1561">
        <f t="shared" si="5"/>
        <v>1</v>
      </c>
    </row>
    <row r="31" spans="1:29" s="1215"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9"/>
      <c r="M31" s="2120"/>
      <c r="N31" s="2120"/>
      <c r="O31" s="2121"/>
      <c r="P31" s="4022"/>
      <c r="Q31" s="1146" t="str">
        <f t="shared" si="11"/>
        <v>停车位面积</v>
      </c>
      <c r="R31" s="1553" t="s">
        <v>8</v>
      </c>
      <c r="S31" s="1554" t="e">
        <f t="shared" si="12"/>
        <v>#N/A</v>
      </c>
      <c r="T31" s="1553" t="s">
        <v>8</v>
      </c>
      <c r="U31" s="1554" t="e">
        <f t="shared" si="13"/>
        <v>#N/A</v>
      </c>
      <c r="V31" s="1553" t="s">
        <v>8</v>
      </c>
      <c r="W31" s="1554" t="e">
        <f t="shared" si="14"/>
        <v>#N/A</v>
      </c>
      <c r="X31" s="1555"/>
      <c r="Y31" s="4022"/>
      <c r="Z31" s="1145" t="str">
        <f t="shared" si="15"/>
        <v>停车位面积</v>
      </c>
      <c r="AA31" s="1556" t="e">
        <f t="shared" si="3"/>
        <v>#N/A</v>
      </c>
      <c r="AB31" s="1556" t="e">
        <f t="shared" si="4"/>
        <v>#N/A</v>
      </c>
      <c r="AC31" s="1556"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6"/>
      <c r="M32" s="2118"/>
      <c r="N32" s="2118"/>
      <c r="O32" s="2125"/>
      <c r="P32" s="4022" t="s">
        <v>550</v>
      </c>
      <c r="Q32" s="1557" t="str">
        <f t="shared" si="11"/>
        <v>车位类型</v>
      </c>
      <c r="R32" s="1558" t="s">
        <v>8</v>
      </c>
      <c r="S32" s="1559">
        <f t="shared" si="12"/>
        <v>100</v>
      </c>
      <c r="T32" s="1558" t="s">
        <v>8</v>
      </c>
      <c r="U32" s="1559">
        <f t="shared" si="13"/>
        <v>100</v>
      </c>
      <c r="V32" s="1558" t="s">
        <v>8</v>
      </c>
      <c r="W32" s="1559">
        <f t="shared" si="14"/>
        <v>100</v>
      </c>
      <c r="X32" s="1552"/>
      <c r="Y32" s="4022" t="s">
        <v>550</v>
      </c>
      <c r="Z32" s="1560" t="str">
        <f t="shared" si="15"/>
        <v>车位类型</v>
      </c>
      <c r="AA32" s="1561">
        <f t="shared" si="3"/>
        <v>1</v>
      </c>
      <c r="AB32" s="1561">
        <f t="shared" si="4"/>
        <v>1</v>
      </c>
      <c r="AC32" s="1561">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6"/>
      <c r="M33" s="2118"/>
      <c r="N33" s="2118"/>
      <c r="O33" s="2125"/>
      <c r="P33" s="4022"/>
      <c r="Q33" s="1557" t="str">
        <f t="shared" si="11"/>
        <v>是否直接入户</v>
      </c>
      <c r="R33" s="1558" t="s">
        <v>8</v>
      </c>
      <c r="S33" s="1559">
        <f t="shared" si="12"/>
        <v>100</v>
      </c>
      <c r="T33" s="1558" t="s">
        <v>8</v>
      </c>
      <c r="U33" s="1559">
        <f t="shared" si="13"/>
        <v>100</v>
      </c>
      <c r="V33" s="1558" t="s">
        <v>8</v>
      </c>
      <c r="W33" s="1559">
        <f t="shared" si="14"/>
        <v>100</v>
      </c>
      <c r="X33" s="1552"/>
      <c r="Y33" s="4022"/>
      <c r="Z33" s="1560" t="str">
        <f t="shared" si="15"/>
        <v>是否直接入户</v>
      </c>
      <c r="AA33" s="1561">
        <f t="shared" si="3"/>
        <v>1</v>
      </c>
      <c r="AB33" s="1561">
        <f t="shared" si="4"/>
        <v>1</v>
      </c>
      <c r="AC33" s="1561">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6"/>
      <c r="M34" s="2118"/>
      <c r="N34" s="2118"/>
      <c r="O34" s="2125"/>
      <c r="P34" s="4022"/>
      <c r="Q34" s="1557">
        <f t="shared" si="11"/>
        <v>111</v>
      </c>
      <c r="R34" s="1558" t="s">
        <v>8</v>
      </c>
      <c r="S34" s="1559">
        <f t="shared" si="12"/>
        <v>100</v>
      </c>
      <c r="T34" s="1558" t="s">
        <v>8</v>
      </c>
      <c r="U34" s="1559">
        <f t="shared" si="13"/>
        <v>100</v>
      </c>
      <c r="V34" s="1558" t="s">
        <v>8</v>
      </c>
      <c r="W34" s="1559">
        <f t="shared" si="14"/>
        <v>100</v>
      </c>
      <c r="X34" s="1552"/>
      <c r="Y34" s="4022"/>
      <c r="Z34" s="1560">
        <f t="shared" si="15"/>
        <v>111</v>
      </c>
      <c r="AA34" s="1561">
        <f t="shared" si="3"/>
        <v>1</v>
      </c>
      <c r="AB34" s="1561">
        <f t="shared" si="4"/>
        <v>1</v>
      </c>
      <c r="AC34" s="1561">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4"/>
      <c r="M35" s="2155"/>
      <c r="N35" s="2155"/>
      <c r="O35" s="2127"/>
      <c r="P35" s="4022"/>
      <c r="Q35" s="1589">
        <f t="shared" si="11"/>
        <v>111</v>
      </c>
      <c r="R35" s="1562" t="s">
        <v>8</v>
      </c>
      <c r="S35" s="1563">
        <f t="shared" si="12"/>
        <v>100</v>
      </c>
      <c r="T35" s="1562" t="s">
        <v>8</v>
      </c>
      <c r="U35" s="1563">
        <f t="shared" si="13"/>
        <v>100</v>
      </c>
      <c r="V35" s="1562" t="s">
        <v>8</v>
      </c>
      <c r="W35" s="1563">
        <f t="shared" si="14"/>
        <v>100</v>
      </c>
      <c r="X35" s="1564"/>
      <c r="Y35" s="4022"/>
      <c r="Z35" s="1565">
        <f t="shared" si="15"/>
        <v>111</v>
      </c>
      <c r="AA35" s="1561">
        <f t="shared" si="3"/>
        <v>1</v>
      </c>
      <c r="AB35" s="1561">
        <f t="shared" si="4"/>
        <v>1</v>
      </c>
      <c r="AC35" s="1561">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6"/>
      <c r="M36" s="2118"/>
      <c r="N36" s="2118"/>
      <c r="O36" s="2125"/>
      <c r="P36" s="4022"/>
      <c r="Q36" s="1557">
        <f t="shared" si="11"/>
        <v>111</v>
      </c>
      <c r="R36" s="1558" t="s">
        <v>8</v>
      </c>
      <c r="S36" s="1559">
        <f t="shared" si="12"/>
        <v>100</v>
      </c>
      <c r="T36" s="1558" t="s">
        <v>8</v>
      </c>
      <c r="U36" s="1559">
        <f t="shared" si="13"/>
        <v>100</v>
      </c>
      <c r="V36" s="1558" t="s">
        <v>8</v>
      </c>
      <c r="W36" s="1559">
        <f t="shared" si="14"/>
        <v>100</v>
      </c>
      <c r="X36" s="1552"/>
      <c r="Y36" s="4022"/>
      <c r="Z36" s="1560">
        <f t="shared" si="15"/>
        <v>111</v>
      </c>
      <c r="AA36" s="1561">
        <f t="shared" si="3"/>
        <v>1</v>
      </c>
      <c r="AB36" s="1561">
        <f t="shared" si="4"/>
        <v>1</v>
      </c>
      <c r="AC36" s="1561">
        <f t="shared" si="5"/>
        <v>1</v>
      </c>
    </row>
    <row r="37" spans="1:29" ht="15">
      <c r="A37" s="1830" t="s">
        <v>2077</v>
      </c>
      <c r="B37" s="1831" t="s">
        <v>2078</v>
      </c>
      <c r="C37" s="2590" t="s">
        <v>1</v>
      </c>
      <c r="D37" s="2591"/>
      <c r="E37" s="2592"/>
      <c r="F37" s="2593"/>
      <c r="G37" s="2594"/>
      <c r="H37" s="2595"/>
      <c r="I37" s="2592"/>
      <c r="J37" s="2595"/>
      <c r="K37" s="1595"/>
      <c r="L37" s="2128"/>
      <c r="M37" s="2129"/>
      <c r="N37" s="2118"/>
      <c r="O37" s="2129"/>
      <c r="P37" s="4017" t="str">
        <f>A37</f>
        <v>成交单价</v>
      </c>
      <c r="Q37" s="4017"/>
      <c r="R37" s="4100">
        <f>E37</f>
        <v>0</v>
      </c>
      <c r="S37" s="4100"/>
      <c r="T37" s="4100">
        <f>G37</f>
        <v>0</v>
      </c>
      <c r="U37" s="4100"/>
      <c r="V37" s="4100">
        <f>I37</f>
        <v>0</v>
      </c>
      <c r="W37" s="4100"/>
      <c r="X37" s="1544"/>
      <c r="Y37" s="1566"/>
      <c r="Z37" s="1544"/>
      <c r="AA37" s="1544"/>
      <c r="AB37" s="1544"/>
      <c r="AC37" s="1544"/>
    </row>
    <row r="38" spans="1:29" ht="15.75" thickBot="1">
      <c r="A38" s="614" t="s">
        <v>2759</v>
      </c>
      <c r="B38" s="887"/>
      <c r="C38" s="2596" t="e">
        <f>R39</f>
        <v>#DIV/0!</v>
      </c>
      <c r="D38" s="2597"/>
      <c r="E38" s="2598" t="e">
        <f>R38</f>
        <v>#DIV/0!</v>
      </c>
      <c r="F38" s="2598"/>
      <c r="G38" s="2596" t="e">
        <f>T38</f>
        <v>#DIV/0!</v>
      </c>
      <c r="H38" s="2597"/>
      <c r="I38" s="2598" t="e">
        <f>V38</f>
        <v>#DIV/0!</v>
      </c>
      <c r="J38" s="2597"/>
      <c r="K38" s="1596"/>
      <c r="L38" s="2128"/>
      <c r="M38" s="2129"/>
      <c r="N38" s="2129"/>
      <c r="O38" s="2129"/>
      <c r="P38" s="4017" t="str">
        <f>A38</f>
        <v>比较价格（元/平方米）</v>
      </c>
      <c r="Q38" s="4017"/>
      <c r="R38" s="4100" t="e">
        <f>IF(F1="售价",ROUND(PRODUCT(R37,AA7:AA36),0),ROUND(PRODUCT(R37,AA7:AA36),1))</f>
        <v>#DIV/0!</v>
      </c>
      <c r="S38" s="4100"/>
      <c r="T38" s="4100" t="e">
        <f>IF(F1="售价",ROUND(PRODUCT(T37,AB7:AB36),0),ROUND(PRODUCT(T37,AB7:AB36),1))</f>
        <v>#DIV/0!</v>
      </c>
      <c r="U38" s="4100"/>
      <c r="V38" s="4100" t="e">
        <f>IF(F1="售价",ROUND(PRODUCT(V37,AC7:AC36),0),ROUND(PRODUCT(V37,AC7:AC36),1))</f>
        <v>#DIV/0!</v>
      </c>
      <c r="W38" s="4100"/>
      <c r="X38" s="1544"/>
      <c r="Y38" s="1544"/>
      <c r="Z38" s="1544"/>
      <c r="AA38" s="1544"/>
      <c r="AB38" s="1544"/>
      <c r="AC38" s="1544"/>
    </row>
    <row r="39" spans="1:29" ht="15.75" thickBot="1">
      <c r="A39" s="620" t="s">
        <v>2932</v>
      </c>
      <c r="B39" s="621"/>
      <c r="C39" s="2599" t="e">
        <f>R39</f>
        <v>#DIV/0!</v>
      </c>
      <c r="D39" s="2599"/>
      <c r="E39" s="2599"/>
      <c r="F39" s="2599"/>
      <c r="G39" s="2599"/>
      <c r="H39" s="2599"/>
      <c r="I39" s="2599"/>
      <c r="J39" s="2599"/>
      <c r="K39" s="1597"/>
      <c r="L39" s="2128"/>
      <c r="M39" s="2129"/>
      <c r="N39" s="2129"/>
      <c r="O39" s="2129"/>
      <c r="P39" s="4038" t="str">
        <f>A39</f>
        <v>估价对象XX用房的比较价格（楼面单价，元/平方米）</v>
      </c>
      <c r="Q39" s="4039"/>
      <c r="R39" s="4099" t="e">
        <f>IF(F1="售价",ROUND(AVERAGE(R38:V38),0),ROUND(AVERAGE(R38:V38),1))</f>
        <v>#DIV/0!</v>
      </c>
      <c r="S39" s="4099"/>
      <c r="T39" s="4099"/>
      <c r="U39" s="4099"/>
      <c r="V39" s="4099"/>
      <c r="W39" s="4099"/>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40" customFormat="1" ht="13.5" customHeight="1">
      <c r="A44" s="2130"/>
      <c r="B44" s="2130"/>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40"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574</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2" customFormat="1" ht="15">
      <c r="A48" s="644" t="s">
        <v>529</v>
      </c>
      <c r="B48" s="645"/>
      <c r="C48" s="2756" t="str">
        <f>YEAR(C7)&amp;"-"&amp;MONTH(C7)</f>
        <v>2019-7</v>
      </c>
      <c r="D48" s="2758">
        <f>EDATE(C48,-1)</f>
        <v>43617</v>
      </c>
      <c r="E48" s="2758">
        <f t="shared" ref="E48:O48" si="16">EDATE(D48,-1)</f>
        <v>43586</v>
      </c>
      <c r="F48" s="2758">
        <f t="shared" si="16"/>
        <v>43556</v>
      </c>
      <c r="G48" s="2758">
        <f t="shared" si="16"/>
        <v>43525</v>
      </c>
      <c r="H48" s="2758">
        <f t="shared" si="16"/>
        <v>43497</v>
      </c>
      <c r="I48" s="2758">
        <f t="shared" si="16"/>
        <v>43466</v>
      </c>
      <c r="J48" s="2758">
        <f t="shared" si="16"/>
        <v>43435</v>
      </c>
      <c r="K48" s="2758">
        <f t="shared" si="16"/>
        <v>43405</v>
      </c>
      <c r="L48" s="2758">
        <f t="shared" si="16"/>
        <v>43374</v>
      </c>
      <c r="M48" s="2758">
        <f t="shared" si="16"/>
        <v>43344</v>
      </c>
      <c r="N48" s="2758">
        <f t="shared" si="16"/>
        <v>43313</v>
      </c>
      <c r="O48" s="2758">
        <f t="shared" si="16"/>
        <v>43282</v>
      </c>
      <c r="P48" s="2144"/>
      <c r="Q48" s="2145"/>
      <c r="R48" s="2145"/>
      <c r="S48" s="2145"/>
      <c r="T48" s="2145"/>
      <c r="U48" s="2145"/>
      <c r="V48" s="2145"/>
      <c r="W48" s="2145"/>
      <c r="X48" s="2145"/>
      <c r="Y48" s="2145"/>
      <c r="Z48" s="2145"/>
      <c r="AA48" s="2145"/>
      <c r="AB48" s="2145"/>
      <c r="AC48" s="2145"/>
    </row>
    <row r="49" spans="1:29" s="1215" customFormat="1" ht="15">
      <c r="A49" s="646"/>
      <c r="B49" s="647"/>
      <c r="C49" s="2757">
        <v>100</v>
      </c>
      <c r="D49" s="649"/>
      <c r="E49" s="649"/>
      <c r="F49" s="649"/>
      <c r="G49" s="649"/>
      <c r="H49" s="649"/>
      <c r="I49" s="649"/>
      <c r="J49" s="649"/>
      <c r="K49" s="649"/>
      <c r="L49" s="649"/>
      <c r="M49" s="650"/>
      <c r="N49" s="649"/>
      <c r="O49" s="651"/>
      <c r="P49" s="2142"/>
      <c r="Q49" s="1977"/>
      <c r="R49" s="1977"/>
      <c r="S49" s="1977"/>
      <c r="T49" s="1977"/>
      <c r="U49" s="1977"/>
      <c r="V49" s="1977"/>
      <c r="W49" s="1977"/>
      <c r="X49" s="1977"/>
      <c r="Y49" s="1977"/>
      <c r="Z49" s="1977"/>
      <c r="AA49" s="1977"/>
      <c r="AB49" s="1977"/>
      <c r="AC49" s="1977"/>
    </row>
    <row r="50" spans="1:29" s="1215" customFormat="1" ht="15.75" thickBot="1">
      <c r="A50" s="652" t="s">
        <v>575</v>
      </c>
      <c r="B50" s="653"/>
      <c r="C50" s="654"/>
      <c r="D50" s="655"/>
      <c r="E50" s="655"/>
      <c r="F50" s="655"/>
      <c r="G50" s="655"/>
      <c r="H50" s="655"/>
      <c r="I50" s="655"/>
      <c r="J50" s="655"/>
      <c r="K50" s="655"/>
      <c r="L50" s="655"/>
      <c r="M50" s="656"/>
      <c r="N50" s="655"/>
      <c r="O50" s="657"/>
      <c r="P50" s="2142"/>
      <c r="Q50" s="2142"/>
      <c r="R50" s="1977"/>
      <c r="S50" s="1977"/>
      <c r="T50" s="1977"/>
      <c r="U50" s="1977"/>
      <c r="V50" s="1977"/>
      <c r="W50" s="1977"/>
      <c r="X50" s="1977"/>
      <c r="Y50" s="1977"/>
      <c r="Z50" s="1977"/>
      <c r="AA50" s="1977"/>
      <c r="AB50" s="1977"/>
      <c r="AC50" s="1977"/>
    </row>
    <row r="51" spans="1:29" s="1215" customFormat="1" ht="15">
      <c r="A51" s="658" t="s">
        <v>531</v>
      </c>
      <c r="B51" s="647"/>
      <c r="C51" s="659" t="s">
        <v>576</v>
      </c>
      <c r="D51" s="660"/>
      <c r="E51" s="660"/>
      <c r="F51" s="660"/>
      <c r="G51" s="660"/>
      <c r="H51" s="660"/>
      <c r="I51" s="660"/>
      <c r="J51" s="660"/>
      <c r="K51" s="660"/>
      <c r="L51" s="661"/>
      <c r="M51" s="662"/>
      <c r="N51" s="2146"/>
      <c r="O51" s="2146"/>
      <c r="P51" s="2147"/>
      <c r="Q51" s="2142"/>
      <c r="R51" s="1977"/>
      <c r="S51" s="1977"/>
      <c r="T51" s="1977"/>
      <c r="U51" s="1977"/>
      <c r="V51" s="1977"/>
      <c r="W51" s="1977"/>
      <c r="X51" s="1977"/>
      <c r="Y51" s="1977"/>
      <c r="Z51" s="1977"/>
      <c r="AA51" s="1977"/>
      <c r="AB51" s="1977"/>
      <c r="AC51" s="1977"/>
    </row>
    <row r="52" spans="1:29" s="1215" customFormat="1" ht="15.75" thickBot="1">
      <c r="A52" s="658"/>
      <c r="B52" s="647"/>
      <c r="C52" s="648">
        <v>100</v>
      </c>
      <c r="D52" s="649"/>
      <c r="E52" s="649"/>
      <c r="F52" s="649"/>
      <c r="G52" s="649"/>
      <c r="H52" s="649"/>
      <c r="I52" s="649"/>
      <c r="J52" s="649"/>
      <c r="K52" s="649"/>
      <c r="L52" s="649"/>
      <c r="M52" s="651"/>
      <c r="N52" s="2146"/>
      <c r="O52" s="2146"/>
      <c r="P52" s="2142"/>
      <c r="Q52" s="2142"/>
      <c r="R52" s="1977"/>
      <c r="S52" s="1977"/>
      <c r="T52" s="1977"/>
      <c r="U52" s="1977"/>
      <c r="V52" s="1977"/>
      <c r="W52" s="1977"/>
      <c r="X52" s="1977"/>
      <c r="Y52" s="1977"/>
      <c r="Z52" s="1977"/>
      <c r="AA52" s="1977"/>
      <c r="AB52" s="1977"/>
      <c r="AC52" s="1977"/>
    </row>
    <row r="53" spans="1:29">
      <c r="A53" s="663" t="s">
        <v>577</v>
      </c>
      <c r="B53" s="664" t="s">
        <v>534</v>
      </c>
      <c r="C53" s="703">
        <f>C9</f>
        <v>0</v>
      </c>
      <c r="D53" s="597"/>
      <c r="E53" s="597"/>
      <c r="F53" s="597"/>
      <c r="G53" s="597"/>
      <c r="H53" s="597"/>
      <c r="I53" s="597"/>
      <c r="J53" s="597"/>
      <c r="K53" s="665"/>
      <c r="L53" s="666"/>
      <c r="M53" s="667"/>
      <c r="N53" s="2148"/>
      <c r="O53" s="2148"/>
      <c r="P53" s="2149"/>
      <c r="Q53" s="2142"/>
      <c r="R53" s="2129"/>
      <c r="S53" s="2129"/>
      <c r="T53" s="2129"/>
      <c r="U53" s="2129"/>
      <c r="V53" s="2129"/>
      <c r="W53" s="2129"/>
      <c r="X53" s="2129"/>
      <c r="Y53" s="2129"/>
      <c r="Z53" s="2129"/>
      <c r="AA53" s="2129"/>
      <c r="AB53" s="2129"/>
      <c r="AC53" s="2129"/>
    </row>
    <row r="54" spans="1:29" ht="15.75" thickBot="1">
      <c r="A54" s="668"/>
      <c r="B54" s="669"/>
      <c r="C54" s="670"/>
      <c r="D54" s="670"/>
      <c r="E54" s="670"/>
      <c r="F54" s="670"/>
      <c r="G54" s="670"/>
      <c r="H54" s="670"/>
      <c r="I54" s="670"/>
      <c r="J54" s="670"/>
      <c r="K54" s="670"/>
      <c r="L54" s="670"/>
      <c r="M54" s="671"/>
      <c r="N54" s="2150"/>
      <c r="O54" s="2150"/>
      <c r="P54" s="2149"/>
      <c r="Q54" s="2142"/>
      <c r="R54" s="2129"/>
      <c r="S54" s="2129"/>
      <c r="T54" s="2129"/>
      <c r="U54" s="2129"/>
      <c r="V54" s="2129"/>
      <c r="W54" s="2129"/>
      <c r="X54" s="2129"/>
      <c r="Y54" s="2129"/>
      <c r="Z54" s="2129"/>
      <c r="AA54" s="2129"/>
      <c r="AB54" s="2129"/>
      <c r="AC54" s="2129"/>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48"/>
      <c r="O55" s="2148"/>
      <c r="P55" s="2149"/>
      <c r="Q55" s="2142"/>
      <c r="R55" s="2129"/>
      <c r="S55" s="2129"/>
      <c r="T55" s="2129"/>
      <c r="U55" s="2129"/>
      <c r="V55" s="2129"/>
      <c r="W55" s="2129"/>
      <c r="X55" s="2129"/>
      <c r="Y55" s="2129"/>
      <c r="Z55" s="2129"/>
      <c r="AA55" s="2129"/>
      <c r="AB55" s="2129"/>
      <c r="AC55" s="2129"/>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50"/>
      <c r="O56" s="2150"/>
      <c r="P56" s="2149"/>
      <c r="Q56" s="2142"/>
      <c r="R56" s="2129"/>
      <c r="S56" s="2129"/>
      <c r="T56" s="2129"/>
      <c r="U56" s="2129"/>
      <c r="V56" s="2129"/>
      <c r="W56" s="2129"/>
      <c r="X56" s="2129"/>
      <c r="Y56" s="2129"/>
      <c r="Z56" s="2129"/>
      <c r="AA56" s="2129"/>
      <c r="AB56" s="2129"/>
      <c r="AC56" s="2129"/>
    </row>
    <row r="57" spans="1:29" ht="15.75" thickTop="1">
      <c r="A57" s="668"/>
      <c r="B57" s="934">
        <f>B11</f>
        <v>111</v>
      </c>
      <c r="C57" s="540"/>
      <c r="D57" s="540"/>
      <c r="E57" s="540"/>
      <c r="F57" s="540"/>
      <c r="G57" s="540"/>
      <c r="H57" s="540"/>
      <c r="I57" s="540"/>
      <c r="J57" s="540"/>
      <c r="K57" s="683"/>
      <c r="L57" s="684"/>
      <c r="M57" s="685"/>
      <c r="N57" s="2148"/>
      <c r="O57" s="2148"/>
      <c r="P57" s="2149"/>
      <c r="Q57" s="2142"/>
      <c r="R57" s="2129"/>
      <c r="S57" s="2129"/>
      <c r="T57" s="2129"/>
      <c r="U57" s="2129"/>
      <c r="V57" s="2129"/>
      <c r="W57" s="2129"/>
      <c r="X57" s="2129"/>
      <c r="Y57" s="2129"/>
      <c r="Z57" s="2129"/>
      <c r="AA57" s="2129"/>
      <c r="AB57" s="2129"/>
      <c r="AC57" s="2129"/>
    </row>
    <row r="58" spans="1:29" ht="15.75" thickBot="1">
      <c r="A58" s="668"/>
      <c r="B58" s="669"/>
      <c r="C58" s="691"/>
      <c r="D58" s="670"/>
      <c r="E58" s="670"/>
      <c r="F58" s="670"/>
      <c r="G58" s="670"/>
      <c r="H58" s="670"/>
      <c r="I58" s="670"/>
      <c r="J58" s="670"/>
      <c r="K58" s="670"/>
      <c r="L58" s="670"/>
      <c r="M58" s="671"/>
      <c r="N58" s="2150"/>
      <c r="O58" s="2150"/>
      <c r="P58" s="2149"/>
      <c r="Q58" s="2142"/>
      <c r="R58" s="2129"/>
      <c r="S58" s="2129"/>
      <c r="T58" s="2129"/>
      <c r="U58" s="2129"/>
      <c r="V58" s="2129"/>
      <c r="W58" s="2129"/>
      <c r="X58" s="2129"/>
      <c r="Y58" s="2129"/>
      <c r="Z58" s="2129"/>
      <c r="AA58" s="2129"/>
      <c r="AB58" s="2129"/>
      <c r="AC58" s="2129"/>
    </row>
    <row r="59" spans="1:29" s="1334" customFormat="1" ht="15.75" thickTop="1">
      <c r="A59" s="686"/>
      <c r="B59" s="672">
        <f>B12</f>
        <v>111</v>
      </c>
      <c r="C59" s="540"/>
      <c r="D59" s="540"/>
      <c r="E59" s="540"/>
      <c r="F59" s="540"/>
      <c r="G59" s="687"/>
      <c r="H59" s="688"/>
      <c r="I59" s="688"/>
      <c r="J59" s="688"/>
      <c r="K59" s="688"/>
      <c r="L59" s="689"/>
      <c r="M59" s="690"/>
      <c r="N59" s="2151"/>
      <c r="O59" s="2151"/>
      <c r="P59" s="2152"/>
      <c r="Q59" s="2153"/>
      <c r="R59" s="2154"/>
      <c r="S59" s="2154"/>
      <c r="T59" s="2154"/>
      <c r="U59" s="2154"/>
      <c r="V59" s="2154"/>
      <c r="W59" s="2154"/>
      <c r="X59" s="2154"/>
      <c r="Y59" s="2154"/>
      <c r="Z59" s="2154"/>
      <c r="AA59" s="2154"/>
      <c r="AB59" s="2154"/>
      <c r="AC59" s="2154"/>
    </row>
    <row r="60" spans="1:29" s="1334" customFormat="1" ht="15.75" thickBot="1">
      <c r="A60" s="686"/>
      <c r="B60" s="677"/>
      <c r="C60" s="691"/>
      <c r="D60" s="670"/>
      <c r="E60" s="670"/>
      <c r="F60" s="670"/>
      <c r="G60" s="670"/>
      <c r="H60" s="670"/>
      <c r="I60" s="670"/>
      <c r="J60" s="670"/>
      <c r="K60" s="670"/>
      <c r="L60" s="670"/>
      <c r="M60" s="671"/>
      <c r="N60" s="2150"/>
      <c r="O60" s="2150"/>
      <c r="P60" s="2152"/>
      <c r="Q60" s="2153"/>
      <c r="R60" s="2154"/>
      <c r="S60" s="2154"/>
      <c r="T60" s="2154"/>
      <c r="U60" s="2154"/>
      <c r="V60" s="2154"/>
      <c r="W60" s="2154"/>
      <c r="X60" s="2154"/>
      <c r="Y60" s="2154"/>
      <c r="Z60" s="2154"/>
      <c r="AA60" s="2154"/>
      <c r="AB60" s="2154"/>
      <c r="AC60" s="2154"/>
    </row>
    <row r="61" spans="1:29" s="1334" customFormat="1" ht="15.75" thickTop="1">
      <c r="A61" s="686"/>
      <c r="B61" s="672">
        <f>B13</f>
        <v>111</v>
      </c>
      <c r="C61" s="687"/>
      <c r="D61" s="687"/>
      <c r="E61" s="687"/>
      <c r="F61" s="687"/>
      <c r="G61" s="687"/>
      <c r="H61" s="688"/>
      <c r="I61" s="688"/>
      <c r="J61" s="688"/>
      <c r="K61" s="688"/>
      <c r="L61" s="689"/>
      <c r="M61" s="690"/>
      <c r="N61" s="2151"/>
      <c r="O61" s="2151"/>
      <c r="P61" s="2155"/>
      <c r="Q61" s="2156"/>
      <c r="R61" s="2154"/>
      <c r="S61" s="2154"/>
      <c r="T61" s="2154"/>
      <c r="U61" s="2154"/>
      <c r="V61" s="2154"/>
      <c r="W61" s="2154"/>
      <c r="X61" s="2154"/>
      <c r="Y61" s="2154"/>
      <c r="Z61" s="2154"/>
      <c r="AA61" s="2154"/>
      <c r="AB61" s="2154"/>
      <c r="AC61" s="2154"/>
    </row>
    <row r="62" spans="1:29" s="1334" customFormat="1" ht="15.75" thickBot="1">
      <c r="A62" s="686"/>
      <c r="B62" s="677"/>
      <c r="C62" s="691"/>
      <c r="D62" s="691"/>
      <c r="E62" s="691"/>
      <c r="F62" s="691"/>
      <c r="G62" s="691"/>
      <c r="H62" s="692"/>
      <c r="I62" s="692"/>
      <c r="J62" s="692"/>
      <c r="K62" s="692"/>
      <c r="L62" s="692"/>
      <c r="M62" s="693"/>
      <c r="N62" s="2151"/>
      <c r="O62" s="2151"/>
      <c r="P62" s="2152"/>
      <c r="Q62" s="2153"/>
      <c r="R62" s="2154"/>
      <c r="S62" s="2154"/>
      <c r="T62" s="2154"/>
      <c r="U62" s="2154"/>
      <c r="V62" s="2154"/>
      <c r="W62" s="2154"/>
      <c r="X62" s="2154"/>
      <c r="Y62" s="2154"/>
      <c r="Z62" s="2154"/>
      <c r="AA62" s="2154"/>
      <c r="AB62" s="2154"/>
      <c r="AC62" s="2154"/>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8"/>
      <c r="O63" s="2148"/>
      <c r="P63" s="2158"/>
      <c r="Q63" s="2142"/>
      <c r="R63" s="2129"/>
      <c r="S63" s="2129"/>
      <c r="T63" s="2129"/>
      <c r="U63" s="2129"/>
      <c r="V63" s="2129"/>
      <c r="W63" s="2129"/>
      <c r="X63" s="2129"/>
      <c r="Y63" s="2129"/>
      <c r="Z63" s="2129"/>
      <c r="AA63" s="2129"/>
      <c r="AB63" s="2129"/>
      <c r="AC63" s="2129"/>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50"/>
      <c r="O64" s="2150"/>
      <c r="P64" s="2149"/>
      <c r="Q64" s="2142"/>
      <c r="R64" s="2129"/>
      <c r="S64" s="2129"/>
      <c r="T64" s="2129"/>
      <c r="U64" s="2129"/>
      <c r="V64" s="2129"/>
      <c r="W64" s="2129"/>
      <c r="X64" s="2129"/>
      <c r="Y64" s="2129"/>
      <c r="Z64" s="2129"/>
      <c r="AA64" s="2129"/>
      <c r="AB64" s="2129"/>
      <c r="AC64" s="2129"/>
    </row>
    <row r="65" spans="1:29" ht="15.75" thickTop="1">
      <c r="A65" s="668"/>
      <c r="B65" s="1880" t="s">
        <v>2556</v>
      </c>
      <c r="C65" s="707" t="s">
        <v>579</v>
      </c>
      <c r="D65" s="707" t="s">
        <v>580</v>
      </c>
      <c r="E65" s="707" t="s">
        <v>581</v>
      </c>
      <c r="F65" s="707" t="s">
        <v>582</v>
      </c>
      <c r="G65" s="707" t="s">
        <v>583</v>
      </c>
      <c r="H65" s="673"/>
      <c r="I65" s="673"/>
      <c r="J65" s="673"/>
      <c r="K65" s="674"/>
      <c r="L65" s="675"/>
      <c r="M65" s="676"/>
      <c r="N65" s="2148"/>
      <c r="O65" s="2148"/>
      <c r="P65" s="2149"/>
      <c r="Q65" s="2142"/>
      <c r="R65" s="2129"/>
      <c r="S65" s="2129"/>
      <c r="T65" s="2129"/>
      <c r="U65" s="2129"/>
      <c r="V65" s="2129"/>
      <c r="W65" s="2129"/>
      <c r="X65" s="2129"/>
      <c r="Y65" s="2129"/>
      <c r="Z65" s="2129"/>
      <c r="AA65" s="2129"/>
      <c r="AB65" s="2129"/>
      <c r="AC65" s="2129"/>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50"/>
      <c r="O66" s="2150"/>
      <c r="P66" s="2149"/>
      <c r="Q66" s="2142"/>
      <c r="R66" s="2129"/>
      <c r="S66" s="2129"/>
      <c r="T66" s="2129"/>
      <c r="U66" s="2129"/>
      <c r="V66" s="2129"/>
      <c r="W66" s="2129"/>
      <c r="X66" s="2129"/>
      <c r="Y66" s="2129"/>
      <c r="Z66" s="2129"/>
      <c r="AA66" s="2129"/>
      <c r="AB66" s="2129"/>
      <c r="AC66" s="2129"/>
    </row>
    <row r="67" spans="1:29" ht="15.75" thickTop="1">
      <c r="A67" s="668"/>
      <c r="B67" s="2560" t="s">
        <v>2557</v>
      </c>
      <c r="C67" s="2561" t="s">
        <v>2558</v>
      </c>
      <c r="D67" s="2561" t="s">
        <v>2559</v>
      </c>
      <c r="E67" s="2561" t="s">
        <v>2560</v>
      </c>
      <c r="F67" s="2561" t="s">
        <v>2561</v>
      </c>
      <c r="G67" s="2561" t="s">
        <v>2562</v>
      </c>
      <c r="H67" s="673"/>
      <c r="I67" s="673"/>
      <c r="J67" s="673"/>
      <c r="K67" s="673"/>
      <c r="L67" s="673"/>
      <c r="M67" s="2564"/>
      <c r="N67" s="2150"/>
      <c r="O67" s="2150"/>
      <c r="P67" s="2149"/>
      <c r="Q67" s="2142"/>
      <c r="R67" s="2129"/>
      <c r="S67" s="2129"/>
      <c r="T67" s="2129"/>
      <c r="U67" s="2129"/>
      <c r="V67" s="2129"/>
      <c r="W67" s="2129"/>
      <c r="X67" s="2129"/>
      <c r="Y67" s="2129"/>
      <c r="Z67" s="2129"/>
      <c r="AA67" s="2129"/>
      <c r="AB67" s="2129"/>
      <c r="AC67" s="2129"/>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50"/>
      <c r="O68" s="2150"/>
      <c r="P68" s="2149"/>
      <c r="Q68" s="2142"/>
      <c r="R68" s="2129"/>
      <c r="S68" s="2129"/>
      <c r="T68" s="2129"/>
      <c r="U68" s="2129"/>
      <c r="V68" s="2129"/>
      <c r="W68" s="2129"/>
      <c r="X68" s="2129"/>
      <c r="Y68" s="2129"/>
      <c r="Z68" s="2129"/>
      <c r="AA68" s="2129"/>
      <c r="AB68" s="2129"/>
      <c r="AC68" s="2129"/>
    </row>
    <row r="69" spans="1:29" ht="15.75" thickTop="1">
      <c r="A69" s="668"/>
      <c r="B69" s="672" t="s">
        <v>744</v>
      </c>
      <c r="C69" s="707" t="s">
        <v>579</v>
      </c>
      <c r="D69" s="707" t="s">
        <v>580</v>
      </c>
      <c r="E69" s="707" t="s">
        <v>581</v>
      </c>
      <c r="F69" s="707" t="s">
        <v>582</v>
      </c>
      <c r="G69" s="707" t="s">
        <v>583</v>
      </c>
      <c r="H69" s="673"/>
      <c r="I69" s="673"/>
      <c r="J69" s="673"/>
      <c r="K69" s="674"/>
      <c r="L69" s="675"/>
      <c r="M69" s="676"/>
      <c r="N69" s="2148"/>
      <c r="O69" s="2148"/>
      <c r="P69" s="2149"/>
      <c r="Q69" s="2142"/>
      <c r="R69" s="2129"/>
      <c r="S69" s="2129"/>
      <c r="T69" s="2129"/>
      <c r="U69" s="2129"/>
      <c r="V69" s="2129"/>
      <c r="W69" s="2129"/>
      <c r="X69" s="2129"/>
      <c r="Y69" s="2129"/>
      <c r="Z69" s="2129"/>
      <c r="AA69" s="2129"/>
      <c r="AB69" s="2129"/>
      <c r="AC69" s="2129"/>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50"/>
      <c r="O70" s="2150"/>
      <c r="P70" s="2149"/>
      <c r="Q70" s="2142"/>
      <c r="R70" s="2129"/>
      <c r="S70" s="2129"/>
      <c r="T70" s="2129"/>
      <c r="U70" s="2129"/>
      <c r="V70" s="2129"/>
      <c r="W70" s="2129"/>
      <c r="X70" s="2129"/>
      <c r="Y70" s="2129"/>
      <c r="Z70" s="2129"/>
      <c r="AA70" s="2129"/>
      <c r="AB70" s="2129"/>
      <c r="AC70" s="2129"/>
    </row>
    <row r="71" spans="1:29" ht="15.75" thickTop="1">
      <c r="A71" s="668"/>
      <c r="B71" s="672" t="s">
        <v>745</v>
      </c>
      <c r="C71" s="687"/>
      <c r="D71" s="687"/>
      <c r="E71" s="687"/>
      <c r="F71" s="687"/>
      <c r="G71" s="687"/>
      <c r="H71" s="717"/>
      <c r="I71" s="717"/>
      <c r="J71" s="717"/>
      <c r="K71" s="718"/>
      <c r="L71" s="719"/>
      <c r="M71" s="720"/>
      <c r="N71" s="2148"/>
      <c r="O71" s="2148"/>
      <c r="P71" s="2149"/>
      <c r="Q71" s="2142"/>
      <c r="R71" s="2129"/>
      <c r="S71" s="2129"/>
      <c r="T71" s="2129"/>
      <c r="U71" s="2129"/>
      <c r="V71" s="2129"/>
      <c r="W71" s="2129"/>
      <c r="X71" s="2129"/>
      <c r="Y71" s="2129"/>
      <c r="Z71" s="2129"/>
      <c r="AA71" s="2129"/>
      <c r="AB71" s="2129"/>
      <c r="AC71" s="2129"/>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50"/>
      <c r="O72" s="2150"/>
      <c r="P72" s="2149"/>
      <c r="Q72" s="2142"/>
      <c r="R72" s="2129"/>
      <c r="S72" s="2129"/>
      <c r="T72" s="2129"/>
      <c r="U72" s="2129"/>
      <c r="V72" s="2129"/>
      <c r="W72" s="2129"/>
      <c r="X72" s="2129"/>
      <c r="Y72" s="2129"/>
      <c r="Z72" s="2129"/>
      <c r="AA72" s="2129"/>
      <c r="AB72" s="2129"/>
      <c r="AC72" s="2129"/>
    </row>
    <row r="73" spans="1:29" s="1215" customFormat="1" ht="15.75" thickTop="1">
      <c r="A73" s="708"/>
      <c r="B73" s="672">
        <f>B23</f>
        <v>111</v>
      </c>
      <c r="C73" s="540"/>
      <c r="D73" s="540"/>
      <c r="E73" s="540"/>
      <c r="F73" s="540"/>
      <c r="G73" s="687"/>
      <c r="H73" s="687"/>
      <c r="I73" s="687"/>
      <c r="J73" s="687"/>
      <c r="K73" s="687"/>
      <c r="L73" s="889"/>
      <c r="M73" s="890"/>
      <c r="N73" s="2146"/>
      <c r="O73" s="2146"/>
      <c r="P73" s="2149"/>
      <c r="Q73" s="2142"/>
      <c r="R73" s="1977"/>
      <c r="S73" s="1977"/>
      <c r="T73" s="1977"/>
      <c r="U73" s="1977"/>
      <c r="V73" s="1977"/>
      <c r="W73" s="1977"/>
      <c r="X73" s="1977"/>
      <c r="Y73" s="1977"/>
      <c r="Z73" s="1977"/>
      <c r="AA73" s="1977"/>
      <c r="AB73" s="1977"/>
      <c r="AC73" s="1977"/>
    </row>
    <row r="74" spans="1:29" s="1215" customFormat="1" ht="15.75" thickBot="1">
      <c r="A74" s="708"/>
      <c r="B74" s="677"/>
      <c r="C74" s="691"/>
      <c r="D74" s="670"/>
      <c r="E74" s="670"/>
      <c r="F74" s="670"/>
      <c r="G74" s="670"/>
      <c r="H74" s="670"/>
      <c r="I74" s="670"/>
      <c r="J74" s="670"/>
      <c r="K74" s="670"/>
      <c r="L74" s="670"/>
      <c r="M74" s="671"/>
      <c r="N74" s="2150"/>
      <c r="O74" s="2150"/>
      <c r="P74" s="2149"/>
      <c r="Q74" s="2142"/>
      <c r="R74" s="1977"/>
      <c r="S74" s="1977"/>
      <c r="T74" s="1977"/>
      <c r="U74" s="1977"/>
      <c r="V74" s="1977"/>
      <c r="W74" s="1977"/>
      <c r="X74" s="1977"/>
      <c r="Y74" s="1977"/>
      <c r="Z74" s="1977"/>
      <c r="AA74" s="1977"/>
      <c r="AB74" s="1977"/>
      <c r="AC74" s="1977"/>
    </row>
    <row r="75" spans="1:29" s="1215" customFormat="1" ht="15.75" thickTop="1">
      <c r="A75" s="708"/>
      <c r="B75" s="672">
        <f>B24</f>
        <v>111</v>
      </c>
      <c r="C75" s="540"/>
      <c r="D75" s="540"/>
      <c r="E75" s="540"/>
      <c r="F75" s="540"/>
      <c r="G75" s="687"/>
      <c r="H75" s="687"/>
      <c r="I75" s="687"/>
      <c r="J75" s="687"/>
      <c r="K75" s="687"/>
      <c r="L75" s="687"/>
      <c r="M75" s="890"/>
      <c r="N75" s="2146"/>
      <c r="O75" s="2146"/>
      <c r="P75" s="2149"/>
      <c r="Q75" s="2142"/>
      <c r="R75" s="1977"/>
      <c r="S75" s="1977"/>
      <c r="T75" s="1977"/>
      <c r="U75" s="1977"/>
      <c r="V75" s="1977"/>
      <c r="W75" s="1977"/>
      <c r="X75" s="1977"/>
      <c r="Y75" s="1977"/>
      <c r="Z75" s="1977"/>
      <c r="AA75" s="1977"/>
      <c r="AB75" s="1977"/>
      <c r="AC75" s="1977"/>
    </row>
    <row r="76" spans="1:29" s="1215" customFormat="1" ht="15.75" thickBot="1">
      <c r="A76" s="708"/>
      <c r="B76" s="677"/>
      <c r="C76" s="691"/>
      <c r="D76" s="670"/>
      <c r="E76" s="670"/>
      <c r="F76" s="670"/>
      <c r="G76" s="670"/>
      <c r="H76" s="670"/>
      <c r="I76" s="670"/>
      <c r="J76" s="670"/>
      <c r="K76" s="670"/>
      <c r="L76" s="670"/>
      <c r="M76" s="671"/>
      <c r="N76" s="2150"/>
      <c r="O76" s="2150"/>
      <c r="P76" s="2149"/>
      <c r="Q76" s="2142"/>
      <c r="R76" s="1977"/>
      <c r="S76" s="1977"/>
      <c r="T76" s="1977"/>
      <c r="U76" s="1977"/>
      <c r="V76" s="1977"/>
      <c r="W76" s="1977"/>
      <c r="X76" s="1977"/>
      <c r="Y76" s="1977"/>
      <c r="Z76" s="1977"/>
      <c r="AA76" s="1977"/>
      <c r="AB76" s="1977"/>
      <c r="AC76" s="1977"/>
    </row>
    <row r="77" spans="1:29" s="1334" customFormat="1" ht="15.75" thickTop="1">
      <c r="A77" s="686"/>
      <c r="B77" s="672">
        <f>B25</f>
        <v>111</v>
      </c>
      <c r="C77" s="687"/>
      <c r="D77" s="687"/>
      <c r="E77" s="687"/>
      <c r="F77" s="687"/>
      <c r="G77" s="687"/>
      <c r="H77" s="688"/>
      <c r="I77" s="688"/>
      <c r="J77" s="688"/>
      <c r="K77" s="688"/>
      <c r="L77" s="689"/>
      <c r="M77" s="690"/>
      <c r="N77" s="2151"/>
      <c r="O77" s="2151"/>
      <c r="P77" s="2152"/>
      <c r="Q77" s="2153"/>
      <c r="R77" s="2154"/>
      <c r="S77" s="2154"/>
      <c r="T77" s="2154"/>
      <c r="U77" s="2154"/>
      <c r="V77" s="2154"/>
      <c r="W77" s="2154"/>
      <c r="X77" s="2154"/>
      <c r="Y77" s="2154"/>
      <c r="Z77" s="2154"/>
      <c r="AA77" s="2154"/>
      <c r="AB77" s="2154"/>
      <c r="AC77" s="2154"/>
    </row>
    <row r="78" spans="1:29" s="1334" customFormat="1" ht="15.75" thickBot="1">
      <c r="A78" s="686"/>
      <c r="B78" s="677"/>
      <c r="C78" s="691"/>
      <c r="D78" s="691"/>
      <c r="E78" s="691"/>
      <c r="F78" s="691"/>
      <c r="G78" s="670"/>
      <c r="H78" s="670"/>
      <c r="I78" s="670"/>
      <c r="J78" s="670"/>
      <c r="K78" s="670"/>
      <c r="L78" s="670"/>
      <c r="M78" s="671"/>
      <c r="N78" s="2151"/>
      <c r="O78" s="2151"/>
      <c r="P78" s="2152"/>
      <c r="Q78" s="2153"/>
      <c r="R78" s="2154"/>
      <c r="S78" s="2154"/>
      <c r="T78" s="2154"/>
      <c r="U78" s="2154"/>
      <c r="V78" s="2154"/>
      <c r="W78" s="2154"/>
      <c r="X78" s="2154"/>
      <c r="Y78" s="2154"/>
      <c r="Z78" s="2154"/>
      <c r="AA78" s="2154"/>
      <c r="AB78" s="2154"/>
      <c r="AC78" s="2154"/>
    </row>
    <row r="79" spans="1:29" ht="27.75" thickTop="1">
      <c r="A79" s="663" t="s">
        <v>551</v>
      </c>
      <c r="B79" s="664" t="s">
        <v>814</v>
      </c>
      <c r="C79" s="703">
        <f>C26</f>
        <v>0</v>
      </c>
      <c r="D79" s="597"/>
      <c r="E79" s="597"/>
      <c r="F79" s="597"/>
      <c r="G79" s="597"/>
      <c r="H79" s="597"/>
      <c r="I79" s="597"/>
      <c r="J79" s="597"/>
      <c r="K79" s="665"/>
      <c r="L79" s="666"/>
      <c r="M79" s="667"/>
      <c r="N79" s="2148"/>
      <c r="O79" s="2148"/>
      <c r="P79" s="2149"/>
      <c r="Q79" s="2142"/>
      <c r="R79" s="2129"/>
      <c r="S79" s="2129"/>
      <c r="T79" s="2129"/>
      <c r="U79" s="2129"/>
      <c r="V79" s="2129"/>
      <c r="W79" s="2129"/>
      <c r="X79" s="2129"/>
      <c r="Y79" s="2129"/>
      <c r="Z79" s="2129"/>
      <c r="AA79" s="2129"/>
      <c r="AB79" s="2129"/>
      <c r="AC79" s="2129"/>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8"/>
      <c r="B81" s="672" t="s">
        <v>815</v>
      </c>
      <c r="C81" s="935"/>
      <c r="D81" s="935"/>
      <c r="E81" s="935"/>
      <c r="F81" s="935"/>
      <c r="G81" s="935"/>
      <c r="H81" s="935"/>
      <c r="I81" s="935"/>
      <c r="J81" s="935"/>
      <c r="K81" s="936"/>
      <c r="L81" s="937"/>
      <c r="M81" s="938"/>
      <c r="N81" s="2146"/>
      <c r="O81" s="2146"/>
      <c r="P81" s="2149"/>
      <c r="Q81" s="2142"/>
      <c r="R81" s="2129"/>
      <c r="S81" s="2129"/>
      <c r="T81" s="2129"/>
      <c r="U81" s="2129"/>
      <c r="V81" s="2129"/>
      <c r="W81" s="2129"/>
      <c r="X81" s="2129"/>
      <c r="Y81" s="2129"/>
      <c r="Z81" s="2129"/>
      <c r="AA81" s="2129"/>
      <c r="AB81" s="2129"/>
      <c r="AC81" s="2129"/>
    </row>
    <row r="82" spans="1:29" s="1334" customFormat="1" ht="15.75" thickBot="1">
      <c r="A82" s="686"/>
      <c r="B82" s="677"/>
      <c r="C82" s="691"/>
      <c r="D82" s="670"/>
      <c r="E82" s="670"/>
      <c r="F82" s="670"/>
      <c r="G82" s="670"/>
      <c r="H82" s="670"/>
      <c r="I82" s="670"/>
      <c r="J82" s="670"/>
      <c r="K82" s="670"/>
      <c r="L82" s="670"/>
      <c r="M82" s="671"/>
      <c r="N82" s="2150"/>
      <c r="O82" s="2150"/>
      <c r="P82" s="2152"/>
      <c r="Q82" s="2153"/>
      <c r="R82" s="2154"/>
      <c r="S82" s="2154"/>
      <c r="T82" s="2154"/>
      <c r="U82" s="2154"/>
      <c r="V82" s="2154"/>
      <c r="W82" s="2154"/>
      <c r="X82" s="2154"/>
      <c r="Y82" s="2154"/>
      <c r="Z82" s="2154"/>
      <c r="AA82" s="2154"/>
      <c r="AB82" s="2154"/>
      <c r="AC82" s="2154"/>
    </row>
    <row r="83" spans="1:29" ht="15" thickTop="1">
      <c r="A83" s="734"/>
      <c r="B83" s="672" t="s">
        <v>751</v>
      </c>
      <c r="C83" s="687"/>
      <c r="D83" s="687"/>
      <c r="E83" s="717"/>
      <c r="F83" s="717"/>
      <c r="G83" s="717"/>
      <c r="H83" s="717"/>
      <c r="I83" s="717"/>
      <c r="J83" s="717"/>
      <c r="K83" s="718"/>
      <c r="L83" s="719"/>
      <c r="M83" s="720"/>
      <c r="N83" s="2148"/>
      <c r="O83" s="2148"/>
      <c r="P83" s="2149"/>
      <c r="Q83" s="2142"/>
      <c r="R83" s="2129"/>
      <c r="S83" s="2129"/>
      <c r="T83" s="2129"/>
      <c r="U83" s="2129"/>
      <c r="V83" s="2129"/>
      <c r="W83" s="2129"/>
      <c r="X83" s="2129"/>
      <c r="Y83" s="2129"/>
      <c r="Z83" s="2129"/>
      <c r="AA83" s="2129"/>
      <c r="AB83" s="2129"/>
      <c r="AC83" s="2129"/>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8"/>
      <c r="O85" s="2148"/>
      <c r="P85" s="2149"/>
      <c r="Q85" s="2142"/>
      <c r="R85" s="2129"/>
      <c r="S85" s="2129"/>
      <c r="T85" s="2129"/>
      <c r="U85" s="2129"/>
      <c r="V85" s="2129"/>
      <c r="W85" s="2129"/>
      <c r="X85" s="2129"/>
      <c r="Y85" s="2129"/>
      <c r="Z85" s="2129"/>
      <c r="AA85" s="2129"/>
      <c r="AB85" s="2129"/>
      <c r="AC85" s="2129"/>
    </row>
    <row r="86" spans="1:29">
      <c r="A86" s="734"/>
      <c r="B86" s="680"/>
      <c r="C86" s="893">
        <v>0.5</v>
      </c>
      <c r="D86" s="893">
        <v>0.6</v>
      </c>
      <c r="E86" s="893">
        <v>0.7</v>
      </c>
      <c r="F86" s="893">
        <v>0.8</v>
      </c>
      <c r="G86" s="893">
        <v>0.9</v>
      </c>
      <c r="H86" s="893">
        <v>1.0001</v>
      </c>
      <c r="I86" s="904"/>
      <c r="J86" s="904"/>
      <c r="K86" s="905"/>
      <c r="L86" s="906"/>
      <c r="M86" s="907"/>
      <c r="N86" s="2148"/>
      <c r="O86" s="2148"/>
      <c r="P86" s="2149"/>
      <c r="Q86" s="2142"/>
      <c r="R86" s="2129"/>
      <c r="S86" s="2129"/>
      <c r="T86" s="2129"/>
      <c r="U86" s="2129"/>
      <c r="V86" s="2129"/>
      <c r="W86" s="2129"/>
      <c r="X86" s="2129"/>
      <c r="Y86" s="2129"/>
      <c r="Z86" s="2129"/>
      <c r="AA86" s="2129"/>
      <c r="AB86" s="2129"/>
      <c r="AC86" s="2129"/>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4"/>
      <c r="B88" s="680" t="s">
        <v>817</v>
      </c>
      <c r="C88" s="597"/>
      <c r="D88" s="597"/>
      <c r="E88" s="597"/>
      <c r="F88" s="597"/>
      <c r="G88" s="597"/>
      <c r="H88" s="597"/>
      <c r="I88" s="597"/>
      <c r="J88" s="597"/>
      <c r="K88" s="665"/>
      <c r="L88" s="666"/>
      <c r="M88" s="667"/>
      <c r="N88" s="2148"/>
      <c r="O88" s="2148"/>
      <c r="P88" s="2149"/>
      <c r="Q88" s="2142"/>
      <c r="R88" s="2129"/>
      <c r="S88" s="2129"/>
      <c r="T88" s="2129"/>
      <c r="U88" s="2129"/>
      <c r="V88" s="2129"/>
      <c r="W88" s="2129"/>
      <c r="X88" s="2129"/>
      <c r="Y88" s="2129"/>
      <c r="Z88" s="2129"/>
      <c r="AA88" s="2129"/>
      <c r="AB88" s="2129"/>
      <c r="AC88" s="2129"/>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50"/>
      <c r="O89" s="2150"/>
      <c r="P89" s="2149"/>
      <c r="Q89" s="2142"/>
      <c r="R89" s="2129"/>
      <c r="S89" s="2129"/>
      <c r="T89" s="2129"/>
      <c r="U89" s="2129"/>
      <c r="V89" s="2129"/>
      <c r="W89" s="2129"/>
      <c r="X89" s="2129"/>
      <c r="Y89" s="2129"/>
      <c r="Z89" s="2129"/>
      <c r="AA89" s="2129"/>
      <c r="AB89" s="2129"/>
      <c r="AC89" s="2129"/>
    </row>
    <row r="90" spans="1:29" s="1334"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1"/>
      <c r="O90" s="2151"/>
      <c r="P90" s="2152"/>
      <c r="Q90" s="2153"/>
      <c r="R90" s="2154"/>
      <c r="S90" s="2154"/>
      <c r="T90" s="2154"/>
      <c r="U90" s="2154"/>
      <c r="V90" s="2154"/>
      <c r="W90" s="2154"/>
      <c r="X90" s="2154"/>
      <c r="Y90" s="2154"/>
      <c r="Z90" s="2154"/>
      <c r="AA90" s="2154"/>
      <c r="AB90" s="2154"/>
      <c r="AC90" s="2154"/>
    </row>
    <row r="91" spans="1:29" s="1334" customFormat="1">
      <c r="A91" s="727"/>
      <c r="B91" s="680"/>
      <c r="C91" s="729"/>
      <c r="D91" s="729"/>
      <c r="E91" s="729"/>
      <c r="F91" s="729"/>
      <c r="G91" s="729"/>
      <c r="H91" s="729"/>
      <c r="I91" s="729"/>
      <c r="J91" s="730"/>
      <c r="K91" s="730"/>
      <c r="L91" s="731"/>
      <c r="M91" s="732"/>
      <c r="N91" s="2151"/>
      <c r="O91" s="2151"/>
      <c r="P91" s="2152"/>
      <c r="Q91" s="2153"/>
      <c r="R91" s="2154"/>
      <c r="S91" s="2154"/>
      <c r="T91" s="2154"/>
      <c r="U91" s="2154"/>
      <c r="V91" s="2154"/>
      <c r="W91" s="2154"/>
      <c r="X91" s="2154"/>
      <c r="Y91" s="2154"/>
      <c r="Z91" s="2154"/>
      <c r="AA91" s="2154"/>
      <c r="AB91" s="2154"/>
      <c r="AC91" s="2154"/>
    </row>
    <row r="92" spans="1:29" s="1334" customFormat="1" ht="15.75" thickBot="1">
      <c r="A92" s="686"/>
      <c r="B92" s="677"/>
      <c r="C92" s="691"/>
      <c r="D92" s="670"/>
      <c r="E92" s="670"/>
      <c r="F92" s="670"/>
      <c r="G92" s="670"/>
      <c r="H92" s="670"/>
      <c r="I92" s="670"/>
      <c r="J92" s="670"/>
      <c r="K92" s="670"/>
      <c r="L92" s="670"/>
      <c r="M92" s="671"/>
      <c r="N92" s="2151"/>
      <c r="O92" s="2151"/>
      <c r="P92" s="2152"/>
      <c r="Q92" s="2153"/>
      <c r="R92" s="2154"/>
      <c r="S92" s="2154"/>
      <c r="T92" s="2154"/>
      <c r="U92" s="2154"/>
      <c r="V92" s="2154"/>
      <c r="W92" s="2154"/>
      <c r="X92" s="2154"/>
      <c r="Y92" s="2154"/>
      <c r="Z92" s="2154"/>
      <c r="AA92" s="2154"/>
      <c r="AB92" s="2154"/>
      <c r="AC92" s="2154"/>
    </row>
    <row r="93" spans="1:29" ht="15" thickTop="1">
      <c r="A93" s="734"/>
      <c r="B93" s="672" t="s">
        <v>819</v>
      </c>
      <c r="C93" s="687"/>
      <c r="D93" s="687"/>
      <c r="E93" s="717"/>
      <c r="F93" s="717"/>
      <c r="G93" s="717"/>
      <c r="H93" s="717"/>
      <c r="I93" s="717"/>
      <c r="J93" s="717"/>
      <c r="K93" s="718"/>
      <c r="L93" s="719"/>
      <c r="M93" s="720"/>
      <c r="N93" s="2148"/>
      <c r="O93" s="2148"/>
      <c r="P93" s="2149"/>
      <c r="Q93" s="2142"/>
      <c r="R93" s="2129"/>
      <c r="S93" s="2129"/>
      <c r="T93" s="2129"/>
      <c r="U93" s="2129"/>
      <c r="V93" s="2129"/>
      <c r="W93" s="2129"/>
      <c r="X93" s="2129"/>
      <c r="Y93" s="2129"/>
      <c r="Z93" s="2129"/>
      <c r="AA93" s="2129"/>
      <c r="AB93" s="2129"/>
      <c r="AC93" s="2129"/>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4"/>
      <c r="B95" s="672" t="s">
        <v>820</v>
      </c>
      <c r="C95" s="597"/>
      <c r="D95" s="597"/>
      <c r="E95" s="597"/>
      <c r="F95" s="597"/>
      <c r="G95" s="597"/>
      <c r="H95" s="597"/>
      <c r="I95" s="597"/>
      <c r="J95" s="597"/>
      <c r="K95" s="665"/>
      <c r="L95" s="666"/>
      <c r="M95" s="667"/>
      <c r="N95" s="2148"/>
      <c r="O95" s="2148"/>
      <c r="P95" s="2149"/>
      <c r="Q95" s="2142"/>
      <c r="R95" s="2129"/>
      <c r="S95" s="2129"/>
      <c r="T95" s="2129"/>
      <c r="U95" s="2129"/>
      <c r="V95" s="2129"/>
      <c r="W95" s="2129"/>
      <c r="X95" s="2129"/>
      <c r="Y95" s="2129"/>
      <c r="Z95" s="2129"/>
      <c r="AA95" s="2129"/>
      <c r="AB95" s="2129"/>
      <c r="AC95" s="2129"/>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50"/>
      <c r="O96" s="2150"/>
      <c r="P96" s="2149"/>
      <c r="Q96" s="2142"/>
      <c r="R96" s="2129"/>
      <c r="S96" s="2129"/>
      <c r="T96" s="2129"/>
      <c r="U96" s="2129"/>
      <c r="V96" s="2129"/>
      <c r="W96" s="2129"/>
      <c r="X96" s="2129"/>
      <c r="Y96" s="2129"/>
      <c r="Z96" s="2129"/>
      <c r="AA96" s="2129"/>
      <c r="AB96" s="2129"/>
      <c r="AC96" s="2129"/>
    </row>
    <row r="97" spans="1:29" ht="15" thickTop="1">
      <c r="A97" s="734"/>
      <c r="B97" s="916">
        <f>B34</f>
        <v>111</v>
      </c>
      <c r="C97" s="540"/>
      <c r="D97" s="540"/>
      <c r="E97" s="540"/>
      <c r="F97" s="540"/>
      <c r="G97" s="687"/>
      <c r="H97" s="688"/>
      <c r="I97" s="688"/>
      <c r="J97" s="688"/>
      <c r="K97" s="688"/>
      <c r="L97" s="689"/>
      <c r="M97" s="690"/>
      <c r="N97" s="2150"/>
      <c r="O97" s="2150"/>
      <c r="P97" s="2189"/>
      <c r="Q97" s="2190"/>
      <c r="R97" s="2129"/>
      <c r="S97" s="2129"/>
      <c r="T97" s="2129"/>
      <c r="U97" s="2129"/>
      <c r="V97" s="2129"/>
      <c r="W97" s="2129"/>
      <c r="X97" s="2129"/>
      <c r="Y97" s="2129"/>
      <c r="Z97" s="2129"/>
      <c r="AA97" s="2129"/>
      <c r="AB97" s="2129"/>
      <c r="AC97" s="2129"/>
    </row>
    <row r="98" spans="1:29" ht="15.75" thickBot="1">
      <c r="A98" s="668"/>
      <c r="B98" s="677"/>
      <c r="C98" s="691"/>
      <c r="D98" s="670"/>
      <c r="E98" s="670"/>
      <c r="F98" s="670"/>
      <c r="G98" s="691"/>
      <c r="H98" s="692"/>
      <c r="I98" s="692"/>
      <c r="J98" s="692"/>
      <c r="K98" s="692"/>
      <c r="L98" s="692"/>
      <c r="M98" s="693"/>
      <c r="N98" s="2150"/>
      <c r="O98" s="2150"/>
      <c r="P98" s="2149"/>
      <c r="Q98" s="2142"/>
      <c r="R98" s="2129"/>
      <c r="S98" s="2129"/>
      <c r="T98" s="2129"/>
      <c r="U98" s="2129"/>
      <c r="V98" s="2129"/>
      <c r="W98" s="2129"/>
      <c r="X98" s="2129"/>
      <c r="Y98" s="2129"/>
      <c r="Z98" s="2129"/>
      <c r="AA98" s="2129"/>
      <c r="AB98" s="2129"/>
      <c r="AC98" s="2129"/>
    </row>
    <row r="99" spans="1:29" s="1334" customFormat="1" ht="15" thickTop="1">
      <c r="A99" s="727"/>
      <c r="B99" s="672">
        <f>B35</f>
        <v>111</v>
      </c>
      <c r="C99" s="540"/>
      <c r="D99" s="540"/>
      <c r="E99" s="540"/>
      <c r="F99" s="540"/>
      <c r="G99" s="687"/>
      <c r="H99" s="688"/>
      <c r="I99" s="688"/>
      <c r="J99" s="688"/>
      <c r="K99" s="688"/>
      <c r="L99" s="689"/>
      <c r="M99" s="690"/>
      <c r="N99" s="2151"/>
      <c r="O99" s="2151"/>
      <c r="P99" s="2152"/>
      <c r="Q99" s="2153"/>
      <c r="R99" s="2154"/>
      <c r="S99" s="2154"/>
      <c r="T99" s="2154"/>
      <c r="U99" s="2154"/>
      <c r="V99" s="2154"/>
      <c r="W99" s="2154"/>
      <c r="X99" s="2154"/>
      <c r="Y99" s="2154"/>
      <c r="Z99" s="2154"/>
      <c r="AA99" s="2154"/>
      <c r="AB99" s="2154"/>
      <c r="AC99" s="2154"/>
    </row>
    <row r="100" spans="1:29" s="1334" customFormat="1" ht="15.75" thickBot="1">
      <c r="A100" s="686"/>
      <c r="B100" s="669"/>
      <c r="C100" s="691"/>
      <c r="D100" s="670"/>
      <c r="E100" s="670"/>
      <c r="F100" s="670"/>
      <c r="G100" s="691"/>
      <c r="H100" s="692"/>
      <c r="I100" s="692"/>
      <c r="J100" s="692"/>
      <c r="K100" s="692"/>
      <c r="L100" s="692"/>
      <c r="M100" s="693"/>
      <c r="N100" s="2151"/>
      <c r="O100" s="2151"/>
      <c r="P100" s="2152"/>
      <c r="Q100" s="2153"/>
      <c r="R100" s="2154"/>
      <c r="S100" s="2154"/>
      <c r="T100" s="2154"/>
      <c r="U100" s="2154"/>
      <c r="V100" s="2154"/>
      <c r="W100" s="2154"/>
      <c r="X100" s="2154"/>
      <c r="Y100" s="2154"/>
      <c r="Z100" s="2154"/>
      <c r="AA100" s="2154"/>
      <c r="AB100" s="2154"/>
      <c r="AC100" s="2154"/>
    </row>
    <row r="101" spans="1:29" ht="15" thickTop="1">
      <c r="A101" s="734"/>
      <c r="B101" s="672">
        <f>B36</f>
        <v>111</v>
      </c>
      <c r="C101" s="687"/>
      <c r="D101" s="687"/>
      <c r="E101" s="687"/>
      <c r="F101" s="687"/>
      <c r="G101" s="687"/>
      <c r="H101" s="688"/>
      <c r="I101" s="688"/>
      <c r="J101" s="688"/>
      <c r="K101" s="688"/>
      <c r="L101" s="689"/>
      <c r="M101" s="690"/>
      <c r="N101" s="2148"/>
      <c r="O101" s="2148"/>
      <c r="P101" s="2149"/>
      <c r="Q101" s="2142"/>
      <c r="R101" s="2129"/>
      <c r="S101" s="2129"/>
      <c r="T101" s="2129"/>
      <c r="U101" s="2129"/>
      <c r="V101" s="2129"/>
      <c r="W101" s="2129"/>
      <c r="X101" s="2129"/>
      <c r="Y101" s="2129"/>
      <c r="Z101" s="2129"/>
      <c r="AA101" s="2129"/>
      <c r="AB101" s="2129"/>
      <c r="AC101" s="2129"/>
    </row>
    <row r="102" spans="1:29" ht="15.75" thickBot="1">
      <c r="A102" s="668"/>
      <c r="B102" s="677"/>
      <c r="C102" s="691"/>
      <c r="D102" s="691"/>
      <c r="E102" s="691"/>
      <c r="F102" s="691"/>
      <c r="G102" s="691"/>
      <c r="H102" s="692"/>
      <c r="I102" s="692"/>
      <c r="J102" s="692"/>
      <c r="K102" s="692"/>
      <c r="L102" s="692"/>
      <c r="M102" s="693"/>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922"/>
      <c r="C1" s="503" t="s">
        <v>792</v>
      </c>
      <c r="D1" s="848"/>
      <c r="E1" s="505"/>
      <c r="F1" s="2761"/>
      <c r="G1" s="1585" t="s">
        <v>793</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794</v>
      </c>
      <c r="B2" s="849"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1" customFormat="1" ht="28.5" customHeight="1" thickBot="1">
      <c r="A3" s="508" t="s">
        <v>795</v>
      </c>
      <c r="B3" s="509" t="e">
        <f>C37</f>
        <v>#DIV/0!</v>
      </c>
      <c r="C3" s="851" t="s">
        <v>796</v>
      </c>
      <c r="D3" s="850">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7"/>
    </row>
    <row r="4" spans="1:29" ht="15">
      <c r="A4" s="511" t="s">
        <v>797</v>
      </c>
      <c r="B4" s="512"/>
      <c r="C4" s="4023" t="s">
        <v>798</v>
      </c>
      <c r="D4" s="4024"/>
      <c r="E4" s="4047" t="s">
        <v>799</v>
      </c>
      <c r="F4" s="4048"/>
      <c r="G4" s="4023" t="s">
        <v>800</v>
      </c>
      <c r="H4" s="4024"/>
      <c r="I4" s="4023" t="s">
        <v>801</v>
      </c>
      <c r="J4" s="4024"/>
      <c r="K4" s="513" t="s">
        <v>802</v>
      </c>
      <c r="L4" s="2117"/>
      <c r="M4" s="2118"/>
      <c r="N4" s="2118"/>
      <c r="O4" s="2118"/>
      <c r="P4" s="4025" t="s">
        <v>803</v>
      </c>
      <c r="Q4" s="4026"/>
      <c r="R4" s="4011" t="s">
        <v>799</v>
      </c>
      <c r="S4" s="4012"/>
      <c r="T4" s="4011" t="s">
        <v>800</v>
      </c>
      <c r="U4" s="4012"/>
      <c r="V4" s="4031" t="s">
        <v>801</v>
      </c>
      <c r="W4" s="4031"/>
      <c r="X4" s="1552"/>
      <c r="Y4" s="4011" t="s">
        <v>803</v>
      </c>
      <c r="Z4" s="4012"/>
      <c r="AA4" s="4006" t="s">
        <v>799</v>
      </c>
      <c r="AB4" s="4007" t="s">
        <v>800</v>
      </c>
      <c r="AC4" s="4006" t="s">
        <v>801</v>
      </c>
    </row>
    <row r="5" spans="1:29" ht="15">
      <c r="A5" s="514"/>
      <c r="B5" s="515"/>
      <c r="C5" s="4034" t="s">
        <v>2926</v>
      </c>
      <c r="D5" s="4035"/>
      <c r="E5" s="4049" t="s">
        <v>2927</v>
      </c>
      <c r="F5" s="4050"/>
      <c r="G5" s="4034" t="s">
        <v>2928</v>
      </c>
      <c r="H5" s="4035"/>
      <c r="I5" s="4034" t="s">
        <v>2929</v>
      </c>
      <c r="J5" s="4035"/>
      <c r="K5" s="513"/>
      <c r="L5" s="2117"/>
      <c r="M5" s="2118"/>
      <c r="N5" s="2118"/>
      <c r="O5" s="2118"/>
      <c r="P5" s="4027"/>
      <c r="Q5" s="4028"/>
      <c r="R5" s="4013"/>
      <c r="S5" s="4014"/>
      <c r="T5" s="4013"/>
      <c r="U5" s="4014"/>
      <c r="V5" s="4031"/>
      <c r="W5" s="4031"/>
      <c r="X5" s="1552"/>
      <c r="Y5" s="4013"/>
      <c r="Z5" s="4014"/>
      <c r="AA5" s="4007"/>
      <c r="AB5" s="4007"/>
      <c r="AC5" s="4007"/>
    </row>
    <row r="6" spans="1:29" ht="15.75" thickBot="1">
      <c r="A6" s="516"/>
      <c r="B6" s="517"/>
      <c r="C6" s="4032" t="s">
        <v>2930</v>
      </c>
      <c r="D6" s="4033"/>
      <c r="E6" s="4051" t="s">
        <v>2930</v>
      </c>
      <c r="F6" s="4052"/>
      <c r="G6" s="4032" t="s">
        <v>2930</v>
      </c>
      <c r="H6" s="4033"/>
      <c r="I6" s="4032" t="s">
        <v>2930</v>
      </c>
      <c r="J6" s="4033"/>
      <c r="K6" s="513" t="s">
        <v>528</v>
      </c>
      <c r="L6" s="2117"/>
      <c r="M6" s="2118"/>
      <c r="N6" s="2118"/>
      <c r="O6" s="2118"/>
      <c r="P6" s="4029"/>
      <c r="Q6" s="4030"/>
      <c r="R6" s="4013"/>
      <c r="S6" s="4014"/>
      <c r="T6" s="4015"/>
      <c r="U6" s="4016"/>
      <c r="V6" s="4031"/>
      <c r="W6" s="4031"/>
      <c r="X6" s="1552"/>
      <c r="Y6" s="4015"/>
      <c r="Z6" s="4016"/>
      <c r="AA6" s="4008"/>
      <c r="AB6" s="4008"/>
      <c r="AC6" s="4008"/>
    </row>
    <row r="7" spans="1:29" s="1215" customFormat="1" ht="15.75" thickBot="1">
      <c r="A7" s="2865"/>
      <c r="B7" s="2872" t="s">
        <v>529</v>
      </c>
      <c r="C7" s="518">
        <f>'数据-取费表'!B2</f>
        <v>43647</v>
      </c>
      <c r="D7" s="519">
        <v>100</v>
      </c>
      <c r="E7" s="520"/>
      <c r="F7" s="521">
        <f>SUMIF(46:46,YEAR(E7)&amp;"-"&amp;MONTH(E7),47:47)</f>
        <v>0</v>
      </c>
      <c r="G7" s="522"/>
      <c r="H7" s="519">
        <f>SUMIF(46:46,YEAR(G7)&amp;"-"&amp;MONTH(G7),47:47)</f>
        <v>0</v>
      </c>
      <c r="I7" s="522"/>
      <c r="J7" s="519">
        <f>SUMIF(46:46,YEAR(I7)&amp;"-"&amp;MONTH(I7),47:47)</f>
        <v>0</v>
      </c>
      <c r="K7" s="523"/>
      <c r="L7" s="2119"/>
      <c r="M7" s="2120"/>
      <c r="N7" s="2120"/>
      <c r="O7" s="2120"/>
      <c r="P7" s="4009" t="s">
        <v>530</v>
      </c>
      <c r="Q7" s="4018"/>
      <c r="R7" s="1553" t="s">
        <v>8</v>
      </c>
      <c r="S7" s="1554">
        <f t="shared" ref="S7:S14" si="0">F7</f>
        <v>0</v>
      </c>
      <c r="T7" s="1553" t="s">
        <v>8</v>
      </c>
      <c r="U7" s="1554">
        <f t="shared" ref="U7:U14" si="1">H7</f>
        <v>0</v>
      </c>
      <c r="V7" s="1553" t="s">
        <v>8</v>
      </c>
      <c r="W7" s="1554">
        <f t="shared" ref="W7:W14" si="2">J7</f>
        <v>0</v>
      </c>
      <c r="X7" s="1555"/>
      <c r="Y7" s="4009" t="s">
        <v>530</v>
      </c>
      <c r="Z7" s="4010"/>
      <c r="AA7" s="1556" t="e">
        <f>D7/F7</f>
        <v>#DIV/0!</v>
      </c>
      <c r="AB7" s="1556" t="e">
        <f>D7/H7</f>
        <v>#DIV/0!</v>
      </c>
      <c r="AC7" s="1556" t="e">
        <f>D7/J7</f>
        <v>#DIV/0!</v>
      </c>
    </row>
    <row r="8" spans="1:29" s="1215" customFormat="1" ht="15.75" thickBot="1">
      <c r="A8" s="2866"/>
      <c r="B8" s="2873" t="s">
        <v>531</v>
      </c>
      <c r="C8" s="524" t="s">
        <v>576</v>
      </c>
      <c r="D8" s="519">
        <v>100</v>
      </c>
      <c r="E8" s="524"/>
      <c r="F8" s="521">
        <f>SUMIF(49:49,E8,50:50)-SUMIF(49:49,C8,50:50)+100</f>
        <v>0</v>
      </c>
      <c r="G8" s="524"/>
      <c r="H8" s="519">
        <f>SUMIF(49:49,G8,50:50)-SUMIF(49:49,C8,50:50)+100</f>
        <v>0</v>
      </c>
      <c r="I8" s="524"/>
      <c r="J8" s="519">
        <f>SUMIF(49:49,I8,50:50)-SUMIF(49:49,C8,50:50)+100</f>
        <v>0</v>
      </c>
      <c r="K8" s="523"/>
      <c r="L8" s="2119"/>
      <c r="M8" s="2120"/>
      <c r="N8" s="2120"/>
      <c r="O8" s="2120"/>
      <c r="P8" s="4009" t="s">
        <v>533</v>
      </c>
      <c r="Q8" s="4010"/>
      <c r="R8" s="1553" t="s">
        <v>8</v>
      </c>
      <c r="S8" s="1554">
        <f t="shared" si="0"/>
        <v>0</v>
      </c>
      <c r="T8" s="1553" t="s">
        <v>8</v>
      </c>
      <c r="U8" s="1554">
        <f t="shared" si="1"/>
        <v>0</v>
      </c>
      <c r="V8" s="1553" t="s">
        <v>8</v>
      </c>
      <c r="W8" s="1554">
        <f t="shared" si="2"/>
        <v>0</v>
      </c>
      <c r="X8" s="1555"/>
      <c r="Y8" s="4009" t="s">
        <v>533</v>
      </c>
      <c r="Z8" s="4010"/>
      <c r="AA8" s="1556" t="e">
        <f t="shared" ref="AA8:AA34" si="3">D8/F8</f>
        <v>#DIV/0!</v>
      </c>
      <c r="AB8" s="1556" t="e">
        <f t="shared" ref="AB8:AB34" si="4">D8/H8</f>
        <v>#DIV/0!</v>
      </c>
      <c r="AC8" s="1556" t="e">
        <f t="shared" ref="AC8:AC34" si="5">D8/J8</f>
        <v>#DIV/0!</v>
      </c>
    </row>
    <row r="9" spans="1:29" s="1215" customFormat="1" ht="15">
      <c r="A9" s="2867"/>
      <c r="B9" s="2874" t="s">
        <v>2755</v>
      </c>
      <c r="C9" s="856"/>
      <c r="D9" s="253">
        <v>100</v>
      </c>
      <c r="E9" s="859"/>
      <c r="F9" s="253">
        <f>SUMIF(51:51,E9,52:52)-SUMIF(51:51,C9,52:52)+100</f>
        <v>100</v>
      </c>
      <c r="G9" s="859"/>
      <c r="H9" s="253">
        <f>SUMIF(51:51,G9,52:52)-SUMIF(51:51,C9,52:52)+100</f>
        <v>100</v>
      </c>
      <c r="I9" s="859"/>
      <c r="J9" s="253">
        <f>SUMIF(51:51,I9,52:52)-SUMIF(51:51,C9,52:52)+100</f>
        <v>100</v>
      </c>
      <c r="K9" s="523"/>
      <c r="L9" s="2119"/>
      <c r="M9" s="2120"/>
      <c r="N9" s="2120"/>
      <c r="O9" s="2121"/>
      <c r="P9" s="4017" t="s">
        <v>535</v>
      </c>
      <c r="Q9" s="1146" t="str">
        <f t="shared" ref="Q9:Q14" si="6">B9</f>
        <v>用途</v>
      </c>
      <c r="R9" s="1553" t="s">
        <v>8</v>
      </c>
      <c r="S9" s="1554">
        <f t="shared" si="0"/>
        <v>100</v>
      </c>
      <c r="T9" s="1553" t="s">
        <v>8</v>
      </c>
      <c r="U9" s="1554">
        <f t="shared" si="1"/>
        <v>100</v>
      </c>
      <c r="V9" s="1553" t="s">
        <v>8</v>
      </c>
      <c r="W9" s="1554">
        <f t="shared" si="2"/>
        <v>100</v>
      </c>
      <c r="X9" s="1555"/>
      <c r="Y9" s="3974" t="s">
        <v>536</v>
      </c>
      <c r="Z9" s="1145" t="str">
        <f t="shared" ref="Z9:Z14" si="7">Q9</f>
        <v>用途</v>
      </c>
      <c r="AA9" s="1556">
        <f t="shared" si="3"/>
        <v>1</v>
      </c>
      <c r="AB9" s="1556">
        <f t="shared" si="4"/>
        <v>1</v>
      </c>
      <c r="AC9" s="1556">
        <f t="shared" si="5"/>
        <v>1</v>
      </c>
    </row>
    <row r="10" spans="1:29" s="1333" customFormat="1" ht="27">
      <c r="A10" s="2868"/>
      <c r="B10" s="2873" t="s">
        <v>2756</v>
      </c>
      <c r="C10" s="860"/>
      <c r="D10" s="254">
        <v>100</v>
      </c>
      <c r="E10" s="860"/>
      <c r="F10" s="254">
        <f>SUMIF(53:53,E10,54:54)-SUMIF(53:53,C10,54:54)+100</f>
        <v>100</v>
      </c>
      <c r="G10" s="861"/>
      <c r="H10" s="254">
        <f>SUMIF(53:53,G10,54:54)-SUMIF(53:53,C10,54:54)+100</f>
        <v>100</v>
      </c>
      <c r="I10" s="860"/>
      <c r="J10" s="254">
        <f>SUMIF(53:53,I10,54:54)-SUMIF(53:53,C10,54:54)+100</f>
        <v>100</v>
      </c>
      <c r="K10" s="583"/>
      <c r="L10" s="2122"/>
      <c r="M10" s="2162"/>
      <c r="N10" s="2162"/>
      <c r="O10" s="2123"/>
      <c r="P10" s="4017"/>
      <c r="Q10" s="1146" t="str">
        <f t="shared" si="6"/>
        <v>土地使用年限（年）</v>
      </c>
      <c r="R10" s="1553" t="s">
        <v>8</v>
      </c>
      <c r="S10" s="1554">
        <f t="shared" si="0"/>
        <v>100</v>
      </c>
      <c r="T10" s="1553" t="s">
        <v>8</v>
      </c>
      <c r="U10" s="1554">
        <f t="shared" si="1"/>
        <v>100</v>
      </c>
      <c r="V10" s="1553" t="s">
        <v>8</v>
      </c>
      <c r="W10" s="1554">
        <f t="shared" si="2"/>
        <v>100</v>
      </c>
      <c r="X10" s="1555"/>
      <c r="Y10" s="3974"/>
      <c r="Z10" s="1145" t="str">
        <f t="shared" si="7"/>
        <v>土地使用年限（年）</v>
      </c>
      <c r="AA10" s="1556">
        <f t="shared" si="3"/>
        <v>1</v>
      </c>
      <c r="AB10" s="1556">
        <f t="shared" si="4"/>
        <v>1</v>
      </c>
      <c r="AC10" s="1556">
        <f t="shared" si="5"/>
        <v>1</v>
      </c>
    </row>
    <row r="11" spans="1:29" ht="15">
      <c r="A11" s="2870"/>
      <c r="B11" s="2876">
        <v>111</v>
      </c>
      <c r="C11" s="527"/>
      <c r="D11" s="254">
        <v>100</v>
      </c>
      <c r="E11" s="879"/>
      <c r="F11" s="254">
        <f>SUMIF(55:55,E11,56:56)-SUMIF(55:55,C11,56:56)+100</f>
        <v>100</v>
      </c>
      <c r="G11" s="879"/>
      <c r="H11" s="254">
        <f>SUMIF(55:55,G11,56:56)-SUMIF(55:55,C11,56:56)+100</f>
        <v>100</v>
      </c>
      <c r="I11" s="879"/>
      <c r="J11" s="254">
        <f>SUMIF(55:55,I11,56:56)-SUMIF(55:55,C11,56:56)+100</f>
        <v>100</v>
      </c>
      <c r="K11" s="580"/>
      <c r="L11" s="2124"/>
      <c r="M11" s="2118"/>
      <c r="N11" s="2118"/>
      <c r="O11" s="2125"/>
      <c r="P11" s="4017"/>
      <c r="Q11" s="1146">
        <f t="shared" si="6"/>
        <v>111</v>
      </c>
      <c r="R11" s="1553" t="s">
        <v>8</v>
      </c>
      <c r="S11" s="1554">
        <f t="shared" si="0"/>
        <v>100</v>
      </c>
      <c r="T11" s="1553" t="s">
        <v>8</v>
      </c>
      <c r="U11" s="1554">
        <f t="shared" si="1"/>
        <v>100</v>
      </c>
      <c r="V11" s="1553" t="s">
        <v>8</v>
      </c>
      <c r="W11" s="1554">
        <f t="shared" si="2"/>
        <v>100</v>
      </c>
      <c r="X11" s="1555"/>
      <c r="Y11" s="3974"/>
      <c r="Z11" s="1145">
        <f t="shared" si="7"/>
        <v>111</v>
      </c>
      <c r="AA11" s="1556">
        <f t="shared" si="3"/>
        <v>1</v>
      </c>
      <c r="AB11" s="1556">
        <f t="shared" si="4"/>
        <v>1</v>
      </c>
      <c r="AC11" s="1556">
        <f t="shared" si="5"/>
        <v>1</v>
      </c>
    </row>
    <row r="12" spans="1:29" s="1215" customFormat="1" ht="15">
      <c r="A12" s="2870"/>
      <c r="B12" s="2876">
        <v>111</v>
      </c>
      <c r="C12" s="527"/>
      <c r="D12" s="537">
        <v>100</v>
      </c>
      <c r="E12" s="879"/>
      <c r="F12" s="254">
        <f>SUMIF(57:57,E12,58:58)-SUMIF(57:57,C12,58:58)+100</f>
        <v>100</v>
      </c>
      <c r="G12" s="879"/>
      <c r="H12" s="254">
        <f>SUMIF(57:57,G12,58:58)-SUMIF(57:57,C12,58:58)+100</f>
        <v>100</v>
      </c>
      <c r="I12" s="879"/>
      <c r="J12" s="254">
        <f>SUMIF(57:57,I12,58:58)-SUMIF(57:57,C12,58:58)+100</f>
        <v>100</v>
      </c>
      <c r="K12" s="580"/>
      <c r="L12" s="2119"/>
      <c r="M12" s="2120"/>
      <c r="N12" s="2120"/>
      <c r="O12" s="2121"/>
      <c r="P12" s="4017"/>
      <c r="Q12" s="1146">
        <f t="shared" si="6"/>
        <v>111</v>
      </c>
      <c r="R12" s="1553" t="s">
        <v>8</v>
      </c>
      <c r="S12" s="1554">
        <f t="shared" si="0"/>
        <v>100</v>
      </c>
      <c r="T12" s="1553" t="s">
        <v>8</v>
      </c>
      <c r="U12" s="1554">
        <f t="shared" si="1"/>
        <v>100</v>
      </c>
      <c r="V12" s="1553" t="s">
        <v>8</v>
      </c>
      <c r="W12" s="1554">
        <f t="shared" si="2"/>
        <v>100</v>
      </c>
      <c r="X12" s="1555"/>
      <c r="Y12" s="3974"/>
      <c r="Z12" s="1145">
        <f t="shared" si="7"/>
        <v>111</v>
      </c>
      <c r="AA12" s="1556">
        <f>D12/F12</f>
        <v>1</v>
      </c>
      <c r="AB12" s="1556">
        <f>D12/H12</f>
        <v>1</v>
      </c>
      <c r="AC12" s="1556">
        <f>D12/J12</f>
        <v>1</v>
      </c>
    </row>
    <row r="13" spans="1:29" ht="15.75" thickBot="1">
      <c r="A13" s="2871"/>
      <c r="B13" s="2877">
        <v>111</v>
      </c>
      <c r="C13" s="538"/>
      <c r="D13" s="539">
        <v>100</v>
      </c>
      <c r="E13" s="879"/>
      <c r="F13" s="254">
        <f>SUMIF(59:59,E13,60:60)-SUMIF(59:59,C13,60:60)+100</f>
        <v>100</v>
      </c>
      <c r="G13" s="879"/>
      <c r="H13" s="539">
        <f>SUMIF(59:59,G13,60:60)-SUMIF(59:59,C13,60:60)+100</f>
        <v>100</v>
      </c>
      <c r="I13" s="879"/>
      <c r="J13" s="539">
        <f>SUMIF(59:59,I13,60:60)-SUMIF(59:59,C13,60:60)+100</f>
        <v>100</v>
      </c>
      <c r="K13" s="580"/>
      <c r="L13" s="2126"/>
      <c r="M13" s="2118"/>
      <c r="N13" s="2118"/>
      <c r="O13" s="2125"/>
      <c r="P13" s="4017"/>
      <c r="Q13" s="1146">
        <f t="shared" si="6"/>
        <v>111</v>
      </c>
      <c r="R13" s="1553" t="s">
        <v>8</v>
      </c>
      <c r="S13" s="1554">
        <f t="shared" si="0"/>
        <v>100</v>
      </c>
      <c r="T13" s="1553" t="s">
        <v>8</v>
      </c>
      <c r="U13" s="1554">
        <f t="shared" si="1"/>
        <v>100</v>
      </c>
      <c r="V13" s="1553" t="s">
        <v>8</v>
      </c>
      <c r="W13" s="1554">
        <f t="shared" si="2"/>
        <v>100</v>
      </c>
      <c r="X13" s="1555"/>
      <c r="Y13" s="3974"/>
      <c r="Z13" s="1145">
        <f t="shared" si="7"/>
        <v>111</v>
      </c>
      <c r="AA13" s="1556">
        <f t="shared" si="3"/>
        <v>1</v>
      </c>
      <c r="AB13" s="1556">
        <f t="shared" si="4"/>
        <v>1</v>
      </c>
      <c r="AC13" s="1556">
        <f t="shared" si="5"/>
        <v>1</v>
      </c>
    </row>
    <row r="14" spans="1:29" ht="128.25">
      <c r="A14" s="2863" t="s">
        <v>2753</v>
      </c>
      <c r="B14" s="166" t="s">
        <v>543</v>
      </c>
      <c r="C14" s="920" t="str">
        <f>IF(B1="工业",估价对象房地状况!G4,估价对象房地状况!C6)</f>
        <v>周边道路密集程度一般、公共交通通达情况一般，有107路，203路、等公交线路通过，停车便捷程度一般，综合评价交通便捷度一般。</v>
      </c>
      <c r="D14" s="548">
        <v>100</v>
      </c>
      <c r="E14" s="549"/>
      <c r="F14" s="550">
        <f>SUMIF(61:61,E15,62:62)-SUMIF(61:61,C15,62:62)+100</f>
        <v>100</v>
      </c>
      <c r="G14" s="551"/>
      <c r="H14" s="548">
        <f>SUMIF(61:61,G15,62:62)-SUMIF(61:61,C15,62:62)+100</f>
        <v>100</v>
      </c>
      <c r="I14" s="549"/>
      <c r="J14" s="548">
        <f>SUMIF(61:61,I15,62:62)-SUMIF(61:61,C15,62:62)+100</f>
        <v>100</v>
      </c>
      <c r="K14" s="897"/>
      <c r="L14" s="2126"/>
      <c r="M14" s="2118"/>
      <c r="N14" s="2118"/>
      <c r="O14" s="2125"/>
      <c r="P14" s="4019" t="s">
        <v>540</v>
      </c>
      <c r="Q14" s="1557" t="str">
        <f t="shared" si="6"/>
        <v>交通便捷度</v>
      </c>
      <c r="R14" s="1558" t="s">
        <v>8</v>
      </c>
      <c r="S14" s="1559">
        <f t="shared" si="0"/>
        <v>100</v>
      </c>
      <c r="T14" s="1558" t="s">
        <v>8</v>
      </c>
      <c r="U14" s="1559">
        <f t="shared" si="1"/>
        <v>100</v>
      </c>
      <c r="V14" s="1558" t="s">
        <v>8</v>
      </c>
      <c r="W14" s="1559">
        <f t="shared" si="2"/>
        <v>100</v>
      </c>
      <c r="X14" s="1552"/>
      <c r="Y14" s="4019" t="s">
        <v>540</v>
      </c>
      <c r="Z14" s="1560" t="str">
        <f t="shared" si="7"/>
        <v>交通便捷度</v>
      </c>
      <c r="AA14" s="1561">
        <f t="shared" si="3"/>
        <v>1</v>
      </c>
      <c r="AB14" s="1561">
        <f t="shared" si="4"/>
        <v>1</v>
      </c>
      <c r="AC14" s="1561">
        <f t="shared" si="5"/>
        <v>1</v>
      </c>
    </row>
    <row r="15" spans="1:29" ht="15">
      <c r="A15" s="531"/>
      <c r="B15" s="868"/>
      <c r="C15" s="575"/>
      <c r="D15" s="554"/>
      <c r="E15" s="575"/>
      <c r="F15" s="556"/>
      <c r="G15" s="575"/>
      <c r="H15" s="558"/>
      <c r="I15" s="575"/>
      <c r="J15" s="554"/>
      <c r="K15" s="898"/>
      <c r="L15" s="2126"/>
      <c r="M15" s="2118"/>
      <c r="N15" s="2118"/>
      <c r="O15" s="2125"/>
      <c r="P15" s="4020"/>
      <c r="Q15" s="1557"/>
      <c r="R15" s="1558"/>
      <c r="S15" s="1559"/>
      <c r="T15" s="1558"/>
      <c r="U15" s="1559"/>
      <c r="V15" s="1558"/>
      <c r="W15" s="1559"/>
      <c r="X15" s="1552"/>
      <c r="Y15" s="4020"/>
      <c r="Z15" s="1560"/>
      <c r="AA15" s="1561">
        <v>1</v>
      </c>
      <c r="AB15" s="1561">
        <v>1</v>
      </c>
      <c r="AC15" s="1561">
        <v>1</v>
      </c>
    </row>
    <row r="16" spans="1:29" ht="128.25">
      <c r="A16" s="531"/>
      <c r="B16" s="2566" t="s">
        <v>2545</v>
      </c>
      <c r="C16" s="871" t="str">
        <f>IF(B1="工业",估价对象房地状况!G5,估价对象房地状况!C7)</f>
        <v>所在区域2公里范围内有银行（中国邮政储蓄银行）、学校（巴川中学）、商业（无）、医院（无）等配套设施，公共配套设施一般；</v>
      </c>
      <c r="D16" s="564">
        <v>100</v>
      </c>
      <c r="E16" s="569"/>
      <c r="F16" s="570">
        <f>SUMIF(63:63,E17,64:64)-SUMIF(63:63,C17,64:64)+100</f>
        <v>100</v>
      </c>
      <c r="G16" s="571"/>
      <c r="H16" s="564">
        <f>SUMIF(63:63,G17,64:64)-SUMIF(63:63,C17,64:64)+100</f>
        <v>100</v>
      </c>
      <c r="I16" s="569"/>
      <c r="J16" s="564">
        <f>SUMIF(63:63,I17,64:64)-SUMIF(63:63,C17,64:64)+100</f>
        <v>100</v>
      </c>
      <c r="K16" s="897"/>
      <c r="L16" s="2126"/>
      <c r="M16" s="2118"/>
      <c r="N16" s="2118"/>
      <c r="O16" s="2125"/>
      <c r="P16" s="4020"/>
      <c r="Q16" s="1557" t="str">
        <f>B16</f>
        <v>公共配套设施</v>
      </c>
      <c r="R16" s="1558" t="s">
        <v>8</v>
      </c>
      <c r="S16" s="1559">
        <f>F16</f>
        <v>100</v>
      </c>
      <c r="T16" s="1558" t="s">
        <v>8</v>
      </c>
      <c r="U16" s="1559">
        <f>H16</f>
        <v>100</v>
      </c>
      <c r="V16" s="1558" t="s">
        <v>8</v>
      </c>
      <c r="W16" s="1559">
        <f>J16</f>
        <v>100</v>
      </c>
      <c r="X16" s="1552"/>
      <c r="Y16" s="4020"/>
      <c r="Z16" s="1560" t="str">
        <f>Q16</f>
        <v>公共配套设施</v>
      </c>
      <c r="AA16" s="1561">
        <f t="shared" si="3"/>
        <v>1</v>
      </c>
      <c r="AB16" s="1561">
        <f t="shared" si="4"/>
        <v>1</v>
      </c>
      <c r="AC16" s="1561">
        <f t="shared" si="5"/>
        <v>1</v>
      </c>
    </row>
    <row r="17" spans="1:29" ht="15">
      <c r="A17" s="531"/>
      <c r="B17" s="565"/>
      <c r="C17" s="872"/>
      <c r="D17" s="554"/>
      <c r="E17" s="575"/>
      <c r="F17" s="556"/>
      <c r="G17" s="575"/>
      <c r="H17" s="554"/>
      <c r="I17" s="575"/>
      <c r="J17" s="554"/>
      <c r="K17" s="898"/>
      <c r="L17" s="2126"/>
      <c r="M17" s="2118"/>
      <c r="N17" s="2118"/>
      <c r="O17" s="2125"/>
      <c r="P17" s="4020"/>
      <c r="Q17" s="1557"/>
      <c r="R17" s="1558"/>
      <c r="S17" s="1559"/>
      <c r="T17" s="1558"/>
      <c r="U17" s="1559"/>
      <c r="V17" s="1558"/>
      <c r="W17" s="1559"/>
      <c r="X17" s="1552"/>
      <c r="Y17" s="4020"/>
      <c r="Z17" s="1560"/>
      <c r="AA17" s="1561">
        <v>1</v>
      </c>
      <c r="AB17" s="1561">
        <v>1</v>
      </c>
      <c r="AC17" s="1561">
        <v>1</v>
      </c>
    </row>
    <row r="18" spans="1:29" ht="28.5">
      <c r="A18" s="531"/>
      <c r="B18" s="2554" t="s">
        <v>2557</v>
      </c>
      <c r="C18" s="871" t="str">
        <f>IF(B1="工业",估价对象房地状况!G6,估价对象房地状况!C8)</f>
        <v>所在区域基础设施水平达六通</v>
      </c>
      <c r="D18" s="558">
        <v>100</v>
      </c>
      <c r="E18" s="561"/>
      <c r="F18" s="562">
        <f>SUMIF(65:65,E19,66:66)-SUMIF(65:65,C19,66:66)+100</f>
        <v>100</v>
      </c>
      <c r="G18" s="563"/>
      <c r="H18" s="564">
        <f>SUMIF(65:65,G19,66:66)-SUMIF(65:65,C19,66:66)+100</f>
        <v>100</v>
      </c>
      <c r="I18" s="569"/>
      <c r="J18" s="564">
        <f>SUMIF(65:65,I19,66:66)-SUMIF(65:65,C19,66:66)+100</f>
        <v>100</v>
      </c>
      <c r="K18" s="897"/>
      <c r="L18" s="2126"/>
      <c r="M18" s="2118"/>
      <c r="N18" s="2118"/>
      <c r="O18" s="2125"/>
      <c r="P18" s="4020"/>
      <c r="Q18" s="2542" t="str">
        <f>B18</f>
        <v>基础设施水平</v>
      </c>
      <c r="R18" s="1558" t="s">
        <v>8</v>
      </c>
      <c r="S18" s="1559">
        <f>F18</f>
        <v>100</v>
      </c>
      <c r="T18" s="1558" t="s">
        <v>8</v>
      </c>
      <c r="U18" s="1559">
        <f>H18</f>
        <v>100</v>
      </c>
      <c r="V18" s="1558" t="s">
        <v>8</v>
      </c>
      <c r="W18" s="1559">
        <f>J18</f>
        <v>100</v>
      </c>
      <c r="X18" s="2544"/>
      <c r="Y18" s="4020"/>
      <c r="Z18" s="2543" t="str">
        <f>Q18</f>
        <v>基础设施水平</v>
      </c>
      <c r="AA18" s="1561">
        <f t="shared" ref="AA18" si="8">D18/F18</f>
        <v>1</v>
      </c>
      <c r="AB18" s="1561">
        <f t="shared" ref="AB18" si="9">D18/H18</f>
        <v>1</v>
      </c>
      <c r="AC18" s="1561">
        <f t="shared" ref="AC18" si="10">D18/J18</f>
        <v>1</v>
      </c>
    </row>
    <row r="19" spans="1:29" ht="15">
      <c r="A19" s="531"/>
      <c r="B19" s="577"/>
      <c r="C19" s="872"/>
      <c r="D19" s="558"/>
      <c r="E19" s="872"/>
      <c r="F19" s="562"/>
      <c r="G19" s="872"/>
      <c r="H19" s="554"/>
      <c r="I19" s="575"/>
      <c r="J19" s="554"/>
      <c r="K19" s="2565"/>
      <c r="L19" s="2126"/>
      <c r="M19" s="2118"/>
      <c r="N19" s="2118"/>
      <c r="O19" s="2125"/>
      <c r="P19" s="4020"/>
      <c r="Q19" s="2542"/>
      <c r="R19" s="1558"/>
      <c r="S19" s="1559"/>
      <c r="T19" s="1558"/>
      <c r="U19" s="1559"/>
      <c r="V19" s="1558"/>
      <c r="W19" s="1559"/>
      <c r="X19" s="2544"/>
      <c r="Y19" s="4020"/>
      <c r="Z19" s="2543"/>
      <c r="AA19" s="1561">
        <v>1</v>
      </c>
      <c r="AB19" s="1561">
        <v>1</v>
      </c>
      <c r="AC19" s="1561">
        <v>1</v>
      </c>
    </row>
    <row r="20" spans="1:29" ht="85.5">
      <c r="A20" s="531"/>
      <c r="B20" s="870" t="s">
        <v>804</v>
      </c>
      <c r="C20" s="871" t="str">
        <f>IF(B1="工业",估价对象房地状况!G7,估价对象房地状况!C9)</f>
        <v>周边自然环境（项目内部天鹅湖）；人文环境（潼南区图书馆），综合评价环境状况较好；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26"/>
      <c r="M20" s="2118"/>
      <c r="N20" s="2118"/>
      <c r="O20" s="2125"/>
      <c r="P20" s="4020"/>
      <c r="Q20" s="1557" t="str">
        <f>B20</f>
        <v>自然及人文环境</v>
      </c>
      <c r="R20" s="1558" t="s">
        <v>8</v>
      </c>
      <c r="S20" s="1559">
        <f>F20</f>
        <v>100</v>
      </c>
      <c r="T20" s="1558" t="s">
        <v>8</v>
      </c>
      <c r="U20" s="1559">
        <f>H20</f>
        <v>100</v>
      </c>
      <c r="V20" s="1558" t="s">
        <v>8</v>
      </c>
      <c r="W20" s="1559">
        <f>J20</f>
        <v>100</v>
      </c>
      <c r="X20" s="1552"/>
      <c r="Y20" s="4020"/>
      <c r="Z20" s="1560" t="str">
        <f>Q20</f>
        <v>自然及人文环境</v>
      </c>
      <c r="AA20" s="1561">
        <f t="shared" si="3"/>
        <v>1</v>
      </c>
      <c r="AB20" s="1561">
        <f t="shared" si="4"/>
        <v>1</v>
      </c>
      <c r="AC20" s="1561">
        <f t="shared" si="5"/>
        <v>1</v>
      </c>
    </row>
    <row r="21" spans="1:29" ht="15">
      <c r="A21" s="531"/>
      <c r="B21" s="594"/>
      <c r="C21" s="575"/>
      <c r="D21" s="554"/>
      <c r="E21" s="575"/>
      <c r="F21" s="556"/>
      <c r="G21" s="575"/>
      <c r="H21" s="554"/>
      <c r="I21" s="575"/>
      <c r="J21" s="554"/>
      <c r="K21" s="898"/>
      <c r="L21" s="2126"/>
      <c r="M21" s="2118"/>
      <c r="N21" s="2118"/>
      <c r="O21" s="2125"/>
      <c r="P21" s="4020"/>
      <c r="Q21" s="1557"/>
      <c r="R21" s="1558"/>
      <c r="S21" s="1559"/>
      <c r="T21" s="1558"/>
      <c r="U21" s="1559"/>
      <c r="V21" s="1558"/>
      <c r="W21" s="1559"/>
      <c r="X21" s="1552"/>
      <c r="Y21" s="4020"/>
      <c r="Z21" s="1560"/>
      <c r="AA21" s="1561">
        <v>1</v>
      </c>
      <c r="AB21" s="1561">
        <v>1</v>
      </c>
      <c r="AC21" s="1561">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6"/>
      <c r="M22" s="2118"/>
      <c r="N22" s="2118"/>
      <c r="O22" s="2125"/>
      <c r="P22" s="4020"/>
      <c r="Q22" s="1557" t="str">
        <f>B22</f>
        <v>楼层</v>
      </c>
      <c r="R22" s="1558" t="s">
        <v>8</v>
      </c>
      <c r="S22" s="1559">
        <f>F22</f>
        <v>100</v>
      </c>
      <c r="T22" s="1558" t="s">
        <v>8</v>
      </c>
      <c r="U22" s="1559">
        <f>H22</f>
        <v>100</v>
      </c>
      <c r="V22" s="1558" t="s">
        <v>8</v>
      </c>
      <c r="W22" s="1559">
        <f>J22</f>
        <v>100</v>
      </c>
      <c r="X22" s="1552"/>
      <c r="Y22" s="4020"/>
      <c r="Z22" s="1560" t="str">
        <f>Q22</f>
        <v>楼层</v>
      </c>
      <c r="AA22" s="1561">
        <f t="shared" si="3"/>
        <v>1</v>
      </c>
      <c r="AB22" s="1561">
        <f t="shared" si="4"/>
        <v>1</v>
      </c>
      <c r="AC22" s="1561">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6"/>
      <c r="M23" s="2118"/>
      <c r="N23" s="2118"/>
      <c r="O23" s="2125"/>
      <c r="P23" s="4020"/>
      <c r="Q23" s="1557">
        <f>B23</f>
        <v>111</v>
      </c>
      <c r="R23" s="1558" t="s">
        <v>8</v>
      </c>
      <c r="S23" s="1559">
        <f>F23</f>
        <v>100</v>
      </c>
      <c r="T23" s="1558" t="s">
        <v>8</v>
      </c>
      <c r="U23" s="1559">
        <f>H23</f>
        <v>100</v>
      </c>
      <c r="V23" s="1558" t="s">
        <v>8</v>
      </c>
      <c r="W23" s="1559">
        <f>J23</f>
        <v>100</v>
      </c>
      <c r="X23" s="1552"/>
      <c r="Y23" s="4020"/>
      <c r="Z23" s="1560">
        <f>Q23</f>
        <v>111</v>
      </c>
      <c r="AA23" s="1561">
        <f t="shared" si="3"/>
        <v>1</v>
      </c>
      <c r="AB23" s="1561">
        <f t="shared" si="4"/>
        <v>1</v>
      </c>
      <c r="AC23" s="1561">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6"/>
      <c r="M24" s="2118"/>
      <c r="N24" s="2118"/>
      <c r="O24" s="2125"/>
      <c r="P24" s="4020"/>
      <c r="Q24" s="1557">
        <f t="shared" ref="Q24:Q34" si="11">B24</f>
        <v>111</v>
      </c>
      <c r="R24" s="1558" t="s">
        <v>8</v>
      </c>
      <c r="S24" s="1559">
        <f>F24</f>
        <v>100</v>
      </c>
      <c r="T24" s="1558" t="s">
        <v>8</v>
      </c>
      <c r="U24" s="1559">
        <f>H24</f>
        <v>100</v>
      </c>
      <c r="V24" s="1558" t="s">
        <v>8</v>
      </c>
      <c r="W24" s="1559">
        <f>J24</f>
        <v>100</v>
      </c>
      <c r="X24" s="1552"/>
      <c r="Y24" s="4020"/>
      <c r="Z24" s="1560">
        <f>Q24</f>
        <v>111</v>
      </c>
      <c r="AA24" s="1561">
        <f t="shared" si="3"/>
        <v>1</v>
      </c>
      <c r="AB24" s="1561">
        <f t="shared" si="4"/>
        <v>1</v>
      </c>
      <c r="AC24" s="1561">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19"/>
      <c r="M25" s="2120"/>
      <c r="N25" s="2120"/>
      <c r="O25" s="2121"/>
      <c r="P25" s="4020"/>
      <c r="Q25" s="1146">
        <f t="shared" si="11"/>
        <v>111</v>
      </c>
      <c r="R25" s="1553" t="s">
        <v>8</v>
      </c>
      <c r="S25" s="1554">
        <f>F25</f>
        <v>100</v>
      </c>
      <c r="T25" s="1553" t="s">
        <v>8</v>
      </c>
      <c r="U25" s="1554">
        <f>H25</f>
        <v>100</v>
      </c>
      <c r="V25" s="1553" t="s">
        <v>8</v>
      </c>
      <c r="W25" s="1554">
        <f>J25</f>
        <v>100</v>
      </c>
      <c r="X25" s="1555"/>
      <c r="Y25" s="4020"/>
      <c r="Z25" s="1145">
        <f>Q25</f>
        <v>111</v>
      </c>
      <c r="AA25" s="1561">
        <f>D25/F25</f>
        <v>1</v>
      </c>
      <c r="AB25" s="1561">
        <f>D25/H25</f>
        <v>1</v>
      </c>
      <c r="AC25" s="1561">
        <f>D25/J25</f>
        <v>1</v>
      </c>
    </row>
    <row r="26" spans="1:29" ht="15">
      <c r="A26" s="2861" t="s">
        <v>2754</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26"/>
      <c r="M26" s="2118"/>
      <c r="N26" s="2118"/>
      <c r="O26" s="2125"/>
      <c r="P26" s="4021"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4022" t="s">
        <v>821</v>
      </c>
      <c r="Z26" s="1560" t="str">
        <f t="shared" ref="Z26:Z34" si="15">Q26</f>
        <v>公共部分装修</v>
      </c>
      <c r="AA26" s="1561">
        <f t="shared" si="3"/>
        <v>1</v>
      </c>
      <c r="AB26" s="1561">
        <f t="shared" si="4"/>
        <v>1</v>
      </c>
      <c r="AC26" s="1561">
        <f t="shared" si="5"/>
        <v>1</v>
      </c>
    </row>
    <row r="27" spans="1:29" s="1334"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4"/>
      <c r="M27" s="2155"/>
      <c r="N27" s="2155"/>
      <c r="O27" s="2127"/>
      <c r="P27" s="4022"/>
      <c r="Q27" s="1589" t="str">
        <f t="shared" si="11"/>
        <v>成新率</v>
      </c>
      <c r="R27" s="1562" t="s">
        <v>8</v>
      </c>
      <c r="S27" s="1563" t="e">
        <f t="shared" si="12"/>
        <v>#N/A</v>
      </c>
      <c r="T27" s="1562" t="s">
        <v>8</v>
      </c>
      <c r="U27" s="1563" t="e">
        <f t="shared" si="13"/>
        <v>#N/A</v>
      </c>
      <c r="V27" s="1562" t="s">
        <v>8</v>
      </c>
      <c r="W27" s="1563" t="e">
        <f t="shared" si="14"/>
        <v>#N/A</v>
      </c>
      <c r="X27" s="1564"/>
      <c r="Y27" s="4022"/>
      <c r="Z27" s="1565" t="str">
        <f t="shared" si="15"/>
        <v>成新率</v>
      </c>
      <c r="AA27" s="1561" t="e">
        <f t="shared" si="3"/>
        <v>#N/A</v>
      </c>
      <c r="AB27" s="1561" t="e">
        <f t="shared" si="4"/>
        <v>#N/A</v>
      </c>
      <c r="AC27" s="1561"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6"/>
      <c r="M28" s="2118"/>
      <c r="N28" s="2118"/>
      <c r="O28" s="2125"/>
      <c r="P28" s="4022"/>
      <c r="Q28" s="1557" t="str">
        <f t="shared" si="11"/>
        <v>物业等级</v>
      </c>
      <c r="R28" s="1558" t="s">
        <v>8</v>
      </c>
      <c r="S28" s="1559">
        <f t="shared" si="12"/>
        <v>100</v>
      </c>
      <c r="T28" s="1558" t="s">
        <v>8</v>
      </c>
      <c r="U28" s="1559">
        <f t="shared" si="13"/>
        <v>100</v>
      </c>
      <c r="V28" s="1558" t="s">
        <v>8</v>
      </c>
      <c r="W28" s="1559">
        <f t="shared" si="14"/>
        <v>100</v>
      </c>
      <c r="X28" s="1552"/>
      <c r="Y28" s="4022"/>
      <c r="Z28" s="1560" t="str">
        <f t="shared" si="15"/>
        <v>物业等级</v>
      </c>
      <c r="AA28" s="1561">
        <f t="shared" si="3"/>
        <v>1</v>
      </c>
      <c r="AB28" s="1561">
        <f t="shared" si="4"/>
        <v>1</v>
      </c>
      <c r="AC28" s="1561">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26"/>
      <c r="M29" s="2118"/>
      <c r="N29" s="2118"/>
      <c r="O29" s="2125"/>
      <c r="P29" s="4022"/>
      <c r="Q29" s="1557" t="str">
        <f t="shared" si="11"/>
        <v>有无电梯</v>
      </c>
      <c r="R29" s="1558" t="s">
        <v>8</v>
      </c>
      <c r="S29" s="1559">
        <f t="shared" si="12"/>
        <v>100</v>
      </c>
      <c r="T29" s="1558" t="s">
        <v>8</v>
      </c>
      <c r="U29" s="1559">
        <f t="shared" si="13"/>
        <v>100</v>
      </c>
      <c r="V29" s="1558" t="s">
        <v>8</v>
      </c>
      <c r="W29" s="1559">
        <f t="shared" si="14"/>
        <v>100</v>
      </c>
      <c r="X29" s="1552"/>
      <c r="Y29" s="4022"/>
      <c r="Z29" s="1560" t="str">
        <f t="shared" si="15"/>
        <v>有无电梯</v>
      </c>
      <c r="AA29" s="1561">
        <f t="shared" si="3"/>
        <v>1</v>
      </c>
      <c r="AB29" s="1561">
        <f t="shared" si="4"/>
        <v>1</v>
      </c>
      <c r="AC29" s="1561">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6"/>
      <c r="M30" s="2118"/>
      <c r="N30" s="2118"/>
      <c r="O30" s="2125"/>
      <c r="P30" s="4022"/>
      <c r="Q30" s="1557" t="str">
        <f t="shared" si="11"/>
        <v>建筑面积</v>
      </c>
      <c r="R30" s="1558" t="s">
        <v>8</v>
      </c>
      <c r="S30" s="1559" t="e">
        <f t="shared" si="12"/>
        <v>#N/A</v>
      </c>
      <c r="T30" s="1558" t="s">
        <v>8</v>
      </c>
      <c r="U30" s="1559" t="e">
        <f t="shared" si="13"/>
        <v>#N/A</v>
      </c>
      <c r="V30" s="1558" t="s">
        <v>8</v>
      </c>
      <c r="W30" s="1559" t="e">
        <f t="shared" si="14"/>
        <v>#N/A</v>
      </c>
      <c r="X30" s="1552"/>
      <c r="Y30" s="4022"/>
      <c r="Z30" s="1560" t="str">
        <f t="shared" si="15"/>
        <v>建筑面积</v>
      </c>
      <c r="AA30" s="1561" t="e">
        <f t="shared" si="3"/>
        <v>#N/A</v>
      </c>
      <c r="AB30" s="1561" t="e">
        <f t="shared" si="4"/>
        <v>#N/A</v>
      </c>
      <c r="AC30" s="1561" t="e">
        <f t="shared" si="5"/>
        <v>#N/A</v>
      </c>
    </row>
    <row r="31" spans="1:29" s="1215"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19"/>
      <c r="M31" s="2120"/>
      <c r="N31" s="2120"/>
      <c r="O31" s="2121"/>
      <c r="P31" s="4022"/>
      <c r="Q31" s="1146" t="str">
        <f t="shared" si="11"/>
        <v>是否封闭</v>
      </c>
      <c r="R31" s="1553" t="s">
        <v>8</v>
      </c>
      <c r="S31" s="1554">
        <f t="shared" si="12"/>
        <v>100</v>
      </c>
      <c r="T31" s="1553" t="s">
        <v>8</v>
      </c>
      <c r="U31" s="1554">
        <f t="shared" si="13"/>
        <v>100</v>
      </c>
      <c r="V31" s="1553" t="s">
        <v>8</v>
      </c>
      <c r="W31" s="1554">
        <f t="shared" si="14"/>
        <v>100</v>
      </c>
      <c r="X31" s="1555"/>
      <c r="Y31" s="4022"/>
      <c r="Z31" s="1145" t="str">
        <f t="shared" si="15"/>
        <v>是否封闭</v>
      </c>
      <c r="AA31" s="1556">
        <f t="shared" si="3"/>
        <v>1</v>
      </c>
      <c r="AB31" s="1556">
        <f t="shared" si="4"/>
        <v>1</v>
      </c>
      <c r="AC31" s="1556">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6"/>
      <c r="M32" s="2118"/>
      <c r="N32" s="2118"/>
      <c r="O32" s="2125"/>
      <c r="P32" s="4022" t="s">
        <v>550</v>
      </c>
      <c r="Q32" s="1557">
        <f t="shared" si="11"/>
        <v>111</v>
      </c>
      <c r="R32" s="1558" t="s">
        <v>8</v>
      </c>
      <c r="S32" s="1559">
        <f t="shared" si="12"/>
        <v>100</v>
      </c>
      <c r="T32" s="1558" t="s">
        <v>8</v>
      </c>
      <c r="U32" s="1559">
        <f t="shared" si="13"/>
        <v>100</v>
      </c>
      <c r="V32" s="1558" t="s">
        <v>8</v>
      </c>
      <c r="W32" s="1559">
        <f t="shared" si="14"/>
        <v>100</v>
      </c>
      <c r="X32" s="1552"/>
      <c r="Y32" s="4022" t="s">
        <v>550</v>
      </c>
      <c r="Z32" s="1560">
        <f t="shared" si="15"/>
        <v>111</v>
      </c>
      <c r="AA32" s="1561">
        <f t="shared" si="3"/>
        <v>1</v>
      </c>
      <c r="AB32" s="1561">
        <f t="shared" si="4"/>
        <v>1</v>
      </c>
      <c r="AC32" s="1561">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6"/>
      <c r="M33" s="2118"/>
      <c r="N33" s="2118"/>
      <c r="O33" s="2125"/>
      <c r="P33" s="4022"/>
      <c r="Q33" s="1557">
        <f t="shared" si="11"/>
        <v>111</v>
      </c>
      <c r="R33" s="1558" t="s">
        <v>8</v>
      </c>
      <c r="S33" s="1559">
        <f t="shared" si="12"/>
        <v>100</v>
      </c>
      <c r="T33" s="1558" t="s">
        <v>8</v>
      </c>
      <c r="U33" s="1559">
        <f t="shared" si="13"/>
        <v>100</v>
      </c>
      <c r="V33" s="1558" t="s">
        <v>8</v>
      </c>
      <c r="W33" s="1559">
        <f t="shared" si="14"/>
        <v>100</v>
      </c>
      <c r="X33" s="1552"/>
      <c r="Y33" s="4022"/>
      <c r="Z33" s="1560">
        <f t="shared" si="15"/>
        <v>111</v>
      </c>
      <c r="AA33" s="1561">
        <f t="shared" si="3"/>
        <v>1</v>
      </c>
      <c r="AB33" s="1561">
        <f t="shared" si="4"/>
        <v>1</v>
      </c>
      <c r="AC33" s="1561">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6"/>
      <c r="M34" s="2118"/>
      <c r="N34" s="2118"/>
      <c r="O34" s="2125"/>
      <c r="P34" s="4022"/>
      <c r="Q34" s="1557">
        <f t="shared" si="11"/>
        <v>111</v>
      </c>
      <c r="R34" s="1558" t="s">
        <v>8</v>
      </c>
      <c r="S34" s="1559">
        <f t="shared" si="12"/>
        <v>100</v>
      </c>
      <c r="T34" s="1558" t="s">
        <v>8</v>
      </c>
      <c r="U34" s="1559">
        <f t="shared" si="13"/>
        <v>100</v>
      </c>
      <c r="V34" s="1558" t="s">
        <v>8</v>
      </c>
      <c r="W34" s="1559">
        <f t="shared" si="14"/>
        <v>100</v>
      </c>
      <c r="X34" s="1552"/>
      <c r="Y34" s="4022"/>
      <c r="Z34" s="1560">
        <f t="shared" si="15"/>
        <v>111</v>
      </c>
      <c r="AA34" s="1561">
        <f t="shared" si="3"/>
        <v>1</v>
      </c>
      <c r="AB34" s="1561">
        <f t="shared" si="4"/>
        <v>1</v>
      </c>
      <c r="AC34" s="1561">
        <f t="shared" si="5"/>
        <v>1</v>
      </c>
    </row>
    <row r="35" spans="1:29" ht="15">
      <c r="A35" s="606" t="s">
        <v>736</v>
      </c>
      <c r="B35" s="886"/>
      <c r="C35" s="2590" t="s">
        <v>1</v>
      </c>
      <c r="D35" s="2591"/>
      <c r="E35" s="2592"/>
      <c r="F35" s="2593"/>
      <c r="G35" s="2594"/>
      <c r="H35" s="2595"/>
      <c r="I35" s="2592"/>
      <c r="J35" s="2595"/>
      <c r="K35" s="1595"/>
      <c r="L35" s="2128"/>
      <c r="M35" s="2129"/>
      <c r="N35" s="2118"/>
      <c r="O35" s="2129"/>
      <c r="P35" s="4017" t="str">
        <f>A35</f>
        <v>成交单价（元/平方米）</v>
      </c>
      <c r="Q35" s="4017"/>
      <c r="R35" s="4100">
        <f>E35</f>
        <v>0</v>
      </c>
      <c r="S35" s="4100"/>
      <c r="T35" s="4100">
        <f>G35</f>
        <v>0</v>
      </c>
      <c r="U35" s="4100"/>
      <c r="V35" s="4100">
        <f>I35</f>
        <v>0</v>
      </c>
      <c r="W35" s="4100"/>
      <c r="X35" s="1544"/>
      <c r="Y35" s="1566"/>
      <c r="Z35" s="1544"/>
      <c r="AA35" s="1544"/>
      <c r="AB35" s="1544"/>
      <c r="AC35" s="1544"/>
    </row>
    <row r="36" spans="1:29" ht="15.75" thickBot="1">
      <c r="A36" s="614" t="s">
        <v>2759</v>
      </c>
      <c r="B36" s="887"/>
      <c r="C36" s="2596" t="e">
        <f>R37</f>
        <v>#DIV/0!</v>
      </c>
      <c r="D36" s="2597"/>
      <c r="E36" s="2598" t="e">
        <f>R36</f>
        <v>#DIV/0!</v>
      </c>
      <c r="F36" s="2598"/>
      <c r="G36" s="2596" t="e">
        <f>T36</f>
        <v>#DIV/0!</v>
      </c>
      <c r="H36" s="2597"/>
      <c r="I36" s="2598" t="e">
        <f>V36</f>
        <v>#DIV/0!</v>
      </c>
      <c r="J36" s="2597"/>
      <c r="K36" s="1596"/>
      <c r="L36" s="2128"/>
      <c r="M36" s="2129"/>
      <c r="N36" s="2118"/>
      <c r="O36" s="2129"/>
      <c r="P36" s="4017" t="str">
        <f>A36</f>
        <v>比较价格（元/平方米）</v>
      </c>
      <c r="Q36" s="4017"/>
      <c r="R36" s="4100" t="e">
        <f>IF(F1="售价",ROUND(PRODUCT(R35,AA7:AA34),0),ROUND(PRODUCT(R35,AA7:AA34),1))</f>
        <v>#DIV/0!</v>
      </c>
      <c r="S36" s="4100"/>
      <c r="T36" s="4100" t="e">
        <f>IF(F1="售价",ROUND(PRODUCT(T35,AB7:AB34),0),ROUND(PRODUCT(T35,AB7:AB34),1))</f>
        <v>#DIV/0!</v>
      </c>
      <c r="U36" s="4100"/>
      <c r="V36" s="4100" t="e">
        <f>IF(F1="售价",ROUND(PRODUCT(V35,AC7:AC34),0),ROUND(PRODUCT(V35,AC7:AC34),1))</f>
        <v>#DIV/0!</v>
      </c>
      <c r="W36" s="4100"/>
      <c r="X36" s="1544"/>
      <c r="Y36" s="1544"/>
      <c r="Z36" s="1544"/>
      <c r="AA36" s="1544"/>
      <c r="AB36" s="1544"/>
      <c r="AC36" s="1544"/>
    </row>
    <row r="37" spans="1:29" ht="15.75" thickBot="1">
      <c r="A37" s="620" t="s">
        <v>2932</v>
      </c>
      <c r="B37" s="621"/>
      <c r="C37" s="2599" t="e">
        <f>R37</f>
        <v>#DIV/0!</v>
      </c>
      <c r="D37" s="2599"/>
      <c r="E37" s="2599"/>
      <c r="F37" s="2599"/>
      <c r="G37" s="2599"/>
      <c r="H37" s="2599"/>
      <c r="I37" s="2599"/>
      <c r="J37" s="2599"/>
      <c r="K37" s="1597"/>
      <c r="L37" s="2128"/>
      <c r="M37" s="2129"/>
      <c r="N37" s="2129"/>
      <c r="O37" s="2129"/>
      <c r="P37" s="4038" t="str">
        <f>A37</f>
        <v>估价对象XX用房的比较价格（楼面单价，元/平方米）</v>
      </c>
      <c r="Q37" s="4039"/>
      <c r="R37" s="4099" t="e">
        <f>IF(F1="售价",ROUND(AVERAGE(R36:V36),0),ROUND(AVERAGE(R36:V36),1))</f>
        <v>#DIV/0!</v>
      </c>
      <c r="S37" s="4099"/>
      <c r="T37" s="4099"/>
      <c r="U37" s="4099"/>
      <c r="V37" s="4099"/>
      <c r="W37" s="4099"/>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40" customFormat="1" ht="13.5" customHeight="1">
      <c r="A42" s="2130"/>
      <c r="B42" s="2130"/>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40"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574</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2" customFormat="1" ht="15">
      <c r="A46" s="644" t="s">
        <v>529</v>
      </c>
      <c r="B46" s="645"/>
      <c r="C46" s="2756" t="str">
        <f>YEAR(C7)&amp;"-"&amp;MONTH(C7)</f>
        <v>2019-7</v>
      </c>
      <c r="D46" s="2758">
        <f>EDATE(C46,-1)</f>
        <v>43617</v>
      </c>
      <c r="E46" s="2758">
        <f t="shared" ref="E46:O46" si="16">EDATE(D46,-1)</f>
        <v>43586</v>
      </c>
      <c r="F46" s="2758">
        <f t="shared" si="16"/>
        <v>43556</v>
      </c>
      <c r="G46" s="2758">
        <f t="shared" si="16"/>
        <v>43525</v>
      </c>
      <c r="H46" s="2758">
        <f t="shared" si="16"/>
        <v>43497</v>
      </c>
      <c r="I46" s="2758">
        <f t="shared" si="16"/>
        <v>43466</v>
      </c>
      <c r="J46" s="2758">
        <f t="shared" si="16"/>
        <v>43435</v>
      </c>
      <c r="K46" s="2758">
        <f t="shared" si="16"/>
        <v>43405</v>
      </c>
      <c r="L46" s="2758">
        <f t="shared" si="16"/>
        <v>43374</v>
      </c>
      <c r="M46" s="2758">
        <f t="shared" si="16"/>
        <v>43344</v>
      </c>
      <c r="N46" s="2758">
        <f t="shared" si="16"/>
        <v>43313</v>
      </c>
      <c r="O46" s="2758">
        <f t="shared" si="16"/>
        <v>43282</v>
      </c>
      <c r="P46" s="2144"/>
      <c r="Q46" s="2145"/>
      <c r="R46" s="2145"/>
      <c r="S46" s="2145"/>
      <c r="T46" s="2145"/>
      <c r="U46" s="2145"/>
      <c r="V46" s="2145"/>
      <c r="W46" s="2145"/>
      <c r="X46" s="2145"/>
      <c r="Y46" s="2145"/>
      <c r="Z46" s="2145"/>
      <c r="AA46" s="2145"/>
      <c r="AB46" s="2145"/>
      <c r="AC46" s="2145"/>
    </row>
    <row r="47" spans="1:29" s="1215" customFormat="1" ht="15">
      <c r="A47" s="646"/>
      <c r="B47" s="647"/>
      <c r="C47" s="648">
        <v>100</v>
      </c>
      <c r="D47" s="649"/>
      <c r="E47" s="649"/>
      <c r="F47" s="649"/>
      <c r="G47" s="649"/>
      <c r="H47" s="649"/>
      <c r="I47" s="649"/>
      <c r="J47" s="649"/>
      <c r="K47" s="649"/>
      <c r="L47" s="649"/>
      <c r="M47" s="650"/>
      <c r="N47" s="649"/>
      <c r="O47" s="651"/>
      <c r="P47" s="2142"/>
      <c r="Q47" s="1977"/>
      <c r="R47" s="1977"/>
      <c r="S47" s="1977"/>
      <c r="T47" s="1977"/>
      <c r="U47" s="1977"/>
      <c r="V47" s="1977"/>
      <c r="W47" s="1977"/>
      <c r="X47" s="1977"/>
      <c r="Y47" s="1977"/>
      <c r="Z47" s="1977"/>
      <c r="AA47" s="1977"/>
      <c r="AB47" s="1977"/>
      <c r="AC47" s="1977"/>
    </row>
    <row r="48" spans="1:29" s="1215" customFormat="1" ht="15.75" thickBot="1">
      <c r="A48" s="652" t="s">
        <v>575</v>
      </c>
      <c r="B48" s="653"/>
      <c r="C48" s="654"/>
      <c r="D48" s="655"/>
      <c r="E48" s="655"/>
      <c r="F48" s="655"/>
      <c r="G48" s="655"/>
      <c r="H48" s="655"/>
      <c r="I48" s="655"/>
      <c r="J48" s="655"/>
      <c r="K48" s="655"/>
      <c r="L48" s="655"/>
      <c r="M48" s="656"/>
      <c r="N48" s="655"/>
      <c r="O48" s="657"/>
      <c r="P48" s="2142"/>
      <c r="Q48" s="2142"/>
      <c r="R48" s="1977"/>
      <c r="S48" s="1977"/>
      <c r="T48" s="1977"/>
      <c r="U48" s="1977"/>
      <c r="V48" s="1977"/>
      <c r="W48" s="1977"/>
      <c r="X48" s="1977"/>
      <c r="Y48" s="1977"/>
      <c r="Z48" s="1977"/>
      <c r="AA48" s="1977"/>
      <c r="AB48" s="1977"/>
      <c r="AC48" s="1977"/>
    </row>
    <row r="49" spans="1:29" s="1215" customFormat="1" ht="15">
      <c r="A49" s="658" t="s">
        <v>531</v>
      </c>
      <c r="B49" s="647"/>
      <c r="C49" s="659" t="s">
        <v>576</v>
      </c>
      <c r="D49" s="660"/>
      <c r="E49" s="660"/>
      <c r="F49" s="660"/>
      <c r="G49" s="660"/>
      <c r="H49" s="660"/>
      <c r="I49" s="660"/>
      <c r="J49" s="660"/>
      <c r="K49" s="660"/>
      <c r="L49" s="661"/>
      <c r="M49" s="662"/>
      <c r="N49" s="2146"/>
      <c r="O49" s="2146"/>
      <c r="P49" s="2147"/>
      <c r="Q49" s="2142"/>
      <c r="R49" s="1977"/>
      <c r="S49" s="1977"/>
      <c r="T49" s="1977"/>
      <c r="U49" s="1977"/>
      <c r="V49" s="1977"/>
      <c r="W49" s="1977"/>
      <c r="X49" s="1977"/>
      <c r="Y49" s="1977"/>
      <c r="Z49" s="1977"/>
      <c r="AA49" s="1977"/>
      <c r="AB49" s="1977"/>
      <c r="AC49" s="1977"/>
    </row>
    <row r="50" spans="1:29" s="1215" customFormat="1" ht="15.75" thickBot="1">
      <c r="A50" s="658"/>
      <c r="B50" s="647"/>
      <c r="C50" s="648">
        <v>100</v>
      </c>
      <c r="D50" s="649"/>
      <c r="E50" s="649"/>
      <c r="F50" s="649"/>
      <c r="G50" s="649"/>
      <c r="H50" s="649"/>
      <c r="I50" s="649"/>
      <c r="J50" s="649"/>
      <c r="K50" s="649"/>
      <c r="L50" s="649"/>
      <c r="M50" s="651"/>
      <c r="N50" s="2146"/>
      <c r="O50" s="2146"/>
      <c r="P50" s="2142"/>
      <c r="Q50" s="2142"/>
      <c r="R50" s="1977"/>
      <c r="S50" s="1977"/>
      <c r="T50" s="1977"/>
      <c r="U50" s="1977"/>
      <c r="V50" s="1977"/>
      <c r="W50" s="1977"/>
      <c r="X50" s="1977"/>
      <c r="Y50" s="1977"/>
      <c r="Z50" s="1977"/>
      <c r="AA50" s="1977"/>
      <c r="AB50" s="1977"/>
      <c r="AC50" s="1977"/>
    </row>
    <row r="51" spans="1:29">
      <c r="A51" s="663" t="s">
        <v>577</v>
      </c>
      <c r="B51" s="664" t="s">
        <v>534</v>
      </c>
      <c r="C51" s="703">
        <f>C9</f>
        <v>0</v>
      </c>
      <c r="D51" s="597"/>
      <c r="E51" s="597"/>
      <c r="F51" s="597"/>
      <c r="G51" s="597"/>
      <c r="H51" s="597"/>
      <c r="I51" s="597"/>
      <c r="J51" s="597"/>
      <c r="K51" s="665"/>
      <c r="L51" s="666"/>
      <c r="M51" s="667"/>
      <c r="N51" s="2148"/>
      <c r="O51" s="2148"/>
      <c r="P51" s="2149"/>
      <c r="Q51" s="2142"/>
      <c r="R51" s="2129"/>
      <c r="S51" s="2129"/>
      <c r="T51" s="2129"/>
      <c r="U51" s="2129"/>
      <c r="V51" s="2129"/>
      <c r="W51" s="2129"/>
      <c r="X51" s="2129"/>
      <c r="Y51" s="2129"/>
      <c r="Z51" s="2129"/>
      <c r="AA51" s="2129"/>
      <c r="AB51" s="2129"/>
      <c r="AC51" s="2129"/>
    </row>
    <row r="52" spans="1:29" ht="15.75" thickBot="1">
      <c r="A52" s="668"/>
      <c r="B52" s="669"/>
      <c r="C52" s="670">
        <v>100</v>
      </c>
      <c r="D52" s="670"/>
      <c r="E52" s="670"/>
      <c r="F52" s="670"/>
      <c r="G52" s="670"/>
      <c r="H52" s="670"/>
      <c r="I52" s="670"/>
      <c r="J52" s="670"/>
      <c r="K52" s="670"/>
      <c r="L52" s="670"/>
      <c r="M52" s="671"/>
      <c r="N52" s="2150"/>
      <c r="O52" s="2150"/>
      <c r="P52" s="2149"/>
      <c r="Q52" s="2142"/>
      <c r="R52" s="2129"/>
      <c r="S52" s="2129"/>
      <c r="T52" s="2129"/>
      <c r="U52" s="2129"/>
      <c r="V52" s="2129"/>
      <c r="W52" s="2129"/>
      <c r="X52" s="2129"/>
      <c r="Y52" s="2129"/>
      <c r="Z52" s="2129"/>
      <c r="AA52" s="2129"/>
      <c r="AB52" s="2129"/>
      <c r="AC52" s="2129"/>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48"/>
      <c r="O53" s="2148"/>
      <c r="P53" s="2149"/>
      <c r="Q53" s="2142"/>
      <c r="R53" s="2129"/>
      <c r="S53" s="2129"/>
      <c r="T53" s="2129"/>
      <c r="U53" s="2129"/>
      <c r="V53" s="2129"/>
      <c r="W53" s="2129"/>
      <c r="X53" s="2129"/>
      <c r="Y53" s="2129"/>
      <c r="Z53" s="2129"/>
      <c r="AA53" s="2129"/>
      <c r="AB53" s="2129"/>
      <c r="AC53" s="2129"/>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50"/>
      <c r="O54" s="2150"/>
      <c r="P54" s="2149"/>
      <c r="Q54" s="2142"/>
      <c r="R54" s="2129"/>
      <c r="S54" s="2129"/>
      <c r="T54" s="2129"/>
      <c r="U54" s="2129"/>
      <c r="V54" s="2129"/>
      <c r="W54" s="2129"/>
      <c r="X54" s="2129"/>
      <c r="Y54" s="2129"/>
      <c r="Z54" s="2129"/>
      <c r="AA54" s="2129"/>
      <c r="AB54" s="2129"/>
      <c r="AC54" s="2129"/>
    </row>
    <row r="55" spans="1:29" ht="15.75" thickTop="1">
      <c r="A55" s="668"/>
      <c r="B55" s="934">
        <f>B11</f>
        <v>111</v>
      </c>
      <c r="C55" s="540"/>
      <c r="D55" s="540"/>
      <c r="E55" s="540"/>
      <c r="F55" s="540"/>
      <c r="G55" s="540"/>
      <c r="H55" s="540"/>
      <c r="I55" s="540"/>
      <c r="J55" s="540"/>
      <c r="K55" s="683"/>
      <c r="L55" s="684"/>
      <c r="M55" s="685"/>
      <c r="N55" s="2148"/>
      <c r="O55" s="2148"/>
      <c r="P55" s="2149"/>
      <c r="Q55" s="2142"/>
      <c r="R55" s="2129"/>
      <c r="S55" s="2129"/>
      <c r="T55" s="2129"/>
      <c r="U55" s="2129"/>
      <c r="V55" s="2129"/>
      <c r="W55" s="2129"/>
      <c r="X55" s="2129"/>
      <c r="Y55" s="2129"/>
      <c r="Z55" s="2129"/>
      <c r="AA55" s="2129"/>
      <c r="AB55" s="2129"/>
      <c r="AC55" s="2129"/>
    </row>
    <row r="56" spans="1:29" ht="15.75" thickBot="1">
      <c r="A56" s="668"/>
      <c r="B56" s="669"/>
      <c r="C56" s="691"/>
      <c r="D56" s="670"/>
      <c r="E56" s="670"/>
      <c r="F56" s="670"/>
      <c r="G56" s="670"/>
      <c r="H56" s="670"/>
      <c r="I56" s="670"/>
      <c r="J56" s="670"/>
      <c r="K56" s="670"/>
      <c r="L56" s="670"/>
      <c r="M56" s="671"/>
      <c r="N56" s="2150"/>
      <c r="O56" s="2150"/>
      <c r="P56" s="2149"/>
      <c r="Q56" s="2142"/>
      <c r="R56" s="2129"/>
      <c r="S56" s="2129"/>
      <c r="T56" s="2129"/>
      <c r="U56" s="2129"/>
      <c r="V56" s="2129"/>
      <c r="W56" s="2129"/>
      <c r="X56" s="2129"/>
      <c r="Y56" s="2129"/>
      <c r="Z56" s="2129"/>
      <c r="AA56" s="2129"/>
      <c r="AB56" s="2129"/>
      <c r="AC56" s="2129"/>
    </row>
    <row r="57" spans="1:29" s="1334" customFormat="1" ht="15.75" thickTop="1">
      <c r="A57" s="686"/>
      <c r="B57" s="672">
        <f>B12</f>
        <v>111</v>
      </c>
      <c r="C57" s="540"/>
      <c r="D57" s="540"/>
      <c r="E57" s="540"/>
      <c r="F57" s="540"/>
      <c r="G57" s="687"/>
      <c r="H57" s="688"/>
      <c r="I57" s="688"/>
      <c r="J57" s="688"/>
      <c r="K57" s="688"/>
      <c r="L57" s="689"/>
      <c r="M57" s="690"/>
      <c r="N57" s="2151"/>
      <c r="O57" s="2151"/>
      <c r="P57" s="2152"/>
      <c r="Q57" s="2153"/>
      <c r="R57" s="2154"/>
      <c r="S57" s="2154"/>
      <c r="T57" s="2154"/>
      <c r="U57" s="2154"/>
      <c r="V57" s="2154"/>
      <c r="W57" s="2154"/>
      <c r="X57" s="2154"/>
      <c r="Y57" s="2154"/>
      <c r="Z57" s="2154"/>
      <c r="AA57" s="2154"/>
      <c r="AB57" s="2154"/>
      <c r="AC57" s="2154"/>
    </row>
    <row r="58" spans="1:29" s="1334" customFormat="1" ht="15.75" thickBot="1">
      <c r="A58" s="686"/>
      <c r="B58" s="677"/>
      <c r="C58" s="691"/>
      <c r="D58" s="670"/>
      <c r="E58" s="670"/>
      <c r="F58" s="670"/>
      <c r="G58" s="670"/>
      <c r="H58" s="670"/>
      <c r="I58" s="670"/>
      <c r="J58" s="670"/>
      <c r="K58" s="670"/>
      <c r="L58" s="670"/>
      <c r="M58" s="671"/>
      <c r="N58" s="2150"/>
      <c r="O58" s="2150"/>
      <c r="P58" s="2152"/>
      <c r="Q58" s="2153"/>
      <c r="R58" s="2154"/>
      <c r="S58" s="2154"/>
      <c r="T58" s="2154"/>
      <c r="U58" s="2154"/>
      <c r="V58" s="2154"/>
      <c r="W58" s="2154"/>
      <c r="X58" s="2154"/>
      <c r="Y58" s="2154"/>
      <c r="Z58" s="2154"/>
      <c r="AA58" s="2154"/>
      <c r="AB58" s="2154"/>
      <c r="AC58" s="2154"/>
    </row>
    <row r="59" spans="1:29" s="1334" customFormat="1" ht="15.75" thickTop="1">
      <c r="A59" s="686"/>
      <c r="B59" s="672">
        <f>B13</f>
        <v>111</v>
      </c>
      <c r="C59" s="540"/>
      <c r="D59" s="540"/>
      <c r="E59" s="540"/>
      <c r="F59" s="540"/>
      <c r="G59" s="687"/>
      <c r="H59" s="688"/>
      <c r="I59" s="688"/>
      <c r="J59" s="688"/>
      <c r="K59" s="688"/>
      <c r="L59" s="689"/>
      <c r="M59" s="690"/>
      <c r="N59" s="2151"/>
      <c r="O59" s="2151"/>
      <c r="P59" s="2155"/>
      <c r="Q59" s="2156"/>
      <c r="R59" s="2154"/>
      <c r="S59" s="2154"/>
      <c r="T59" s="2154"/>
      <c r="U59" s="2154"/>
      <c r="V59" s="2154"/>
      <c r="W59" s="2154"/>
      <c r="X59" s="2154"/>
      <c r="Y59" s="2154"/>
      <c r="Z59" s="2154"/>
      <c r="AA59" s="2154"/>
      <c r="AB59" s="2154"/>
      <c r="AC59" s="2154"/>
    </row>
    <row r="60" spans="1:29" s="1334" customFormat="1" ht="15.75" thickBot="1">
      <c r="A60" s="686"/>
      <c r="B60" s="677"/>
      <c r="C60" s="691"/>
      <c r="D60" s="691"/>
      <c r="E60" s="691"/>
      <c r="F60" s="691"/>
      <c r="G60" s="691"/>
      <c r="H60" s="692"/>
      <c r="I60" s="692"/>
      <c r="J60" s="692"/>
      <c r="K60" s="692"/>
      <c r="L60" s="692"/>
      <c r="M60" s="693"/>
      <c r="N60" s="2151"/>
      <c r="O60" s="2151"/>
      <c r="P60" s="2152"/>
      <c r="Q60" s="2153"/>
      <c r="R60" s="2154"/>
      <c r="S60" s="2154"/>
      <c r="T60" s="2154"/>
      <c r="U60" s="2154"/>
      <c r="V60" s="2154"/>
      <c r="W60" s="2154"/>
      <c r="X60" s="2154"/>
      <c r="Y60" s="2154"/>
      <c r="Z60" s="2154"/>
      <c r="AA60" s="2154"/>
      <c r="AB60" s="2154"/>
      <c r="AC60" s="2154"/>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8"/>
      <c r="O61" s="2148"/>
      <c r="P61" s="2158"/>
      <c r="Q61" s="2142"/>
      <c r="R61" s="2129"/>
      <c r="S61" s="2129"/>
      <c r="T61" s="2129"/>
      <c r="U61" s="2129"/>
      <c r="V61" s="2129"/>
      <c r="W61" s="2129"/>
      <c r="X61" s="2129"/>
      <c r="Y61" s="2129"/>
      <c r="Z61" s="2129"/>
      <c r="AA61" s="2129"/>
      <c r="AB61" s="2129"/>
      <c r="AC61" s="2129"/>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50"/>
      <c r="O62" s="2150"/>
      <c r="P62" s="2149"/>
      <c r="Q62" s="2142"/>
      <c r="R62" s="2129"/>
      <c r="S62" s="2129"/>
      <c r="T62" s="2129"/>
      <c r="U62" s="2129"/>
      <c r="V62" s="2129"/>
      <c r="W62" s="2129"/>
      <c r="X62" s="2129"/>
      <c r="Y62" s="2129"/>
      <c r="Z62" s="2129"/>
      <c r="AA62" s="2129"/>
      <c r="AB62" s="2129"/>
      <c r="AC62" s="2129"/>
    </row>
    <row r="63" spans="1:29" ht="15.75" thickTop="1">
      <c r="A63" s="668"/>
      <c r="B63" s="1880" t="s">
        <v>2556</v>
      </c>
      <c r="C63" s="707" t="s">
        <v>579</v>
      </c>
      <c r="D63" s="707" t="s">
        <v>580</v>
      </c>
      <c r="E63" s="707" t="s">
        <v>581</v>
      </c>
      <c r="F63" s="707" t="s">
        <v>582</v>
      </c>
      <c r="G63" s="707" t="s">
        <v>583</v>
      </c>
      <c r="H63" s="673"/>
      <c r="I63" s="673"/>
      <c r="J63" s="673"/>
      <c r="K63" s="674"/>
      <c r="L63" s="675"/>
      <c r="M63" s="676"/>
      <c r="N63" s="2148"/>
      <c r="O63" s="2148"/>
      <c r="P63" s="2149"/>
      <c r="Q63" s="2142"/>
      <c r="R63" s="2129"/>
      <c r="S63" s="2129"/>
      <c r="T63" s="2129"/>
      <c r="U63" s="2129"/>
      <c r="V63" s="2129"/>
      <c r="W63" s="2129"/>
      <c r="X63" s="2129"/>
      <c r="Y63" s="2129"/>
      <c r="Z63" s="2129"/>
      <c r="AA63" s="2129"/>
      <c r="AB63" s="2129"/>
      <c r="AC63" s="2129"/>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50"/>
      <c r="O64" s="2150"/>
      <c r="P64" s="2149"/>
      <c r="Q64" s="2142"/>
      <c r="R64" s="2129"/>
      <c r="S64" s="2129"/>
      <c r="T64" s="2129"/>
      <c r="U64" s="2129"/>
      <c r="V64" s="2129"/>
      <c r="W64" s="2129"/>
      <c r="X64" s="2129"/>
      <c r="Y64" s="2129"/>
      <c r="Z64" s="2129"/>
      <c r="AA64" s="2129"/>
      <c r="AB64" s="2129"/>
      <c r="AC64" s="2129"/>
    </row>
    <row r="65" spans="1:29" ht="15.75" thickTop="1">
      <c r="A65" s="668"/>
      <c r="B65" s="2560" t="s">
        <v>2557</v>
      </c>
      <c r="C65" s="2561" t="s">
        <v>2558</v>
      </c>
      <c r="D65" s="2561" t="s">
        <v>2559</v>
      </c>
      <c r="E65" s="2561" t="s">
        <v>2560</v>
      </c>
      <c r="F65" s="2561" t="s">
        <v>2561</v>
      </c>
      <c r="G65" s="2561" t="s">
        <v>2562</v>
      </c>
      <c r="H65" s="673"/>
      <c r="I65" s="673"/>
      <c r="J65" s="673"/>
      <c r="K65" s="673"/>
      <c r="L65" s="673"/>
      <c r="M65" s="2564"/>
      <c r="N65" s="2150"/>
      <c r="O65" s="2150"/>
      <c r="P65" s="2149"/>
      <c r="Q65" s="2142"/>
      <c r="R65" s="2129"/>
      <c r="S65" s="2129"/>
      <c r="T65" s="2129"/>
      <c r="U65" s="2129"/>
      <c r="V65" s="2129"/>
      <c r="W65" s="2129"/>
      <c r="X65" s="2129"/>
      <c r="Y65" s="2129"/>
      <c r="Z65" s="2129"/>
      <c r="AA65" s="2129"/>
      <c r="AB65" s="2129"/>
      <c r="AC65" s="2129"/>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50"/>
      <c r="O66" s="2150"/>
      <c r="P66" s="2149"/>
      <c r="Q66" s="2142"/>
      <c r="R66" s="2129"/>
      <c r="S66" s="2129"/>
      <c r="T66" s="2129"/>
      <c r="U66" s="2129"/>
      <c r="V66" s="2129"/>
      <c r="W66" s="2129"/>
      <c r="X66" s="2129"/>
      <c r="Y66" s="2129"/>
      <c r="Z66" s="2129"/>
      <c r="AA66" s="2129"/>
      <c r="AB66" s="2129"/>
      <c r="AC66" s="2129"/>
    </row>
    <row r="67" spans="1:29" ht="15.75" thickTop="1">
      <c r="A67" s="668"/>
      <c r="B67" s="672" t="s">
        <v>744</v>
      </c>
      <c r="C67" s="707" t="s">
        <v>579</v>
      </c>
      <c r="D67" s="707" t="s">
        <v>580</v>
      </c>
      <c r="E67" s="707" t="s">
        <v>581</v>
      </c>
      <c r="F67" s="707" t="s">
        <v>582</v>
      </c>
      <c r="G67" s="707" t="s">
        <v>583</v>
      </c>
      <c r="H67" s="673"/>
      <c r="I67" s="673"/>
      <c r="J67" s="673"/>
      <c r="K67" s="674"/>
      <c r="L67" s="675"/>
      <c r="M67" s="676"/>
      <c r="N67" s="2148"/>
      <c r="O67" s="2148"/>
      <c r="P67" s="2149"/>
      <c r="Q67" s="2142"/>
      <c r="R67" s="2129"/>
      <c r="S67" s="2129"/>
      <c r="T67" s="2129"/>
      <c r="U67" s="2129"/>
      <c r="V67" s="2129"/>
      <c r="W67" s="2129"/>
      <c r="X67" s="2129"/>
      <c r="Y67" s="2129"/>
      <c r="Z67" s="2129"/>
      <c r="AA67" s="2129"/>
      <c r="AB67" s="2129"/>
      <c r="AC67" s="2129"/>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50"/>
      <c r="O68" s="2150"/>
      <c r="P68" s="2149"/>
      <c r="Q68" s="2142"/>
      <c r="R68" s="2129"/>
      <c r="S68" s="2129"/>
      <c r="T68" s="2129"/>
      <c r="U68" s="2129"/>
      <c r="V68" s="2129"/>
      <c r="W68" s="2129"/>
      <c r="X68" s="2129"/>
      <c r="Y68" s="2129"/>
      <c r="Z68" s="2129"/>
      <c r="AA68" s="2129"/>
      <c r="AB68" s="2129"/>
      <c r="AC68" s="2129"/>
    </row>
    <row r="69" spans="1:29" ht="15.75" thickTop="1">
      <c r="A69" s="668"/>
      <c r="B69" s="672" t="s">
        <v>745</v>
      </c>
      <c r="C69" s="687"/>
      <c r="D69" s="687"/>
      <c r="E69" s="687"/>
      <c r="F69" s="687"/>
      <c r="G69" s="687"/>
      <c r="H69" s="717"/>
      <c r="I69" s="717"/>
      <c r="J69" s="717"/>
      <c r="K69" s="718"/>
      <c r="L69" s="719"/>
      <c r="M69" s="720"/>
      <c r="N69" s="2148"/>
      <c r="O69" s="2148"/>
      <c r="P69" s="2149"/>
      <c r="Q69" s="2142"/>
      <c r="R69" s="2129"/>
      <c r="S69" s="2129"/>
      <c r="T69" s="2129"/>
      <c r="U69" s="2129"/>
      <c r="V69" s="2129"/>
      <c r="W69" s="2129"/>
      <c r="X69" s="2129"/>
      <c r="Y69" s="2129"/>
      <c r="Z69" s="2129"/>
      <c r="AA69" s="2129"/>
      <c r="AB69" s="2129"/>
      <c r="AC69" s="2129"/>
    </row>
    <row r="70" spans="1:29" ht="15.75" thickBot="1">
      <c r="A70" s="668"/>
      <c r="B70" s="677"/>
      <c r="C70" s="678">
        <v>100</v>
      </c>
      <c r="D70" s="678">
        <f>C70-$K22</f>
        <v>100</v>
      </c>
      <c r="E70" s="678"/>
      <c r="F70" s="678"/>
      <c r="G70" s="678"/>
      <c r="H70" s="678"/>
      <c r="I70" s="678"/>
      <c r="J70" s="678"/>
      <c r="K70" s="678"/>
      <c r="L70" s="678"/>
      <c r="M70" s="679"/>
      <c r="N70" s="2150"/>
      <c r="O70" s="2150"/>
      <c r="P70" s="2149"/>
      <c r="Q70" s="2142"/>
      <c r="R70" s="2129"/>
      <c r="S70" s="2129"/>
      <c r="T70" s="2129"/>
      <c r="U70" s="2129"/>
      <c r="V70" s="2129"/>
      <c r="W70" s="2129"/>
      <c r="X70" s="2129"/>
      <c r="Y70" s="2129"/>
      <c r="Z70" s="2129"/>
      <c r="AA70" s="2129"/>
      <c r="AB70" s="2129"/>
      <c r="AC70" s="2129"/>
    </row>
    <row r="71" spans="1:29" s="1215" customFormat="1" ht="15.75" thickTop="1">
      <c r="A71" s="708"/>
      <c r="B71" s="672">
        <f>B23</f>
        <v>111</v>
      </c>
      <c r="C71" s="540"/>
      <c r="D71" s="540"/>
      <c r="E71" s="540"/>
      <c r="F71" s="540"/>
      <c r="G71" s="687"/>
      <c r="H71" s="687"/>
      <c r="I71" s="687"/>
      <c r="J71" s="687"/>
      <c r="K71" s="687"/>
      <c r="L71" s="889"/>
      <c r="M71" s="890"/>
      <c r="N71" s="2146"/>
      <c r="O71" s="2146"/>
      <c r="P71" s="2149"/>
      <c r="Q71" s="2142"/>
      <c r="R71" s="1977"/>
      <c r="S71" s="1977"/>
      <c r="T71" s="1977"/>
      <c r="U71" s="1977"/>
      <c r="V71" s="1977"/>
      <c r="W71" s="1977"/>
      <c r="X71" s="1977"/>
      <c r="Y71" s="1977"/>
      <c r="Z71" s="1977"/>
      <c r="AA71" s="1977"/>
      <c r="AB71" s="1977"/>
      <c r="AC71" s="1977"/>
    </row>
    <row r="72" spans="1:29" s="1215" customFormat="1" ht="15.75" thickBot="1">
      <c r="A72" s="708"/>
      <c r="B72" s="677"/>
      <c r="C72" s="691"/>
      <c r="D72" s="670"/>
      <c r="E72" s="670"/>
      <c r="F72" s="670"/>
      <c r="G72" s="670"/>
      <c r="H72" s="670"/>
      <c r="I72" s="670"/>
      <c r="J72" s="670"/>
      <c r="K72" s="670"/>
      <c r="L72" s="670"/>
      <c r="M72" s="671"/>
      <c r="N72" s="2150"/>
      <c r="O72" s="2150"/>
      <c r="P72" s="2149"/>
      <c r="Q72" s="2142"/>
      <c r="R72" s="1977"/>
      <c r="S72" s="1977"/>
      <c r="T72" s="1977"/>
      <c r="U72" s="1977"/>
      <c r="V72" s="1977"/>
      <c r="W72" s="1977"/>
      <c r="X72" s="1977"/>
      <c r="Y72" s="1977"/>
      <c r="Z72" s="1977"/>
      <c r="AA72" s="1977"/>
      <c r="AB72" s="1977"/>
      <c r="AC72" s="1977"/>
    </row>
    <row r="73" spans="1:29" s="1215" customFormat="1" ht="15.75" thickTop="1">
      <c r="A73" s="708"/>
      <c r="B73" s="672">
        <f>B24</f>
        <v>111</v>
      </c>
      <c r="C73" s="540"/>
      <c r="D73" s="540"/>
      <c r="E73" s="540"/>
      <c r="F73" s="540"/>
      <c r="G73" s="687"/>
      <c r="H73" s="687"/>
      <c r="I73" s="687"/>
      <c r="J73" s="687"/>
      <c r="K73" s="687"/>
      <c r="L73" s="687"/>
      <c r="M73" s="890"/>
      <c r="N73" s="2146"/>
      <c r="O73" s="2146"/>
      <c r="P73" s="2149"/>
      <c r="Q73" s="2142"/>
      <c r="R73" s="1977"/>
      <c r="S73" s="1977"/>
      <c r="T73" s="1977"/>
      <c r="U73" s="1977"/>
      <c r="V73" s="1977"/>
      <c r="W73" s="1977"/>
      <c r="X73" s="1977"/>
      <c r="Y73" s="1977"/>
      <c r="Z73" s="1977"/>
      <c r="AA73" s="1977"/>
      <c r="AB73" s="1977"/>
      <c r="AC73" s="1977"/>
    </row>
    <row r="74" spans="1:29" s="1215" customFormat="1" ht="15.75" thickBot="1">
      <c r="A74" s="708"/>
      <c r="B74" s="677"/>
      <c r="C74" s="691"/>
      <c r="D74" s="670"/>
      <c r="E74" s="670"/>
      <c r="F74" s="670"/>
      <c r="G74" s="670"/>
      <c r="H74" s="670"/>
      <c r="I74" s="670"/>
      <c r="J74" s="670"/>
      <c r="K74" s="670"/>
      <c r="L74" s="670"/>
      <c r="M74" s="671"/>
      <c r="N74" s="2150"/>
      <c r="O74" s="2150"/>
      <c r="P74" s="2149"/>
      <c r="Q74" s="2142"/>
      <c r="R74" s="1977"/>
      <c r="S74" s="1977"/>
      <c r="T74" s="1977"/>
      <c r="U74" s="1977"/>
      <c r="V74" s="1977"/>
      <c r="W74" s="1977"/>
      <c r="X74" s="1977"/>
      <c r="Y74" s="1977"/>
      <c r="Z74" s="1977"/>
      <c r="AA74" s="1977"/>
      <c r="AB74" s="1977"/>
      <c r="AC74" s="1977"/>
    </row>
    <row r="75" spans="1:29" s="1334" customFormat="1" ht="15.75" thickTop="1">
      <c r="A75" s="686"/>
      <c r="B75" s="672">
        <f>B25</f>
        <v>111</v>
      </c>
      <c r="C75" s="540"/>
      <c r="D75" s="540"/>
      <c r="E75" s="540"/>
      <c r="F75" s="540"/>
      <c r="G75" s="687"/>
      <c r="H75" s="688"/>
      <c r="I75" s="688"/>
      <c r="J75" s="688"/>
      <c r="K75" s="688"/>
      <c r="L75" s="689"/>
      <c r="M75" s="690"/>
      <c r="N75" s="2151"/>
      <c r="O75" s="2151"/>
      <c r="P75" s="2152"/>
      <c r="Q75" s="2153"/>
      <c r="R75" s="2154"/>
      <c r="S75" s="2154"/>
      <c r="T75" s="2154"/>
      <c r="U75" s="2154"/>
      <c r="V75" s="2154"/>
      <c r="W75" s="2154"/>
      <c r="X75" s="2154"/>
      <c r="Y75" s="2154"/>
      <c r="Z75" s="2154"/>
      <c r="AA75" s="2154"/>
      <c r="AB75" s="2154"/>
      <c r="AC75" s="2154"/>
    </row>
    <row r="76" spans="1:29" s="1334" customFormat="1" ht="15.75" thickBot="1">
      <c r="A76" s="686"/>
      <c r="B76" s="677"/>
      <c r="C76" s="691"/>
      <c r="D76" s="691"/>
      <c r="E76" s="691"/>
      <c r="F76" s="691"/>
      <c r="G76" s="670"/>
      <c r="H76" s="670"/>
      <c r="I76" s="670"/>
      <c r="J76" s="670"/>
      <c r="K76" s="670"/>
      <c r="L76" s="670"/>
      <c r="M76" s="671"/>
      <c r="N76" s="2151"/>
      <c r="O76" s="2151"/>
      <c r="P76" s="2152"/>
      <c r="Q76" s="2153"/>
      <c r="R76" s="2154"/>
      <c r="S76" s="2154"/>
      <c r="T76" s="2154"/>
      <c r="U76" s="2154"/>
      <c r="V76" s="2154"/>
      <c r="W76" s="2154"/>
      <c r="X76" s="2154"/>
      <c r="Y76" s="2154"/>
      <c r="Z76" s="2154"/>
      <c r="AA76" s="2154"/>
      <c r="AB76" s="2154"/>
      <c r="AC76" s="2154"/>
    </row>
    <row r="77" spans="1:29" ht="15" thickTop="1">
      <c r="A77" s="663" t="s">
        <v>551</v>
      </c>
      <c r="B77" s="664" t="s">
        <v>751</v>
      </c>
      <c r="C77" s="687"/>
      <c r="D77" s="687"/>
      <c r="E77" s="597"/>
      <c r="F77" s="597"/>
      <c r="G77" s="597"/>
      <c r="H77" s="597"/>
      <c r="I77" s="597"/>
      <c r="J77" s="597"/>
      <c r="K77" s="665"/>
      <c r="L77" s="666"/>
      <c r="M77" s="667"/>
      <c r="N77" s="2148"/>
      <c r="O77" s="2148"/>
      <c r="P77" s="2149"/>
      <c r="Q77" s="2142"/>
      <c r="R77" s="2129"/>
      <c r="S77" s="2129"/>
      <c r="T77" s="2129"/>
      <c r="U77" s="2129"/>
      <c r="V77" s="2129"/>
      <c r="W77" s="2129"/>
      <c r="X77" s="2129"/>
      <c r="Y77" s="2129"/>
      <c r="Z77" s="2129"/>
      <c r="AA77" s="2129"/>
      <c r="AB77" s="2129"/>
      <c r="AC77" s="2129"/>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6"/>
      <c r="O79" s="2146"/>
      <c r="P79" s="2149"/>
      <c r="Q79" s="2142"/>
      <c r="R79" s="2129"/>
      <c r="S79" s="2129"/>
      <c r="T79" s="2129"/>
      <c r="U79" s="2129"/>
      <c r="V79" s="2129"/>
      <c r="W79" s="2129"/>
      <c r="X79" s="2129"/>
      <c r="Y79" s="2129"/>
      <c r="Z79" s="2129"/>
      <c r="AA79" s="2129"/>
      <c r="AB79" s="2129"/>
      <c r="AC79" s="2129"/>
    </row>
    <row r="80" spans="1:29" ht="15">
      <c r="A80" s="668"/>
      <c r="B80" s="680"/>
      <c r="C80" s="893">
        <v>0.5</v>
      </c>
      <c r="D80" s="893">
        <v>0.6</v>
      </c>
      <c r="E80" s="893">
        <v>0.7</v>
      </c>
      <c r="F80" s="893">
        <v>0.8</v>
      </c>
      <c r="G80" s="893">
        <v>0.9</v>
      </c>
      <c r="H80" s="893">
        <v>1.0001</v>
      </c>
      <c r="I80" s="934"/>
      <c r="J80" s="934"/>
      <c r="K80" s="944"/>
      <c r="L80" s="945"/>
      <c r="M80" s="946"/>
      <c r="N80" s="2146"/>
      <c r="O80" s="2146"/>
      <c r="P80" s="2149"/>
      <c r="Q80" s="2142"/>
      <c r="R80" s="2129"/>
      <c r="S80" s="2129"/>
      <c r="T80" s="2129"/>
      <c r="U80" s="2129"/>
      <c r="V80" s="2129"/>
      <c r="W80" s="2129"/>
      <c r="X80" s="2129"/>
      <c r="Y80" s="2129"/>
      <c r="Z80" s="2129"/>
      <c r="AA80" s="2129"/>
      <c r="AB80" s="2129"/>
      <c r="AC80" s="2129"/>
    </row>
    <row r="81" spans="1:29" s="1334"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4"/>
      <c r="B82" s="680" t="s">
        <v>817</v>
      </c>
      <c r="C82" s="687"/>
      <c r="D82" s="687"/>
      <c r="E82" s="717"/>
      <c r="F82" s="717"/>
      <c r="G82" s="717"/>
      <c r="H82" s="717"/>
      <c r="I82" s="717"/>
      <c r="J82" s="717"/>
      <c r="K82" s="718"/>
      <c r="L82" s="719"/>
      <c r="M82" s="720"/>
      <c r="N82" s="2148"/>
      <c r="O82" s="2148"/>
      <c r="P82" s="2149"/>
      <c r="Q82" s="2142"/>
      <c r="R82" s="2129"/>
      <c r="S82" s="2129"/>
      <c r="T82" s="2129"/>
      <c r="U82" s="2129"/>
      <c r="V82" s="2129"/>
      <c r="W82" s="2129"/>
      <c r="X82" s="2129"/>
      <c r="Y82" s="2129"/>
      <c r="Z82" s="2129"/>
      <c r="AA82" s="2129"/>
      <c r="AB82" s="2129"/>
      <c r="AC82" s="2129"/>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4"/>
      <c r="B84" s="672" t="s">
        <v>825</v>
      </c>
      <c r="C84" s="687"/>
      <c r="D84" s="687"/>
      <c r="E84" s="687"/>
      <c r="F84" s="687"/>
      <c r="G84" s="687"/>
      <c r="H84" s="687"/>
      <c r="I84" s="717"/>
      <c r="J84" s="717"/>
      <c r="K84" s="718"/>
      <c r="L84" s="719"/>
      <c r="M84" s="720"/>
      <c r="N84" s="2148"/>
      <c r="O84" s="2148"/>
      <c r="P84" s="2149"/>
      <c r="Q84" s="2142"/>
      <c r="R84" s="2129"/>
      <c r="S84" s="2129"/>
      <c r="T84" s="2129"/>
      <c r="U84" s="2129"/>
      <c r="V84" s="2129"/>
      <c r="W84" s="2129"/>
      <c r="X84" s="2129"/>
      <c r="Y84" s="2129"/>
      <c r="Z84" s="2129"/>
      <c r="AA84" s="2129"/>
      <c r="AB84" s="2129"/>
      <c r="AC84" s="2129"/>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8"/>
      <c r="O86" s="2148"/>
      <c r="P86" s="2149"/>
      <c r="Q86" s="2142"/>
      <c r="R86" s="2129"/>
      <c r="S86" s="2129"/>
      <c r="T86" s="2129"/>
      <c r="U86" s="2129"/>
      <c r="V86" s="2129"/>
      <c r="W86" s="2129"/>
      <c r="X86" s="2129"/>
      <c r="Y86" s="2129"/>
      <c r="Z86" s="2129"/>
      <c r="AA86" s="2129"/>
      <c r="AB86" s="2129"/>
      <c r="AC86" s="2129"/>
    </row>
    <row r="87" spans="1:29">
      <c r="A87" s="734"/>
      <c r="B87" s="680"/>
      <c r="C87" s="729"/>
      <c r="D87" s="729"/>
      <c r="E87" s="729"/>
      <c r="F87" s="729"/>
      <c r="G87" s="729"/>
      <c r="H87" s="729"/>
      <c r="I87" s="729"/>
      <c r="J87" s="730"/>
      <c r="K87" s="730"/>
      <c r="L87" s="731"/>
      <c r="M87" s="732"/>
      <c r="N87" s="2148"/>
      <c r="O87" s="2148"/>
      <c r="P87" s="2149"/>
      <c r="Q87" s="2142"/>
      <c r="R87" s="2129"/>
      <c r="S87" s="2129"/>
      <c r="T87" s="2129"/>
      <c r="U87" s="2129"/>
      <c r="V87" s="2129"/>
      <c r="W87" s="2129"/>
      <c r="X87" s="2129"/>
      <c r="Y87" s="2129"/>
      <c r="Z87" s="2129"/>
      <c r="AA87" s="2129"/>
      <c r="AB87" s="2129"/>
      <c r="AC87" s="2129"/>
    </row>
    <row r="88" spans="1:29" ht="15.75" thickBot="1">
      <c r="A88" s="668"/>
      <c r="B88" s="677"/>
      <c r="C88" s="691"/>
      <c r="D88" s="670"/>
      <c r="E88" s="670"/>
      <c r="F88" s="670"/>
      <c r="G88" s="670"/>
      <c r="H88" s="670"/>
      <c r="I88" s="670"/>
      <c r="J88" s="670"/>
      <c r="K88" s="670"/>
      <c r="L88" s="670"/>
      <c r="M88" s="670"/>
      <c r="N88" s="2150"/>
      <c r="O88" s="2150"/>
      <c r="P88" s="2149"/>
      <c r="Q88" s="2142"/>
      <c r="R88" s="2129"/>
      <c r="S88" s="2129"/>
      <c r="T88" s="2129"/>
      <c r="U88" s="2129"/>
      <c r="V88" s="2129"/>
      <c r="W88" s="2129"/>
      <c r="X88" s="2129"/>
      <c r="Y88" s="2129"/>
      <c r="Z88" s="2129"/>
      <c r="AA88" s="2129"/>
      <c r="AB88" s="2129"/>
      <c r="AC88" s="2129"/>
    </row>
    <row r="89" spans="1:29" s="1334" customFormat="1" ht="15" thickTop="1">
      <c r="A89" s="727"/>
      <c r="B89" s="672" t="s">
        <v>827</v>
      </c>
      <c r="C89" s="687"/>
      <c r="D89" s="687"/>
      <c r="E89" s="687"/>
      <c r="F89" s="687"/>
      <c r="G89" s="687"/>
      <c r="H89" s="687"/>
      <c r="I89" s="687"/>
      <c r="J89" s="687"/>
      <c r="K89" s="687"/>
      <c r="L89" s="687"/>
      <c r="M89" s="890"/>
      <c r="N89" s="2151"/>
      <c r="O89" s="2151"/>
      <c r="P89" s="2152"/>
      <c r="Q89" s="2153"/>
      <c r="R89" s="2154"/>
      <c r="S89" s="2154"/>
      <c r="T89" s="2154"/>
      <c r="U89" s="2154"/>
      <c r="V89" s="2154"/>
      <c r="W89" s="2154"/>
      <c r="X89" s="2154"/>
      <c r="Y89" s="2154"/>
      <c r="Z89" s="2154"/>
      <c r="AA89" s="2154"/>
      <c r="AB89" s="2154"/>
      <c r="AC89" s="2154"/>
    </row>
    <row r="90" spans="1:29" s="1334" customFormat="1" ht="15.75" thickBot="1">
      <c r="A90" s="686"/>
      <c r="B90" s="677"/>
      <c r="C90" s="691"/>
      <c r="D90" s="670"/>
      <c r="E90" s="670"/>
      <c r="F90" s="670"/>
      <c r="G90" s="670"/>
      <c r="H90" s="670"/>
      <c r="I90" s="670"/>
      <c r="J90" s="670"/>
      <c r="K90" s="670"/>
      <c r="L90" s="670"/>
      <c r="M90" s="671"/>
      <c r="N90" s="2151"/>
      <c r="O90" s="2151"/>
      <c r="P90" s="2152"/>
      <c r="Q90" s="2153"/>
      <c r="R90" s="2154"/>
      <c r="S90" s="2154"/>
      <c r="T90" s="2154"/>
      <c r="U90" s="2154"/>
      <c r="V90" s="2154"/>
      <c r="W90" s="2154"/>
      <c r="X90" s="2154"/>
      <c r="Y90" s="2154"/>
      <c r="Z90" s="2154"/>
      <c r="AA90" s="2154"/>
      <c r="AB90" s="2154"/>
      <c r="AC90" s="2154"/>
    </row>
    <row r="91" spans="1:29" ht="15" thickTop="1">
      <c r="A91" s="734"/>
      <c r="B91" s="672">
        <f>B32</f>
        <v>111</v>
      </c>
      <c r="C91" s="540"/>
      <c r="D91" s="540"/>
      <c r="E91" s="540"/>
      <c r="F91" s="540"/>
      <c r="G91" s="687"/>
      <c r="H91" s="688"/>
      <c r="I91" s="688"/>
      <c r="J91" s="688"/>
      <c r="K91" s="688"/>
      <c r="L91" s="689"/>
      <c r="M91" s="690"/>
      <c r="N91" s="2148"/>
      <c r="O91" s="2148"/>
      <c r="P91" s="2149"/>
      <c r="Q91" s="2142"/>
      <c r="R91" s="2129"/>
      <c r="S91" s="2129"/>
      <c r="T91" s="2129"/>
      <c r="U91" s="2129"/>
      <c r="V91" s="2129"/>
      <c r="W91" s="2129"/>
      <c r="X91" s="2129"/>
      <c r="Y91" s="2129"/>
      <c r="Z91" s="2129"/>
      <c r="AA91" s="2129"/>
      <c r="AB91" s="2129"/>
      <c r="AC91" s="2129"/>
    </row>
    <row r="92" spans="1:29" ht="15.75" thickBot="1">
      <c r="A92" s="668"/>
      <c r="B92" s="677"/>
      <c r="C92" s="691"/>
      <c r="D92" s="670"/>
      <c r="E92" s="670"/>
      <c r="F92" s="670"/>
      <c r="G92" s="691"/>
      <c r="H92" s="692"/>
      <c r="I92" s="692"/>
      <c r="J92" s="692"/>
      <c r="K92" s="692"/>
      <c r="L92" s="692"/>
      <c r="M92" s="693"/>
      <c r="N92" s="2150"/>
      <c r="O92" s="2150"/>
      <c r="P92" s="2149"/>
      <c r="Q92" s="2142"/>
      <c r="R92" s="2129"/>
      <c r="S92" s="2129"/>
      <c r="T92" s="2129"/>
      <c r="U92" s="2129"/>
      <c r="V92" s="2129"/>
      <c r="W92" s="2129"/>
      <c r="X92" s="2129"/>
      <c r="Y92" s="2129"/>
      <c r="Z92" s="2129"/>
      <c r="AA92" s="2129"/>
      <c r="AB92" s="2129"/>
      <c r="AC92" s="2129"/>
    </row>
    <row r="93" spans="1:29" ht="15" thickTop="1">
      <c r="A93" s="734"/>
      <c r="B93" s="672">
        <f>B33</f>
        <v>111</v>
      </c>
      <c r="C93" s="540"/>
      <c r="D93" s="540"/>
      <c r="E93" s="540"/>
      <c r="F93" s="540"/>
      <c r="G93" s="687"/>
      <c r="H93" s="688"/>
      <c r="I93" s="688"/>
      <c r="J93" s="688"/>
      <c r="K93" s="688"/>
      <c r="L93" s="689"/>
      <c r="M93" s="690"/>
      <c r="N93" s="2148"/>
      <c r="O93" s="2148"/>
      <c r="P93" s="2149"/>
      <c r="Q93" s="2142"/>
      <c r="R93" s="2129"/>
      <c r="S93" s="2129"/>
      <c r="T93" s="2129"/>
      <c r="U93" s="2129"/>
      <c r="V93" s="2129"/>
      <c r="W93" s="2129"/>
      <c r="X93" s="2129"/>
      <c r="Y93" s="2129"/>
      <c r="Z93" s="2129"/>
      <c r="AA93" s="2129"/>
      <c r="AB93" s="2129"/>
      <c r="AC93" s="2129"/>
    </row>
    <row r="94" spans="1:29" ht="15.75" thickBot="1">
      <c r="A94" s="668"/>
      <c r="B94" s="677"/>
      <c r="C94" s="691"/>
      <c r="D94" s="670"/>
      <c r="E94" s="670"/>
      <c r="F94" s="670"/>
      <c r="G94" s="691"/>
      <c r="H94" s="692"/>
      <c r="I94" s="692"/>
      <c r="J94" s="692"/>
      <c r="K94" s="692"/>
      <c r="L94" s="692"/>
      <c r="M94" s="693"/>
      <c r="N94" s="2150"/>
      <c r="O94" s="2150"/>
      <c r="P94" s="2149"/>
      <c r="Q94" s="2142"/>
      <c r="R94" s="2129"/>
      <c r="S94" s="2129"/>
      <c r="T94" s="2129"/>
      <c r="U94" s="2129"/>
      <c r="V94" s="2129"/>
      <c r="W94" s="2129"/>
      <c r="X94" s="2129"/>
      <c r="Y94" s="2129"/>
      <c r="Z94" s="2129"/>
      <c r="AA94" s="2129"/>
      <c r="AB94" s="2129"/>
      <c r="AC94" s="2129"/>
    </row>
    <row r="95" spans="1:29" ht="15" thickTop="1">
      <c r="A95" s="734"/>
      <c r="B95" s="916">
        <f>B34</f>
        <v>111</v>
      </c>
      <c r="C95" s="540"/>
      <c r="D95" s="540"/>
      <c r="E95" s="540"/>
      <c r="F95" s="540"/>
      <c r="G95" s="687"/>
      <c r="H95" s="688"/>
      <c r="I95" s="688"/>
      <c r="J95" s="688"/>
      <c r="K95" s="688"/>
      <c r="L95" s="689"/>
      <c r="M95" s="690"/>
      <c r="N95" s="2150"/>
      <c r="O95" s="2150"/>
      <c r="P95" s="2189"/>
      <c r="Q95" s="2190"/>
      <c r="R95" s="2129"/>
      <c r="S95" s="2129"/>
      <c r="T95" s="2129"/>
      <c r="U95" s="2129"/>
      <c r="V95" s="2129"/>
      <c r="W95" s="2129"/>
      <c r="X95" s="2129"/>
      <c r="Y95" s="2129"/>
      <c r="Z95" s="2129"/>
      <c r="AA95" s="2129"/>
      <c r="AB95" s="2129"/>
      <c r="AC95" s="2129"/>
    </row>
    <row r="96" spans="1:29" ht="15.75" thickBot="1">
      <c r="A96" s="668"/>
      <c r="B96" s="677"/>
      <c r="C96" s="691"/>
      <c r="D96" s="691"/>
      <c r="E96" s="691"/>
      <c r="F96" s="691"/>
      <c r="G96" s="691"/>
      <c r="H96" s="692"/>
      <c r="I96" s="692"/>
      <c r="J96" s="692"/>
      <c r="K96" s="692"/>
      <c r="L96" s="692"/>
      <c r="M96" s="693"/>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0"/>
    <col min="19" max="19" width="9" style="1245"/>
    <col min="20" max="35" width="9" style="256"/>
    <col min="36" max="16384" width="9" style="1245"/>
  </cols>
  <sheetData>
    <row r="1" spans="1:45" s="256" customFormat="1" ht="14.25" customHeight="1" thickBot="1">
      <c r="A1" s="364"/>
      <c r="B1" s="2218" t="s">
        <v>2303</v>
      </c>
      <c r="C1" s="4132" t="s">
        <v>2304</v>
      </c>
      <c r="D1" s="4133"/>
      <c r="E1" s="4133"/>
      <c r="F1" s="4133"/>
      <c r="G1" s="4133"/>
      <c r="H1" s="4133"/>
      <c r="I1" s="4133"/>
      <c r="J1" s="4133"/>
      <c r="K1" s="4133"/>
      <c r="L1" s="4133"/>
      <c r="M1" s="4133"/>
      <c r="N1" s="4133"/>
      <c r="O1" s="4133"/>
      <c r="P1" s="4133"/>
      <c r="Q1" s="4133"/>
      <c r="R1" s="4133"/>
      <c r="S1" s="4134"/>
      <c r="T1" s="2218" t="s">
        <v>2305</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0" t="str">
        <f>S3&amp;"(含)"&amp;"-"</f>
        <v>(含)-</v>
      </c>
      <c r="T2" s="951"/>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2"/>
      <c r="C3" s="953"/>
      <c r="D3" s="954"/>
      <c r="E3" s="954"/>
      <c r="F3" s="954"/>
      <c r="G3" s="954"/>
      <c r="H3" s="954"/>
      <c r="I3" s="954"/>
      <c r="J3" s="955"/>
      <c r="K3" s="955"/>
      <c r="L3" s="956"/>
      <c r="M3" s="2223"/>
      <c r="N3" s="2224"/>
      <c r="O3" s="954"/>
      <c r="P3" s="954"/>
      <c r="Q3" s="954"/>
      <c r="R3" s="954"/>
      <c r="S3" s="2225"/>
      <c r="T3" s="957"/>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7" t="s">
        <v>2925</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39" t="s">
        <v>2924</v>
      </c>
      <c r="C7" s="1945"/>
      <c r="D7" s="1946"/>
      <c r="E7" s="1946"/>
      <c r="F7" s="1946"/>
      <c r="G7" s="1946"/>
      <c r="H7" s="1946"/>
      <c r="I7" s="1946"/>
      <c r="J7" s="1946"/>
      <c r="K7" s="1946"/>
      <c r="L7" s="1946"/>
      <c r="M7" s="2243"/>
      <c r="N7" s="2244"/>
      <c r="O7" s="2245"/>
      <c r="P7" s="2246"/>
      <c r="Q7" s="2247"/>
      <c r="R7" s="2248"/>
      <c r="S7" s="2249"/>
      <c r="T7" s="958"/>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39" t="s">
        <v>2923</v>
      </c>
      <c r="C9" s="1945"/>
      <c r="D9" s="1946"/>
      <c r="E9" s="1946"/>
      <c r="F9" s="1946"/>
      <c r="G9" s="1946"/>
      <c r="H9" s="1946"/>
      <c r="I9" s="1946"/>
      <c r="J9" s="1946"/>
      <c r="K9" s="1946"/>
      <c r="L9" s="1947"/>
      <c r="M9" s="2243"/>
      <c r="N9" s="2244"/>
      <c r="O9" s="2245"/>
      <c r="P9" s="2246"/>
      <c r="Q9" s="2247"/>
      <c r="R9" s="2248"/>
      <c r="S9" s="2249"/>
      <c r="T9" s="958"/>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38"/>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7" t="s">
        <v>2936</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7" t="s">
        <v>2922</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7" t="s">
        <v>2921</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2307</v>
      </c>
      <c r="B17" s="2262" t="s">
        <v>2308</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0"/>
      <c r="B19" s="947"/>
      <c r="C19" s="1974"/>
      <c r="D19" s="1974"/>
      <c r="E19" s="1974"/>
      <c r="F19" s="1974"/>
      <c r="G19" s="1974"/>
      <c r="H19" s="1974"/>
      <c r="I19" s="1974"/>
      <c r="J19" s="1974"/>
      <c r="K19" s="1974"/>
      <c r="L19" s="1974"/>
      <c r="M19" s="1974"/>
      <c r="N19" s="1974"/>
      <c r="O19" s="1974"/>
      <c r="P19" s="1974"/>
      <c r="Q19" s="1974"/>
      <c r="R19" s="2209"/>
      <c r="S19" s="2012"/>
    </row>
    <row r="20" spans="1:45" ht="15.75">
      <c r="A20" s="959" t="s">
        <v>828</v>
      </c>
      <c r="B20" s="774">
        <f>S22</f>
        <v>0</v>
      </c>
      <c r="C20" s="1974"/>
      <c r="D20" s="1974"/>
      <c r="E20" s="1974"/>
      <c r="F20" s="1974"/>
      <c r="G20" s="1974"/>
      <c r="H20" s="1974"/>
      <c r="I20" s="1974"/>
      <c r="J20" s="1974"/>
      <c r="K20" s="1974"/>
      <c r="L20" s="1974"/>
      <c r="M20" s="1974"/>
      <c r="N20" s="1974"/>
      <c r="O20" s="1974"/>
      <c r="P20" s="1974"/>
      <c r="Q20" s="1974"/>
      <c r="R20" s="2209"/>
      <c r="S20" s="2012"/>
    </row>
    <row r="21" spans="1:45" ht="15.75">
      <c r="A21" s="959" t="s">
        <v>829</v>
      </c>
      <c r="B21" s="774" t="e">
        <f>R22</f>
        <v>#DIV/0!</v>
      </c>
      <c r="C21" s="1974"/>
      <c r="D21" s="1974"/>
      <c r="E21" s="1974"/>
      <c r="F21" s="1974"/>
      <c r="G21" s="1974"/>
      <c r="H21" s="1974"/>
      <c r="I21" s="1974"/>
      <c r="J21" s="1974"/>
      <c r="K21" s="1974"/>
      <c r="L21" s="1974"/>
      <c r="M21" s="1974"/>
      <c r="N21" s="1974"/>
      <c r="O21" s="1974"/>
      <c r="P21" s="1974"/>
      <c r="Q21" s="1974"/>
      <c r="R21" s="2209"/>
      <c r="S21" s="2012"/>
    </row>
    <row r="22" spans="1:45">
      <c r="A22" s="798" t="s">
        <v>830</v>
      </c>
      <c r="B22" s="53">
        <f>SUM(B24:B10000)</f>
        <v>0</v>
      </c>
      <c r="C22" s="4129" t="s">
        <v>20</v>
      </c>
      <c r="D22" s="4130"/>
      <c r="E22" s="4130"/>
      <c r="F22" s="4130"/>
      <c r="G22" s="4130"/>
      <c r="H22" s="4130"/>
      <c r="I22" s="4130"/>
      <c r="J22" s="4130"/>
      <c r="K22" s="4130"/>
      <c r="L22" s="4130"/>
      <c r="M22" s="4130"/>
      <c r="N22" s="4130"/>
      <c r="O22" s="4130"/>
      <c r="P22" s="4130"/>
      <c r="Q22" s="4131"/>
      <c r="R22" s="489" t="e">
        <f>ROUND(S22*10000/B22,0)</f>
        <v>#DIV/0!</v>
      </c>
      <c r="S22" s="53">
        <f>SUM(S24:S10000)</f>
        <v>0</v>
      </c>
    </row>
    <row r="23" spans="1:45" s="159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9"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10"/>
      <c r="S525" s="256"/>
    </row>
    <row r="526" spans="1:19">
      <c r="A526" s="256"/>
      <c r="B526" s="57"/>
      <c r="C526" s="57"/>
      <c r="D526" s="57"/>
      <c r="E526" s="57"/>
      <c r="F526" s="57"/>
      <c r="G526" s="57"/>
      <c r="H526" s="57"/>
      <c r="I526" s="57"/>
      <c r="J526" s="57"/>
      <c r="K526" s="57"/>
      <c r="L526" s="57"/>
      <c r="M526" s="57"/>
      <c r="N526" s="57"/>
      <c r="O526" s="57"/>
      <c r="P526" s="57"/>
      <c r="Q526" s="57"/>
      <c r="R526" s="2210"/>
      <c r="S526" s="256"/>
    </row>
    <row r="527" spans="1:19">
      <c r="A527" s="256"/>
      <c r="B527" s="57"/>
      <c r="C527" s="57"/>
      <c r="D527" s="57"/>
      <c r="E527" s="57"/>
      <c r="F527" s="57"/>
      <c r="G527" s="57"/>
      <c r="H527" s="57"/>
      <c r="I527" s="57"/>
      <c r="J527" s="57"/>
      <c r="K527" s="57"/>
      <c r="L527" s="57"/>
      <c r="M527" s="57"/>
      <c r="N527" s="57"/>
      <c r="O527" s="57"/>
      <c r="P527" s="57"/>
      <c r="Q527" s="57"/>
      <c r="R527" s="2210"/>
      <c r="S527" s="256"/>
    </row>
    <row r="528" spans="1:19">
      <c r="A528" s="256"/>
      <c r="B528" s="57"/>
      <c r="C528" s="57"/>
      <c r="D528" s="57"/>
      <c r="E528" s="57"/>
      <c r="F528" s="57"/>
      <c r="G528" s="57"/>
      <c r="H528" s="57"/>
      <c r="I528" s="57"/>
      <c r="J528" s="57"/>
      <c r="K528" s="57"/>
      <c r="L528" s="57"/>
      <c r="M528" s="57"/>
      <c r="N528" s="57"/>
      <c r="O528" s="57"/>
      <c r="P528" s="57"/>
      <c r="Q528" s="57"/>
      <c r="R528" s="2210"/>
      <c r="S528" s="256"/>
    </row>
    <row r="529" spans="1:19">
      <c r="A529" s="256"/>
      <c r="B529" s="57"/>
      <c r="C529" s="57"/>
      <c r="D529" s="57"/>
      <c r="E529" s="57"/>
      <c r="F529" s="57"/>
      <c r="G529" s="57"/>
      <c r="H529" s="57"/>
      <c r="I529" s="57"/>
      <c r="J529" s="57"/>
      <c r="K529" s="57"/>
      <c r="L529" s="57"/>
      <c r="M529" s="57"/>
      <c r="N529" s="57"/>
      <c r="O529" s="57"/>
      <c r="P529" s="57"/>
      <c r="Q529" s="57"/>
      <c r="R529" s="2210"/>
      <c r="S529" s="256"/>
    </row>
    <row r="530" spans="1:19">
      <c r="A530" s="256"/>
      <c r="B530" s="57"/>
      <c r="C530" s="57"/>
      <c r="D530" s="57"/>
      <c r="E530" s="57"/>
      <c r="F530" s="57"/>
      <c r="G530" s="57"/>
      <c r="H530" s="57"/>
      <c r="I530" s="57"/>
      <c r="J530" s="57"/>
      <c r="K530" s="57"/>
      <c r="L530" s="57"/>
      <c r="M530" s="57"/>
      <c r="N530" s="57"/>
      <c r="O530" s="57"/>
      <c r="P530" s="57"/>
      <c r="Q530" s="57"/>
      <c r="R530" s="2210"/>
      <c r="S530" s="256"/>
    </row>
    <row r="531" spans="1:19">
      <c r="A531" s="256"/>
      <c r="B531" s="57"/>
      <c r="C531" s="57"/>
      <c r="D531" s="57"/>
      <c r="E531" s="57"/>
      <c r="F531" s="57"/>
      <c r="G531" s="57"/>
      <c r="H531" s="57"/>
      <c r="I531" s="57"/>
      <c r="J531" s="57"/>
      <c r="K531" s="57"/>
      <c r="L531" s="57"/>
      <c r="M531" s="57"/>
      <c r="N531" s="57"/>
      <c r="O531" s="57"/>
      <c r="P531" s="57"/>
      <c r="Q531" s="57"/>
      <c r="R531" s="2210"/>
      <c r="S531" s="256"/>
    </row>
    <row r="532" spans="1:19">
      <c r="A532" s="256"/>
      <c r="B532" s="57"/>
      <c r="C532" s="57"/>
      <c r="D532" s="57"/>
      <c r="E532" s="57"/>
      <c r="F532" s="57"/>
      <c r="G532" s="57"/>
      <c r="H532" s="57"/>
      <c r="I532" s="57"/>
      <c r="J532" s="57"/>
      <c r="K532" s="57"/>
      <c r="L532" s="57"/>
      <c r="M532" s="57"/>
      <c r="N532" s="57"/>
      <c r="O532" s="57"/>
      <c r="P532" s="57"/>
      <c r="Q532" s="57"/>
      <c r="R532" s="2210"/>
      <c r="S532" s="256"/>
    </row>
    <row r="533" spans="1:19">
      <c r="A533" s="256"/>
      <c r="B533" s="57"/>
      <c r="C533" s="57"/>
      <c r="D533" s="57"/>
      <c r="E533" s="57"/>
      <c r="F533" s="57"/>
      <c r="G533" s="57"/>
      <c r="H533" s="57"/>
      <c r="I533" s="57"/>
      <c r="J533" s="57"/>
      <c r="K533" s="57"/>
      <c r="L533" s="57"/>
      <c r="M533" s="57"/>
      <c r="N533" s="57"/>
      <c r="O533" s="57"/>
      <c r="P533" s="57"/>
      <c r="Q533" s="57"/>
      <c r="R533" s="2210"/>
      <c r="S533" s="256"/>
    </row>
    <row r="534" spans="1:19">
      <c r="A534" s="256"/>
      <c r="B534" s="57"/>
      <c r="C534" s="57"/>
      <c r="D534" s="57"/>
      <c r="E534" s="57"/>
      <c r="F534" s="57"/>
      <c r="G534" s="57"/>
      <c r="H534" s="57"/>
      <c r="I534" s="57"/>
      <c r="J534" s="57"/>
      <c r="K534" s="57"/>
      <c r="L534" s="57"/>
      <c r="M534" s="57"/>
      <c r="N534" s="57"/>
      <c r="O534" s="57"/>
      <c r="P534" s="57"/>
      <c r="Q534" s="57"/>
      <c r="R534" s="2210"/>
      <c r="S534" s="256"/>
    </row>
    <row r="535" spans="1:19">
      <c r="A535" s="256"/>
      <c r="B535" s="57"/>
      <c r="C535" s="57"/>
      <c r="D535" s="57"/>
      <c r="E535" s="57"/>
      <c r="F535" s="57"/>
      <c r="G535" s="57"/>
      <c r="H535" s="57"/>
      <c r="I535" s="57"/>
      <c r="J535" s="57"/>
      <c r="K535" s="57"/>
      <c r="L535" s="57"/>
      <c r="M535" s="57"/>
      <c r="N535" s="57"/>
      <c r="O535" s="57"/>
      <c r="P535" s="57"/>
      <c r="Q535" s="57"/>
      <c r="R535" s="2210"/>
      <c r="S535" s="256"/>
    </row>
    <row r="536" spans="1:19">
      <c r="A536" s="256"/>
      <c r="B536" s="57"/>
      <c r="C536" s="57"/>
      <c r="D536" s="57"/>
      <c r="E536" s="57"/>
      <c r="F536" s="57"/>
      <c r="G536" s="57"/>
      <c r="H536" s="57"/>
      <c r="I536" s="57"/>
      <c r="J536" s="57"/>
      <c r="K536" s="57"/>
      <c r="L536" s="57"/>
      <c r="M536" s="57"/>
      <c r="N536" s="57"/>
      <c r="O536" s="57"/>
      <c r="P536" s="57"/>
      <c r="Q536" s="57"/>
      <c r="R536" s="2210"/>
      <c r="S536" s="256"/>
    </row>
    <row r="537" spans="1:19">
      <c r="A537" s="256"/>
      <c r="B537" s="57"/>
      <c r="C537" s="57"/>
      <c r="D537" s="57"/>
      <c r="E537" s="57"/>
      <c r="F537" s="57"/>
      <c r="G537" s="57"/>
      <c r="H537" s="57"/>
      <c r="I537" s="57"/>
      <c r="J537" s="57"/>
      <c r="K537" s="57"/>
      <c r="L537" s="57"/>
      <c r="M537" s="57"/>
      <c r="N537" s="57"/>
      <c r="O537" s="57"/>
      <c r="P537" s="57"/>
      <c r="Q537" s="57"/>
      <c r="R537" s="2210"/>
      <c r="S537" s="256"/>
    </row>
    <row r="538" spans="1:19">
      <c r="A538" s="256"/>
      <c r="B538" s="57"/>
      <c r="C538" s="57"/>
      <c r="D538" s="57"/>
      <c r="E538" s="57"/>
      <c r="F538" s="57"/>
      <c r="G538" s="57"/>
      <c r="H538" s="57"/>
      <c r="I538" s="57"/>
      <c r="J538" s="57"/>
      <c r="K538" s="57"/>
      <c r="L538" s="57"/>
      <c r="M538" s="57"/>
      <c r="N538" s="57"/>
      <c r="O538" s="57"/>
      <c r="P538" s="57"/>
      <c r="Q538" s="57"/>
      <c r="R538" s="2210"/>
      <c r="S538" s="256"/>
    </row>
    <row r="539" spans="1:19">
      <c r="A539" s="256"/>
      <c r="B539" s="57"/>
      <c r="C539" s="57"/>
      <c r="D539" s="57"/>
      <c r="E539" s="57"/>
      <c r="F539" s="57"/>
      <c r="G539" s="57"/>
      <c r="H539" s="57"/>
      <c r="I539" s="57"/>
      <c r="J539" s="57"/>
      <c r="K539" s="57"/>
      <c r="L539" s="57"/>
      <c r="M539" s="57"/>
      <c r="N539" s="57"/>
      <c r="O539" s="57"/>
      <c r="P539" s="57"/>
      <c r="Q539" s="57"/>
      <c r="R539" s="2210"/>
      <c r="S539" s="256"/>
    </row>
    <row r="540" spans="1:19">
      <c r="A540" s="256"/>
      <c r="B540" s="57"/>
      <c r="C540" s="57"/>
      <c r="D540" s="57"/>
      <c r="E540" s="57"/>
      <c r="F540" s="57"/>
      <c r="G540" s="57"/>
      <c r="H540" s="57"/>
      <c r="I540" s="57"/>
      <c r="J540" s="57"/>
      <c r="K540" s="57"/>
      <c r="L540" s="57"/>
      <c r="M540" s="57"/>
      <c r="N540" s="57"/>
      <c r="O540" s="57"/>
      <c r="P540" s="57"/>
      <c r="Q540" s="57"/>
      <c r="R540" s="2210"/>
      <c r="S540" s="256"/>
    </row>
    <row r="541" spans="1:19">
      <c r="A541" s="256"/>
      <c r="B541" s="57"/>
      <c r="C541" s="57"/>
      <c r="D541" s="57"/>
      <c r="E541" s="57"/>
      <c r="F541" s="57"/>
      <c r="G541" s="57"/>
      <c r="H541" s="57"/>
      <c r="I541" s="57"/>
      <c r="J541" s="57"/>
      <c r="K541" s="57"/>
      <c r="L541" s="57"/>
      <c r="M541" s="57"/>
      <c r="N541" s="57"/>
      <c r="O541" s="57"/>
      <c r="P541" s="57"/>
      <c r="Q541" s="57"/>
      <c r="R541" s="2210"/>
      <c r="S541" s="256"/>
    </row>
    <row r="542" spans="1:19">
      <c r="A542" s="256"/>
      <c r="B542" s="57"/>
      <c r="C542" s="57"/>
      <c r="D542" s="57"/>
      <c r="E542" s="57"/>
      <c r="F542" s="57"/>
      <c r="G542" s="57"/>
      <c r="H542" s="57"/>
      <c r="I542" s="57"/>
      <c r="J542" s="57"/>
      <c r="K542" s="57"/>
      <c r="L542" s="57"/>
      <c r="M542" s="57"/>
      <c r="N542" s="57"/>
      <c r="O542" s="57"/>
      <c r="P542" s="57"/>
      <c r="Q542" s="57"/>
      <c r="R542" s="2210"/>
      <c r="S542" s="256"/>
    </row>
    <row r="543" spans="1:19">
      <c r="A543" s="256"/>
      <c r="B543" s="57"/>
      <c r="C543" s="57"/>
      <c r="D543" s="57"/>
      <c r="E543" s="57"/>
      <c r="F543" s="57"/>
      <c r="G543" s="57"/>
      <c r="H543" s="57"/>
      <c r="I543" s="57"/>
      <c r="J543" s="57"/>
      <c r="K543" s="57"/>
      <c r="L543" s="57"/>
      <c r="M543" s="57"/>
      <c r="N543" s="57"/>
      <c r="O543" s="57"/>
      <c r="P543" s="57"/>
      <c r="Q543" s="57"/>
      <c r="R543" s="2210"/>
      <c r="S543" s="256"/>
    </row>
    <row r="544" spans="1:19">
      <c r="A544" s="256"/>
      <c r="B544" s="57"/>
      <c r="C544" s="57"/>
      <c r="D544" s="57"/>
      <c r="E544" s="57"/>
      <c r="F544" s="57"/>
      <c r="G544" s="57"/>
      <c r="H544" s="57"/>
      <c r="I544" s="57"/>
      <c r="J544" s="57"/>
      <c r="K544" s="57"/>
      <c r="L544" s="57"/>
      <c r="M544" s="57"/>
      <c r="N544" s="57"/>
      <c r="O544" s="57"/>
      <c r="P544" s="57"/>
      <c r="Q544" s="57"/>
      <c r="R544" s="2210"/>
      <c r="S544" s="256"/>
    </row>
    <row r="545" spans="1:19">
      <c r="A545" s="256"/>
      <c r="B545" s="57"/>
      <c r="C545" s="57"/>
      <c r="D545" s="57"/>
      <c r="E545" s="57"/>
      <c r="F545" s="57"/>
      <c r="G545" s="57"/>
      <c r="H545" s="57"/>
      <c r="I545" s="57"/>
      <c r="J545" s="57"/>
      <c r="K545" s="57"/>
      <c r="L545" s="57"/>
      <c r="M545" s="57"/>
      <c r="N545" s="57"/>
      <c r="O545" s="57"/>
      <c r="P545" s="57"/>
      <c r="Q545" s="57"/>
      <c r="R545" s="2210"/>
      <c r="S545" s="256"/>
    </row>
    <row r="546" spans="1:19">
      <c r="A546" s="256"/>
      <c r="B546" s="57"/>
      <c r="C546" s="57"/>
      <c r="D546" s="57"/>
      <c r="E546" s="57"/>
      <c r="F546" s="57"/>
      <c r="G546" s="57"/>
      <c r="H546" s="57"/>
      <c r="I546" s="57"/>
      <c r="J546" s="57"/>
      <c r="K546" s="57"/>
      <c r="L546" s="57"/>
      <c r="M546" s="57"/>
      <c r="N546" s="57"/>
      <c r="O546" s="57"/>
      <c r="P546" s="57"/>
      <c r="Q546" s="57"/>
      <c r="R546" s="2210"/>
      <c r="S546" s="256"/>
    </row>
    <row r="547" spans="1:19">
      <c r="A547" s="256"/>
      <c r="B547" s="57"/>
      <c r="C547" s="57"/>
      <c r="D547" s="57"/>
      <c r="E547" s="57"/>
      <c r="F547" s="57"/>
      <c r="G547" s="57"/>
      <c r="H547" s="57"/>
      <c r="I547" s="57"/>
      <c r="J547" s="57"/>
      <c r="K547" s="57"/>
      <c r="L547" s="57"/>
      <c r="M547" s="57"/>
      <c r="N547" s="57"/>
      <c r="O547" s="57"/>
      <c r="P547" s="57"/>
      <c r="Q547" s="57"/>
      <c r="R547" s="2210"/>
      <c r="S547" s="256"/>
    </row>
    <row r="548" spans="1:19">
      <c r="A548" s="256"/>
      <c r="B548" s="57"/>
      <c r="C548" s="57"/>
      <c r="D548" s="57"/>
      <c r="E548" s="57"/>
      <c r="F548" s="57"/>
      <c r="G548" s="57"/>
      <c r="H548" s="57"/>
      <c r="I548" s="57"/>
      <c r="J548" s="57"/>
      <c r="K548" s="57"/>
      <c r="L548" s="57"/>
      <c r="M548" s="57"/>
      <c r="N548" s="57"/>
      <c r="O548" s="57"/>
      <c r="P548" s="57"/>
      <c r="Q548" s="57"/>
      <c r="R548" s="2210"/>
      <c r="S548" s="256"/>
    </row>
    <row r="549" spans="1:19">
      <c r="A549" s="256"/>
      <c r="B549" s="57"/>
      <c r="C549" s="57"/>
      <c r="D549" s="57"/>
      <c r="E549" s="57"/>
      <c r="F549" s="57"/>
      <c r="G549" s="57"/>
      <c r="H549" s="57"/>
      <c r="I549" s="57"/>
      <c r="J549" s="57"/>
      <c r="K549" s="57"/>
      <c r="L549" s="57"/>
      <c r="M549" s="57"/>
      <c r="N549" s="57"/>
      <c r="O549" s="57"/>
      <c r="P549" s="57"/>
      <c r="Q549" s="57"/>
      <c r="R549" s="2210"/>
      <c r="S549" s="256"/>
    </row>
    <row r="550" spans="1:19">
      <c r="A550" s="256"/>
      <c r="B550" s="57"/>
      <c r="C550" s="57"/>
      <c r="D550" s="57"/>
      <c r="E550" s="57"/>
      <c r="F550" s="57"/>
      <c r="G550" s="57"/>
      <c r="H550" s="57"/>
      <c r="I550" s="57"/>
      <c r="J550" s="57"/>
      <c r="K550" s="57"/>
      <c r="L550" s="57"/>
      <c r="M550" s="57"/>
      <c r="N550" s="57"/>
      <c r="O550" s="57"/>
      <c r="P550" s="57"/>
      <c r="Q550" s="57"/>
      <c r="R550" s="2210"/>
      <c r="S550" s="256"/>
    </row>
    <row r="551" spans="1:19">
      <c r="A551" s="256"/>
      <c r="B551" s="57"/>
      <c r="C551" s="57"/>
      <c r="D551" s="57"/>
      <c r="E551" s="57"/>
      <c r="F551" s="57"/>
      <c r="G551" s="57"/>
      <c r="H551" s="57"/>
      <c r="I551" s="57"/>
      <c r="J551" s="57"/>
      <c r="K551" s="57"/>
      <c r="L551" s="57"/>
      <c r="M551" s="57"/>
      <c r="N551" s="57"/>
      <c r="O551" s="57"/>
      <c r="P551" s="57"/>
      <c r="Q551" s="57"/>
      <c r="R551" s="2210"/>
      <c r="S551" s="256"/>
    </row>
    <row r="552" spans="1:19">
      <c r="A552" s="256"/>
      <c r="B552" s="57"/>
      <c r="C552" s="57"/>
      <c r="D552" s="57"/>
      <c r="E552" s="57"/>
      <c r="F552" s="57"/>
      <c r="G552" s="57"/>
      <c r="H552" s="57"/>
      <c r="I552" s="57"/>
      <c r="J552" s="57"/>
      <c r="K552" s="57"/>
      <c r="L552" s="57"/>
      <c r="M552" s="57"/>
      <c r="N552" s="57"/>
      <c r="O552" s="57"/>
      <c r="P552" s="57"/>
      <c r="Q552" s="57"/>
      <c r="R552" s="2210"/>
      <c r="S552" s="256"/>
    </row>
    <row r="553" spans="1:19">
      <c r="A553" s="256"/>
      <c r="B553" s="57"/>
      <c r="C553" s="57"/>
      <c r="D553" s="57"/>
      <c r="E553" s="57"/>
      <c r="F553" s="57"/>
      <c r="G553" s="57"/>
      <c r="H553" s="57"/>
      <c r="I553" s="57"/>
      <c r="J553" s="57"/>
      <c r="K553" s="57"/>
      <c r="L553" s="57"/>
      <c r="M553" s="57"/>
      <c r="N553" s="57"/>
      <c r="O553" s="57"/>
      <c r="P553" s="57"/>
      <c r="Q553" s="57"/>
      <c r="R553" s="2210"/>
      <c r="S553" s="256"/>
    </row>
    <row r="554" spans="1:19">
      <c r="A554" s="256"/>
      <c r="B554" s="57"/>
      <c r="C554" s="57"/>
      <c r="D554" s="57"/>
      <c r="E554" s="57"/>
      <c r="F554" s="57"/>
      <c r="G554" s="57"/>
      <c r="H554" s="57"/>
      <c r="I554" s="57"/>
      <c r="J554" s="57"/>
      <c r="K554" s="57"/>
      <c r="L554" s="57"/>
      <c r="M554" s="57"/>
      <c r="N554" s="57"/>
      <c r="O554" s="57"/>
      <c r="P554" s="57"/>
      <c r="Q554" s="57"/>
      <c r="R554" s="2210"/>
      <c r="S554" s="256"/>
    </row>
    <row r="555" spans="1:19">
      <c r="A555" s="256"/>
      <c r="B555" s="57"/>
      <c r="C555" s="57"/>
      <c r="D555" s="57"/>
      <c r="E555" s="57"/>
      <c r="F555" s="57"/>
      <c r="G555" s="57"/>
      <c r="H555" s="57"/>
      <c r="I555" s="57"/>
      <c r="J555" s="57"/>
      <c r="K555" s="57"/>
      <c r="L555" s="57"/>
      <c r="M555" s="57"/>
      <c r="N555" s="57"/>
      <c r="O555" s="57"/>
      <c r="P555" s="57"/>
      <c r="Q555" s="57"/>
      <c r="R555" s="2210"/>
      <c r="S555" s="256"/>
    </row>
    <row r="556" spans="1:19">
      <c r="A556" s="256"/>
      <c r="B556" s="57"/>
      <c r="C556" s="57"/>
      <c r="D556" s="57"/>
      <c r="E556" s="57"/>
      <c r="F556" s="57"/>
      <c r="G556" s="57"/>
      <c r="H556" s="57"/>
      <c r="I556" s="57"/>
      <c r="J556" s="57"/>
      <c r="K556" s="57"/>
      <c r="L556" s="57"/>
      <c r="M556" s="57"/>
      <c r="N556" s="57"/>
      <c r="O556" s="57"/>
      <c r="P556" s="57"/>
      <c r="Q556" s="57"/>
      <c r="R556" s="2210"/>
      <c r="S556" s="256"/>
    </row>
    <row r="557" spans="1:19">
      <c r="A557" s="256"/>
      <c r="B557" s="57"/>
      <c r="C557" s="57"/>
      <c r="D557" s="57"/>
      <c r="E557" s="57"/>
      <c r="F557" s="57"/>
      <c r="G557" s="57"/>
      <c r="H557" s="57"/>
      <c r="I557" s="57"/>
      <c r="J557" s="57"/>
      <c r="K557" s="57"/>
      <c r="L557" s="57"/>
      <c r="M557" s="57"/>
      <c r="N557" s="57"/>
      <c r="O557" s="57"/>
      <c r="P557" s="57"/>
      <c r="Q557" s="57"/>
      <c r="R557" s="2210"/>
      <c r="S557" s="256"/>
    </row>
    <row r="558" spans="1:19">
      <c r="A558" s="256"/>
      <c r="B558" s="57"/>
      <c r="C558" s="57"/>
      <c r="D558" s="57"/>
      <c r="E558" s="57"/>
      <c r="F558" s="57"/>
      <c r="G558" s="57"/>
      <c r="H558" s="57"/>
      <c r="I558" s="57"/>
      <c r="J558" s="57"/>
      <c r="K558" s="57"/>
      <c r="L558" s="57"/>
      <c r="M558" s="57"/>
      <c r="N558" s="57"/>
      <c r="O558" s="57"/>
      <c r="P558" s="57"/>
      <c r="Q558" s="57"/>
      <c r="R558" s="2210"/>
      <c r="S558" s="256"/>
    </row>
    <row r="559" spans="1:19">
      <c r="A559" s="256"/>
      <c r="B559" s="57"/>
      <c r="C559" s="57"/>
      <c r="D559" s="57"/>
      <c r="E559" s="57"/>
      <c r="F559" s="57"/>
      <c r="G559" s="57"/>
      <c r="H559" s="57"/>
      <c r="I559" s="57"/>
      <c r="J559" s="57"/>
      <c r="K559" s="57"/>
      <c r="L559" s="57"/>
      <c r="M559" s="57"/>
      <c r="N559" s="57"/>
      <c r="O559" s="57"/>
      <c r="P559" s="57"/>
      <c r="Q559" s="57"/>
      <c r="R559" s="2210"/>
      <c r="S559" s="256"/>
    </row>
    <row r="560" spans="1:19">
      <c r="A560" s="256"/>
      <c r="B560" s="57"/>
      <c r="C560" s="57"/>
      <c r="D560" s="57"/>
      <c r="E560" s="57"/>
      <c r="F560" s="57"/>
      <c r="G560" s="57"/>
      <c r="H560" s="57"/>
      <c r="I560" s="57"/>
      <c r="J560" s="57"/>
      <c r="K560" s="57"/>
      <c r="L560" s="57"/>
      <c r="M560" s="57"/>
      <c r="N560" s="57"/>
      <c r="O560" s="57"/>
      <c r="P560" s="57"/>
      <c r="Q560" s="57"/>
      <c r="R560" s="2210"/>
      <c r="S560" s="256"/>
    </row>
    <row r="561" spans="1:19">
      <c r="A561" s="256"/>
      <c r="B561" s="57"/>
      <c r="C561" s="57"/>
      <c r="D561" s="57"/>
      <c r="E561" s="57"/>
      <c r="F561" s="57"/>
      <c r="G561" s="57"/>
      <c r="H561" s="57"/>
      <c r="I561" s="57"/>
      <c r="J561" s="57"/>
      <c r="K561" s="57"/>
      <c r="L561" s="57"/>
      <c r="M561" s="57"/>
      <c r="N561" s="57"/>
      <c r="O561" s="57"/>
      <c r="P561" s="57"/>
      <c r="Q561" s="57"/>
      <c r="R561" s="2210"/>
      <c r="S561" s="256"/>
    </row>
    <row r="562" spans="1:19">
      <c r="A562" s="256"/>
      <c r="B562" s="57"/>
      <c r="C562" s="57"/>
      <c r="D562" s="57"/>
      <c r="E562" s="57"/>
      <c r="F562" s="57"/>
      <c r="G562" s="57"/>
      <c r="H562" s="57"/>
      <c r="I562" s="57"/>
      <c r="J562" s="57"/>
      <c r="K562" s="57"/>
      <c r="L562" s="57"/>
      <c r="M562" s="57"/>
      <c r="N562" s="57"/>
      <c r="O562" s="57"/>
      <c r="P562" s="57"/>
      <c r="Q562" s="57"/>
      <c r="R562" s="2210"/>
      <c r="S562" s="256"/>
    </row>
    <row r="563" spans="1:19">
      <c r="A563" s="256"/>
      <c r="B563" s="57"/>
      <c r="C563" s="57"/>
      <c r="D563" s="57"/>
      <c r="E563" s="57"/>
      <c r="F563" s="57"/>
      <c r="G563" s="57"/>
      <c r="H563" s="57"/>
      <c r="I563" s="57"/>
      <c r="J563" s="57"/>
      <c r="K563" s="57"/>
      <c r="L563" s="57"/>
      <c r="M563" s="57"/>
      <c r="N563" s="57"/>
      <c r="O563" s="57"/>
      <c r="P563" s="57"/>
      <c r="Q563" s="57"/>
      <c r="R563" s="2210"/>
      <c r="S563" s="256"/>
    </row>
    <row r="564" spans="1:19">
      <c r="A564" s="256"/>
      <c r="B564" s="57"/>
      <c r="C564" s="57"/>
      <c r="D564" s="57"/>
      <c r="E564" s="57"/>
      <c r="F564" s="57"/>
      <c r="G564" s="57"/>
      <c r="H564" s="57"/>
      <c r="I564" s="57"/>
      <c r="J564" s="57"/>
      <c r="K564" s="57"/>
      <c r="L564" s="57"/>
      <c r="M564" s="57"/>
      <c r="N564" s="57"/>
      <c r="O564" s="57"/>
      <c r="P564" s="57"/>
      <c r="Q564" s="57"/>
      <c r="R564" s="2210"/>
      <c r="S564" s="256"/>
    </row>
    <row r="565" spans="1:19">
      <c r="A565" s="256"/>
      <c r="B565" s="57"/>
      <c r="C565" s="57"/>
      <c r="D565" s="57"/>
      <c r="E565" s="57"/>
      <c r="F565" s="57"/>
      <c r="G565" s="57"/>
      <c r="H565" s="57"/>
      <c r="I565" s="57"/>
      <c r="J565" s="57"/>
      <c r="K565" s="57"/>
      <c r="L565" s="57"/>
      <c r="M565" s="57"/>
      <c r="N565" s="57"/>
      <c r="O565" s="57"/>
      <c r="P565" s="57"/>
      <c r="Q565" s="57"/>
      <c r="R565" s="2210"/>
      <c r="S565" s="256"/>
    </row>
    <row r="566" spans="1:19">
      <c r="A566" s="256"/>
      <c r="B566" s="57"/>
      <c r="C566" s="57"/>
      <c r="D566" s="57"/>
      <c r="E566" s="57"/>
      <c r="F566" s="57"/>
      <c r="G566" s="57"/>
      <c r="H566" s="57"/>
      <c r="I566" s="57"/>
      <c r="J566" s="57"/>
      <c r="K566" s="57"/>
      <c r="L566" s="57"/>
      <c r="M566" s="57"/>
      <c r="N566" s="57"/>
      <c r="O566" s="57"/>
      <c r="P566" s="57"/>
      <c r="Q566" s="57"/>
      <c r="R566" s="2210"/>
      <c r="S566" s="256"/>
    </row>
    <row r="567" spans="1:19">
      <c r="A567" s="256"/>
      <c r="B567" s="57"/>
      <c r="C567" s="57"/>
      <c r="D567" s="57"/>
      <c r="E567" s="57"/>
      <c r="F567" s="57"/>
      <c r="G567" s="57"/>
      <c r="H567" s="57"/>
      <c r="I567" s="57"/>
      <c r="J567" s="57"/>
      <c r="K567" s="57"/>
      <c r="L567" s="57"/>
      <c r="M567" s="57"/>
      <c r="N567" s="57"/>
      <c r="O567" s="57"/>
      <c r="P567" s="57"/>
      <c r="Q567" s="57"/>
      <c r="R567" s="2210"/>
      <c r="S567" s="256"/>
    </row>
    <row r="568" spans="1:19">
      <c r="A568" s="256"/>
      <c r="B568" s="57"/>
      <c r="C568" s="57"/>
      <c r="D568" s="57"/>
      <c r="E568" s="57"/>
      <c r="F568" s="57"/>
      <c r="G568" s="57"/>
      <c r="H568" s="57"/>
      <c r="I568" s="57"/>
      <c r="J568" s="57"/>
      <c r="K568" s="57"/>
      <c r="L568" s="57"/>
      <c r="M568" s="57"/>
      <c r="N568" s="57"/>
      <c r="O568" s="57"/>
      <c r="P568" s="57"/>
      <c r="Q568" s="57"/>
      <c r="R568" s="2210"/>
      <c r="S568" s="256"/>
    </row>
    <row r="569" spans="1:19">
      <c r="A569" s="256"/>
      <c r="B569" s="57"/>
      <c r="C569" s="57"/>
      <c r="D569" s="57"/>
      <c r="E569" s="57"/>
      <c r="F569" s="57"/>
      <c r="G569" s="57"/>
      <c r="H569" s="57"/>
      <c r="I569" s="57"/>
      <c r="J569" s="57"/>
      <c r="K569" s="57"/>
      <c r="L569" s="57"/>
      <c r="M569" s="57"/>
      <c r="N569" s="57"/>
      <c r="O569" s="57"/>
      <c r="P569" s="57"/>
      <c r="Q569" s="57"/>
      <c r="R569" s="2210"/>
      <c r="S569" s="256"/>
    </row>
    <row r="570" spans="1:19">
      <c r="A570" s="256"/>
      <c r="B570" s="57"/>
      <c r="C570" s="57"/>
      <c r="D570" s="57"/>
      <c r="E570" s="57"/>
      <c r="F570" s="57"/>
      <c r="G570" s="57"/>
      <c r="H570" s="57"/>
      <c r="I570" s="57"/>
      <c r="J570" s="57"/>
      <c r="K570" s="57"/>
      <c r="L570" s="57"/>
      <c r="M570" s="57"/>
      <c r="N570" s="57"/>
      <c r="O570" s="57"/>
      <c r="P570" s="57"/>
      <c r="Q570" s="57"/>
      <c r="R570" s="2210"/>
      <c r="S570" s="256"/>
    </row>
    <row r="571" spans="1:19">
      <c r="A571" s="256"/>
      <c r="B571" s="57"/>
      <c r="C571" s="57"/>
      <c r="D571" s="57"/>
      <c r="E571" s="57"/>
      <c r="F571" s="57"/>
      <c r="G571" s="57"/>
      <c r="H571" s="57"/>
      <c r="I571" s="57"/>
      <c r="J571" s="57"/>
      <c r="K571" s="57"/>
      <c r="L571" s="57"/>
      <c r="M571" s="57"/>
      <c r="N571" s="57"/>
      <c r="O571" s="57"/>
      <c r="P571" s="57"/>
      <c r="Q571" s="57"/>
      <c r="R571" s="2210"/>
      <c r="S571" s="256"/>
    </row>
    <row r="572" spans="1:19">
      <c r="A572" s="256"/>
      <c r="B572" s="57"/>
      <c r="C572" s="57"/>
      <c r="D572" s="57"/>
      <c r="E572" s="57"/>
      <c r="F572" s="57"/>
      <c r="G572" s="57"/>
      <c r="H572" s="57"/>
      <c r="I572" s="57"/>
      <c r="J572" s="57"/>
      <c r="K572" s="57"/>
      <c r="L572" s="57"/>
      <c r="M572" s="57"/>
      <c r="N572" s="57"/>
      <c r="O572" s="57"/>
      <c r="P572" s="57"/>
      <c r="Q572" s="57"/>
      <c r="R572" s="2210"/>
      <c r="S572" s="256"/>
    </row>
    <row r="573" spans="1:19">
      <c r="A573" s="256"/>
      <c r="B573" s="57"/>
      <c r="C573" s="57"/>
      <c r="D573" s="57"/>
      <c r="E573" s="57"/>
      <c r="F573" s="57"/>
      <c r="G573" s="57"/>
      <c r="H573" s="57"/>
      <c r="I573" s="57"/>
      <c r="J573" s="57"/>
      <c r="K573" s="57"/>
      <c r="L573" s="57"/>
      <c r="M573" s="57"/>
      <c r="N573" s="57"/>
      <c r="O573" s="57"/>
      <c r="P573" s="57"/>
      <c r="Q573" s="57"/>
      <c r="R573" s="2210"/>
      <c r="S573" s="256"/>
    </row>
    <row r="574" spans="1:19">
      <c r="A574" s="256"/>
      <c r="B574" s="57"/>
      <c r="C574" s="57"/>
      <c r="D574" s="57"/>
      <c r="E574" s="57"/>
      <c r="F574" s="57"/>
      <c r="G574" s="57"/>
      <c r="H574" s="57"/>
      <c r="I574" s="57"/>
      <c r="J574" s="57"/>
      <c r="K574" s="57"/>
      <c r="L574" s="57"/>
      <c r="M574" s="57"/>
      <c r="N574" s="57"/>
      <c r="O574" s="57"/>
      <c r="P574" s="57"/>
      <c r="Q574" s="57"/>
      <c r="R574" s="2210"/>
      <c r="S574" s="256"/>
    </row>
    <row r="575" spans="1:19">
      <c r="A575" s="256"/>
      <c r="B575" s="57"/>
      <c r="C575" s="57"/>
      <c r="D575" s="57"/>
      <c r="E575" s="57"/>
      <c r="F575" s="57"/>
      <c r="G575" s="57"/>
      <c r="H575" s="57"/>
      <c r="I575" s="57"/>
      <c r="J575" s="57"/>
      <c r="K575" s="57"/>
      <c r="L575" s="57"/>
      <c r="M575" s="57"/>
      <c r="N575" s="57"/>
      <c r="O575" s="57"/>
      <c r="P575" s="57"/>
      <c r="Q575" s="57"/>
      <c r="R575" s="2210"/>
      <c r="S575" s="256"/>
    </row>
    <row r="576" spans="1:19">
      <c r="A576" s="256"/>
      <c r="B576" s="57"/>
      <c r="C576" s="57"/>
      <c r="D576" s="57"/>
      <c r="E576" s="57"/>
      <c r="F576" s="57"/>
      <c r="G576" s="57"/>
      <c r="H576" s="57"/>
      <c r="I576" s="57"/>
      <c r="J576" s="57"/>
      <c r="K576" s="57"/>
      <c r="L576" s="57"/>
      <c r="M576" s="57"/>
      <c r="N576" s="57"/>
      <c r="O576" s="57"/>
      <c r="P576" s="57"/>
      <c r="Q576" s="57"/>
      <c r="R576" s="2210"/>
      <c r="S576" s="256"/>
    </row>
    <row r="577" spans="1:19">
      <c r="A577" s="256"/>
      <c r="B577" s="57"/>
      <c r="C577" s="57"/>
      <c r="D577" s="57"/>
      <c r="E577" s="57"/>
      <c r="F577" s="57"/>
      <c r="G577" s="57"/>
      <c r="H577" s="57"/>
      <c r="I577" s="57"/>
      <c r="J577" s="57"/>
      <c r="K577" s="57"/>
      <c r="L577" s="57"/>
      <c r="M577" s="57"/>
      <c r="N577" s="57"/>
      <c r="O577" s="57"/>
      <c r="P577" s="57"/>
      <c r="Q577" s="57"/>
      <c r="R577" s="2210"/>
      <c r="S577" s="256"/>
    </row>
    <row r="578" spans="1:19">
      <c r="A578" s="256"/>
      <c r="B578" s="57"/>
      <c r="C578" s="57"/>
      <c r="D578" s="57"/>
      <c r="E578" s="57"/>
      <c r="F578" s="57"/>
      <c r="G578" s="57"/>
      <c r="H578" s="57"/>
      <c r="I578" s="57"/>
      <c r="J578" s="57"/>
      <c r="K578" s="57"/>
      <c r="L578" s="57"/>
      <c r="M578" s="57"/>
      <c r="N578" s="57"/>
      <c r="O578" s="57"/>
      <c r="P578" s="57"/>
      <c r="Q578" s="57"/>
      <c r="R578" s="2210"/>
      <c r="S578" s="256"/>
    </row>
    <row r="579" spans="1:19">
      <c r="A579" s="256"/>
      <c r="B579" s="57"/>
      <c r="C579" s="57"/>
      <c r="D579" s="57"/>
      <c r="E579" s="57"/>
      <c r="F579" s="57"/>
      <c r="G579" s="57"/>
      <c r="H579" s="57"/>
      <c r="I579" s="57"/>
      <c r="J579" s="57"/>
      <c r="K579" s="57"/>
      <c r="L579" s="57"/>
      <c r="M579" s="57"/>
      <c r="N579" s="57"/>
      <c r="O579" s="57"/>
      <c r="P579" s="57"/>
      <c r="Q579" s="57"/>
      <c r="R579" s="2210"/>
      <c r="S579" s="256"/>
    </row>
    <row r="580" spans="1:19">
      <c r="A580" s="256"/>
      <c r="B580" s="57"/>
      <c r="C580" s="57"/>
      <c r="D580" s="57"/>
      <c r="E580" s="57"/>
      <c r="F580" s="57"/>
      <c r="G580" s="57"/>
      <c r="H580" s="57"/>
      <c r="I580" s="57"/>
      <c r="J580" s="57"/>
      <c r="K580" s="57"/>
      <c r="L580" s="57"/>
      <c r="M580" s="57"/>
      <c r="N580" s="57"/>
      <c r="O580" s="57"/>
      <c r="P580" s="57"/>
      <c r="Q580" s="57"/>
      <c r="R580" s="2210"/>
      <c r="S580" s="256"/>
    </row>
    <row r="581" spans="1:19">
      <c r="A581" s="256"/>
      <c r="B581" s="57"/>
      <c r="C581" s="57"/>
      <c r="D581" s="57"/>
      <c r="E581" s="57"/>
      <c r="F581" s="57"/>
      <c r="G581" s="57"/>
      <c r="H581" s="57"/>
      <c r="I581" s="57"/>
      <c r="J581" s="57"/>
      <c r="K581" s="57"/>
      <c r="L581" s="57"/>
      <c r="M581" s="57"/>
      <c r="N581" s="57"/>
      <c r="O581" s="57"/>
      <c r="P581" s="57"/>
      <c r="Q581" s="57"/>
      <c r="R581" s="2210"/>
      <c r="S581" s="256"/>
    </row>
    <row r="582" spans="1:19">
      <c r="A582" s="256"/>
      <c r="B582" s="57"/>
      <c r="C582" s="57"/>
      <c r="D582" s="57"/>
      <c r="E582" s="57"/>
      <c r="F582" s="57"/>
      <c r="G582" s="57"/>
      <c r="H582" s="57"/>
      <c r="I582" s="57"/>
      <c r="J582" s="57"/>
      <c r="K582" s="57"/>
      <c r="L582" s="57"/>
      <c r="M582" s="57"/>
      <c r="N582" s="57"/>
      <c r="O582" s="57"/>
      <c r="P582" s="57"/>
      <c r="Q582" s="57"/>
      <c r="R582" s="2210"/>
      <c r="S582" s="256"/>
    </row>
    <row r="583" spans="1:19">
      <c r="A583" s="256"/>
      <c r="B583" s="57"/>
      <c r="C583" s="57"/>
      <c r="D583" s="57"/>
      <c r="E583" s="57"/>
      <c r="F583" s="57"/>
      <c r="G583" s="57"/>
      <c r="H583" s="57"/>
      <c r="I583" s="57"/>
      <c r="J583" s="57"/>
      <c r="K583" s="57"/>
      <c r="L583" s="57"/>
      <c r="M583" s="57"/>
      <c r="N583" s="57"/>
      <c r="O583" s="57"/>
      <c r="P583" s="57"/>
      <c r="Q583" s="57"/>
      <c r="R583" s="2210"/>
      <c r="S583" s="256"/>
    </row>
    <row r="584" spans="1:19">
      <c r="A584" s="256"/>
      <c r="B584" s="57"/>
      <c r="C584" s="57"/>
      <c r="D584" s="57"/>
      <c r="E584" s="57"/>
      <c r="F584" s="57"/>
      <c r="G584" s="57"/>
      <c r="H584" s="57"/>
      <c r="I584" s="57"/>
      <c r="J584" s="57"/>
      <c r="K584" s="57"/>
      <c r="L584" s="57"/>
      <c r="M584" s="57"/>
      <c r="N584" s="57"/>
      <c r="O584" s="57"/>
      <c r="P584" s="57"/>
      <c r="Q584" s="57"/>
      <c r="R584" s="2210"/>
      <c r="S584" s="256"/>
    </row>
    <row r="585" spans="1:19">
      <c r="A585" s="256"/>
      <c r="B585" s="57"/>
      <c r="C585" s="57"/>
      <c r="D585" s="57"/>
      <c r="E585" s="57"/>
      <c r="F585" s="57"/>
      <c r="G585" s="57"/>
      <c r="H585" s="57"/>
      <c r="I585" s="57"/>
      <c r="J585" s="57"/>
      <c r="K585" s="57"/>
      <c r="L585" s="57"/>
      <c r="M585" s="57"/>
      <c r="N585" s="57"/>
      <c r="O585" s="57"/>
      <c r="P585" s="57"/>
      <c r="Q585" s="57"/>
      <c r="R585" s="2210"/>
      <c r="S585" s="256"/>
    </row>
    <row r="586" spans="1:19">
      <c r="A586" s="256"/>
      <c r="B586" s="57"/>
      <c r="C586" s="57"/>
      <c r="D586" s="57"/>
      <c r="E586" s="57"/>
      <c r="F586" s="57"/>
      <c r="G586" s="57"/>
      <c r="H586" s="57"/>
      <c r="I586" s="57"/>
      <c r="J586" s="57"/>
      <c r="K586" s="57"/>
      <c r="L586" s="57"/>
      <c r="M586" s="57"/>
      <c r="N586" s="57"/>
      <c r="O586" s="57"/>
      <c r="P586" s="57"/>
      <c r="Q586" s="57"/>
      <c r="R586" s="2210"/>
      <c r="S586" s="256"/>
    </row>
    <row r="587" spans="1:19">
      <c r="A587" s="256"/>
      <c r="B587" s="57"/>
      <c r="C587" s="57"/>
      <c r="D587" s="57"/>
      <c r="E587" s="57"/>
      <c r="F587" s="57"/>
      <c r="G587" s="57"/>
      <c r="H587" s="57"/>
      <c r="I587" s="57"/>
      <c r="J587" s="57"/>
      <c r="K587" s="57"/>
      <c r="L587" s="57"/>
      <c r="M587" s="57"/>
      <c r="N587" s="57"/>
      <c r="O587" s="57"/>
      <c r="P587" s="57"/>
      <c r="Q587" s="57"/>
      <c r="R587" s="2210"/>
      <c r="S587" s="256"/>
    </row>
    <row r="588" spans="1:19">
      <c r="A588" s="256"/>
      <c r="B588" s="57"/>
      <c r="C588" s="57"/>
      <c r="D588" s="57"/>
      <c r="E588" s="57"/>
      <c r="F588" s="57"/>
      <c r="G588" s="57"/>
      <c r="H588" s="57"/>
      <c r="I588" s="57"/>
      <c r="J588" s="57"/>
      <c r="K588" s="57"/>
      <c r="L588" s="57"/>
      <c r="M588" s="57"/>
      <c r="N588" s="57"/>
      <c r="O588" s="57"/>
      <c r="P588" s="57"/>
      <c r="Q588" s="57"/>
      <c r="R588" s="2210"/>
      <c r="S588" s="256"/>
    </row>
    <row r="589" spans="1:19">
      <c r="A589" s="256"/>
      <c r="B589" s="57"/>
      <c r="C589" s="57"/>
      <c r="D589" s="57"/>
      <c r="E589" s="57"/>
      <c r="F589" s="57"/>
      <c r="G589" s="57"/>
      <c r="H589" s="57"/>
      <c r="I589" s="57"/>
      <c r="J589" s="57"/>
      <c r="K589" s="57"/>
      <c r="L589" s="57"/>
      <c r="M589" s="57"/>
      <c r="N589" s="57"/>
      <c r="O589" s="57"/>
      <c r="P589" s="57"/>
      <c r="Q589" s="57"/>
      <c r="R589" s="2210"/>
      <c r="S589" s="256"/>
    </row>
    <row r="590" spans="1:19">
      <c r="A590" s="256"/>
      <c r="B590" s="57"/>
      <c r="C590" s="57"/>
      <c r="D590" s="57"/>
      <c r="E590" s="57"/>
      <c r="F590" s="57"/>
      <c r="G590" s="57"/>
      <c r="H590" s="57"/>
      <c r="I590" s="57"/>
      <c r="J590" s="57"/>
      <c r="K590" s="57"/>
      <c r="L590" s="57"/>
      <c r="M590" s="57"/>
      <c r="N590" s="57"/>
      <c r="O590" s="57"/>
      <c r="P590" s="57"/>
      <c r="Q590" s="57"/>
      <c r="R590" s="2210"/>
      <c r="S590" s="256"/>
    </row>
    <row r="591" spans="1:19">
      <c r="A591" s="256"/>
      <c r="B591" s="57"/>
      <c r="C591" s="57"/>
      <c r="D591" s="57"/>
      <c r="E591" s="57"/>
      <c r="F591" s="57"/>
      <c r="G591" s="57"/>
      <c r="H591" s="57"/>
      <c r="I591" s="57"/>
      <c r="J591" s="57"/>
      <c r="K591" s="57"/>
      <c r="L591" s="57"/>
      <c r="M591" s="57"/>
      <c r="N591" s="57"/>
      <c r="O591" s="57"/>
      <c r="P591" s="57"/>
      <c r="Q591" s="57"/>
      <c r="R591" s="2210"/>
      <c r="S591" s="256"/>
    </row>
    <row r="592" spans="1:19">
      <c r="A592" s="256"/>
      <c r="B592" s="57"/>
      <c r="C592" s="57"/>
      <c r="D592" s="57"/>
      <c r="E592" s="57"/>
      <c r="F592" s="57"/>
      <c r="G592" s="57"/>
      <c r="H592" s="57"/>
      <c r="I592" s="57"/>
      <c r="J592" s="57"/>
      <c r="K592" s="57"/>
      <c r="L592" s="57"/>
      <c r="M592" s="57"/>
      <c r="N592" s="57"/>
      <c r="O592" s="57"/>
      <c r="P592" s="57"/>
      <c r="Q592" s="57"/>
      <c r="R592" s="2210"/>
      <c r="S592" s="256"/>
    </row>
    <row r="593" spans="1:19">
      <c r="A593" s="256"/>
      <c r="B593" s="57"/>
      <c r="C593" s="57"/>
      <c r="D593" s="57"/>
      <c r="E593" s="57"/>
      <c r="F593" s="57"/>
      <c r="G593" s="57"/>
      <c r="H593" s="57"/>
      <c r="I593" s="57"/>
      <c r="J593" s="57"/>
      <c r="K593" s="57"/>
      <c r="L593" s="57"/>
      <c r="M593" s="57"/>
      <c r="N593" s="57"/>
      <c r="O593" s="57"/>
      <c r="P593" s="57"/>
      <c r="Q593" s="57"/>
      <c r="R593" s="2210"/>
      <c r="S593" s="256"/>
    </row>
    <row r="594" spans="1:19">
      <c r="A594" s="256"/>
      <c r="B594" s="57"/>
      <c r="C594" s="57"/>
      <c r="D594" s="57"/>
      <c r="E594" s="57"/>
      <c r="F594" s="57"/>
      <c r="G594" s="57"/>
      <c r="H594" s="57"/>
      <c r="I594" s="57"/>
      <c r="J594" s="57"/>
      <c r="K594" s="57"/>
      <c r="L594" s="57"/>
      <c r="M594" s="57"/>
      <c r="N594" s="57"/>
      <c r="O594" s="57"/>
      <c r="P594" s="57"/>
      <c r="Q594" s="57"/>
      <c r="R594" s="2210"/>
      <c r="S594" s="256"/>
    </row>
    <row r="595" spans="1:19">
      <c r="A595" s="256"/>
      <c r="B595" s="57"/>
      <c r="C595" s="57"/>
      <c r="D595" s="57"/>
      <c r="E595" s="57"/>
      <c r="F595" s="57"/>
      <c r="G595" s="57"/>
      <c r="H595" s="57"/>
      <c r="I595" s="57"/>
      <c r="J595" s="57"/>
      <c r="K595" s="57"/>
      <c r="L595" s="57"/>
      <c r="M595" s="57"/>
      <c r="N595" s="57"/>
      <c r="O595" s="57"/>
      <c r="P595" s="57"/>
      <c r="Q595" s="57"/>
      <c r="R595" s="2210"/>
      <c r="S595" s="256"/>
    </row>
    <row r="596" spans="1:19">
      <c r="A596" s="256"/>
      <c r="B596" s="57"/>
      <c r="C596" s="57"/>
      <c r="D596" s="57"/>
      <c r="E596" s="57"/>
      <c r="F596" s="57"/>
      <c r="G596" s="57"/>
      <c r="H596" s="57"/>
      <c r="I596" s="57"/>
      <c r="J596" s="57"/>
      <c r="K596" s="57"/>
      <c r="L596" s="57"/>
      <c r="M596" s="57"/>
      <c r="N596" s="57"/>
      <c r="O596" s="57"/>
      <c r="P596" s="57"/>
      <c r="Q596" s="57"/>
      <c r="R596" s="2210"/>
      <c r="S596" s="256"/>
    </row>
    <row r="597" spans="1:19">
      <c r="A597" s="256"/>
      <c r="B597" s="57"/>
      <c r="C597" s="57"/>
      <c r="D597" s="57"/>
      <c r="E597" s="57"/>
      <c r="F597" s="57"/>
      <c r="G597" s="57"/>
      <c r="H597" s="57"/>
      <c r="I597" s="57"/>
      <c r="J597" s="57"/>
      <c r="K597" s="57"/>
      <c r="L597" s="57"/>
      <c r="M597" s="57"/>
      <c r="N597" s="57"/>
      <c r="O597" s="57"/>
      <c r="P597" s="57"/>
      <c r="Q597" s="57"/>
      <c r="R597" s="2210"/>
      <c r="S597" s="256"/>
    </row>
    <row r="598" spans="1:19">
      <c r="A598" s="256"/>
      <c r="B598" s="57"/>
      <c r="C598" s="57"/>
      <c r="D598" s="57"/>
      <c r="E598" s="57"/>
      <c r="F598" s="57"/>
      <c r="G598" s="57"/>
      <c r="H598" s="57"/>
      <c r="I598" s="57"/>
      <c r="J598" s="57"/>
      <c r="K598" s="57"/>
      <c r="L598" s="57"/>
      <c r="M598" s="57"/>
      <c r="N598" s="57"/>
      <c r="O598" s="57"/>
      <c r="P598" s="57"/>
      <c r="Q598" s="57"/>
      <c r="R598" s="2210"/>
      <c r="S598" s="256"/>
    </row>
    <row r="599" spans="1:19">
      <c r="A599" s="256"/>
      <c r="B599" s="57"/>
      <c r="C599" s="57"/>
      <c r="D599" s="57"/>
      <c r="E599" s="57"/>
      <c r="F599" s="57"/>
      <c r="G599" s="57"/>
      <c r="H599" s="57"/>
      <c r="I599" s="57"/>
      <c r="J599" s="57"/>
      <c r="K599" s="57"/>
      <c r="L599" s="57"/>
      <c r="M599" s="57"/>
      <c r="N599" s="57"/>
      <c r="O599" s="57"/>
      <c r="P599" s="57"/>
      <c r="Q599" s="57"/>
      <c r="R599" s="2210"/>
      <c r="S599" s="256"/>
    </row>
    <row r="600" spans="1:19">
      <c r="A600" s="256"/>
      <c r="B600" s="57"/>
      <c r="C600" s="57"/>
      <c r="D600" s="57"/>
      <c r="E600" s="57"/>
      <c r="F600" s="57"/>
      <c r="G600" s="57"/>
      <c r="H600" s="57"/>
      <c r="I600" s="57"/>
      <c r="J600" s="57"/>
      <c r="K600" s="57"/>
      <c r="L600" s="57"/>
      <c r="M600" s="57"/>
      <c r="N600" s="57"/>
      <c r="O600" s="57"/>
      <c r="P600" s="57"/>
      <c r="Q600" s="57"/>
      <c r="R600" s="2210"/>
      <c r="S600" s="256"/>
    </row>
    <row r="601" spans="1:19">
      <c r="A601" s="256"/>
      <c r="B601" s="57"/>
      <c r="C601" s="57"/>
      <c r="D601" s="57"/>
      <c r="E601" s="57"/>
      <c r="F601" s="57"/>
      <c r="G601" s="57"/>
      <c r="H601" s="57"/>
      <c r="I601" s="57"/>
      <c r="J601" s="57"/>
      <c r="K601" s="57"/>
      <c r="L601" s="57"/>
      <c r="M601" s="57"/>
      <c r="N601" s="57"/>
      <c r="O601" s="57"/>
      <c r="P601" s="57"/>
      <c r="Q601" s="57"/>
      <c r="R601" s="2210"/>
      <c r="S601" s="256"/>
    </row>
    <row r="602" spans="1:19">
      <c r="A602" s="256"/>
      <c r="B602" s="57"/>
      <c r="C602" s="57"/>
      <c r="D602" s="57"/>
      <c r="E602" s="57"/>
      <c r="F602" s="57"/>
      <c r="G602" s="57"/>
      <c r="H602" s="57"/>
      <c r="I602" s="57"/>
      <c r="J602" s="57"/>
      <c r="K602" s="57"/>
      <c r="L602" s="57"/>
      <c r="M602" s="57"/>
      <c r="N602" s="57"/>
      <c r="O602" s="57"/>
      <c r="P602" s="57"/>
      <c r="Q602" s="57"/>
      <c r="R602" s="2210"/>
      <c r="S602" s="256"/>
    </row>
    <row r="603" spans="1:19">
      <c r="A603" s="256"/>
      <c r="B603" s="57"/>
      <c r="C603" s="57"/>
      <c r="D603" s="57"/>
      <c r="E603" s="57"/>
      <c r="F603" s="57"/>
      <c r="G603" s="57"/>
      <c r="H603" s="57"/>
      <c r="I603" s="57"/>
      <c r="J603" s="57"/>
      <c r="K603" s="57"/>
      <c r="L603" s="57"/>
      <c r="M603" s="57"/>
      <c r="N603" s="57"/>
      <c r="O603" s="57"/>
      <c r="P603" s="57"/>
      <c r="Q603" s="57"/>
      <c r="R603" s="2210"/>
      <c r="S603" s="256"/>
    </row>
    <row r="604" spans="1:19">
      <c r="A604" s="256"/>
      <c r="B604" s="57"/>
      <c r="C604" s="57"/>
      <c r="D604" s="57"/>
      <c r="E604" s="57"/>
      <c r="F604" s="57"/>
      <c r="G604" s="57"/>
      <c r="H604" s="57"/>
      <c r="I604" s="57"/>
      <c r="J604" s="57"/>
      <c r="K604" s="57"/>
      <c r="L604" s="57"/>
      <c r="M604" s="57"/>
      <c r="N604" s="57"/>
      <c r="O604" s="57"/>
      <c r="P604" s="57"/>
      <c r="Q604" s="57"/>
      <c r="R604" s="2210"/>
      <c r="S604" s="256"/>
    </row>
    <row r="605" spans="1:19">
      <c r="A605" s="256"/>
      <c r="B605" s="57"/>
      <c r="C605" s="57"/>
      <c r="D605" s="57"/>
      <c r="E605" s="57"/>
      <c r="F605" s="57"/>
      <c r="G605" s="57"/>
      <c r="H605" s="57"/>
      <c r="I605" s="57"/>
      <c r="J605" s="57"/>
      <c r="K605" s="57"/>
      <c r="L605" s="57"/>
      <c r="M605" s="57"/>
      <c r="N605" s="57"/>
      <c r="O605" s="57"/>
      <c r="P605" s="57"/>
      <c r="Q605" s="57"/>
      <c r="R605" s="2210"/>
      <c r="S605" s="256"/>
    </row>
    <row r="606" spans="1:19">
      <c r="A606" s="256"/>
      <c r="B606" s="57"/>
      <c r="C606" s="57"/>
      <c r="D606" s="57"/>
      <c r="E606" s="57"/>
      <c r="F606" s="57"/>
      <c r="G606" s="57"/>
      <c r="H606" s="57"/>
      <c r="I606" s="57"/>
      <c r="J606" s="57"/>
      <c r="K606" s="57"/>
      <c r="L606" s="57"/>
      <c r="M606" s="57"/>
      <c r="N606" s="57"/>
      <c r="O606" s="57"/>
      <c r="P606" s="57"/>
      <c r="Q606" s="57"/>
      <c r="R606" s="2210"/>
      <c r="S606" s="256"/>
    </row>
    <row r="607" spans="1:19">
      <c r="A607" s="256"/>
      <c r="B607" s="57"/>
      <c r="C607" s="57"/>
      <c r="D607" s="57"/>
      <c r="E607" s="57"/>
      <c r="F607" s="57"/>
      <c r="G607" s="57"/>
      <c r="H607" s="57"/>
      <c r="I607" s="57"/>
      <c r="J607" s="57"/>
      <c r="K607" s="57"/>
      <c r="L607" s="57"/>
      <c r="M607" s="57"/>
      <c r="N607" s="57"/>
      <c r="O607" s="57"/>
      <c r="P607" s="57"/>
      <c r="Q607" s="57"/>
      <c r="R607" s="2210"/>
      <c r="S607" s="256"/>
    </row>
    <row r="608" spans="1:19">
      <c r="A608" s="256"/>
      <c r="B608" s="57"/>
      <c r="C608" s="57"/>
      <c r="D608" s="57"/>
      <c r="E608" s="57"/>
      <c r="F608" s="57"/>
      <c r="G608" s="57"/>
      <c r="H608" s="57"/>
      <c r="I608" s="57"/>
      <c r="J608" s="57"/>
      <c r="K608" s="57"/>
      <c r="L608" s="57"/>
      <c r="M608" s="57"/>
      <c r="N608" s="57"/>
      <c r="O608" s="57"/>
      <c r="P608" s="57"/>
      <c r="Q608" s="57"/>
      <c r="R608" s="2210"/>
      <c r="S608" s="256"/>
    </row>
    <row r="609" spans="1:19">
      <c r="A609" s="256"/>
      <c r="B609" s="57"/>
      <c r="C609" s="57"/>
      <c r="D609" s="57"/>
      <c r="E609" s="57"/>
      <c r="F609" s="57"/>
      <c r="G609" s="57"/>
      <c r="H609" s="57"/>
      <c r="I609" s="57"/>
      <c r="J609" s="57"/>
      <c r="K609" s="57"/>
      <c r="L609" s="57"/>
      <c r="M609" s="57"/>
      <c r="N609" s="57"/>
      <c r="O609" s="57"/>
      <c r="P609" s="57"/>
      <c r="Q609" s="57"/>
      <c r="R609" s="2210"/>
      <c r="S609" s="256"/>
    </row>
    <row r="610" spans="1:19">
      <c r="A610" s="256"/>
      <c r="B610" s="57"/>
      <c r="C610" s="57"/>
      <c r="D610" s="57"/>
      <c r="E610" s="57"/>
      <c r="F610" s="57"/>
      <c r="G610" s="57"/>
      <c r="H610" s="57"/>
      <c r="I610" s="57"/>
      <c r="J610" s="57"/>
      <c r="K610" s="57"/>
      <c r="L610" s="57"/>
      <c r="M610" s="57"/>
      <c r="N610" s="57"/>
      <c r="O610" s="57"/>
      <c r="P610" s="57"/>
      <c r="Q610" s="57"/>
      <c r="R610" s="2210"/>
      <c r="S610" s="256"/>
    </row>
    <row r="611" spans="1:19">
      <c r="A611" s="256"/>
      <c r="B611" s="57"/>
      <c r="C611" s="57"/>
      <c r="D611" s="57"/>
      <c r="E611" s="57"/>
      <c r="F611" s="57"/>
      <c r="G611" s="57"/>
      <c r="H611" s="57"/>
      <c r="I611" s="57"/>
      <c r="J611" s="57"/>
      <c r="K611" s="57"/>
      <c r="L611" s="57"/>
      <c r="M611" s="57"/>
      <c r="N611" s="57"/>
      <c r="O611" s="57"/>
      <c r="P611" s="57"/>
      <c r="Q611" s="57"/>
      <c r="R611" s="2210"/>
      <c r="S611" s="256"/>
    </row>
    <row r="612" spans="1:19">
      <c r="A612" s="256"/>
      <c r="B612" s="57"/>
      <c r="C612" s="57"/>
      <c r="D612" s="57"/>
      <c r="E612" s="57"/>
      <c r="F612" s="57"/>
      <c r="G612" s="57"/>
      <c r="H612" s="57"/>
      <c r="I612" s="57"/>
      <c r="J612" s="57"/>
      <c r="K612" s="57"/>
      <c r="L612" s="57"/>
      <c r="M612" s="57"/>
      <c r="N612" s="57"/>
      <c r="O612" s="57"/>
      <c r="P612" s="57"/>
      <c r="Q612" s="57"/>
      <c r="R612" s="2210"/>
      <c r="S612" s="256"/>
    </row>
    <row r="613" spans="1:19">
      <c r="A613" s="256"/>
      <c r="B613" s="57"/>
      <c r="C613" s="57"/>
      <c r="D613" s="57"/>
      <c r="E613" s="57"/>
      <c r="F613" s="57"/>
      <c r="G613" s="57"/>
      <c r="H613" s="57"/>
      <c r="I613" s="57"/>
      <c r="J613" s="57"/>
      <c r="K613" s="57"/>
      <c r="L613" s="57"/>
      <c r="M613" s="57"/>
      <c r="N613" s="57"/>
      <c r="O613" s="57"/>
      <c r="P613" s="57"/>
      <c r="Q613" s="57"/>
      <c r="R613" s="2210"/>
      <c r="S613" s="256"/>
    </row>
    <row r="614" spans="1:19">
      <c r="A614" s="256"/>
      <c r="B614" s="57"/>
      <c r="C614" s="57"/>
      <c r="D614" s="57"/>
      <c r="E614" s="57"/>
      <c r="F614" s="57"/>
      <c r="G614" s="57"/>
      <c r="H614" s="57"/>
      <c r="I614" s="57"/>
      <c r="J614" s="57"/>
      <c r="K614" s="57"/>
      <c r="L614" s="57"/>
      <c r="M614" s="57"/>
      <c r="N614" s="57"/>
      <c r="O614" s="57"/>
      <c r="P614" s="57"/>
      <c r="Q614" s="57"/>
      <c r="R614" s="2210"/>
      <c r="S614" s="256"/>
    </row>
    <row r="615" spans="1:19">
      <c r="A615" s="256"/>
      <c r="B615" s="57"/>
      <c r="C615" s="57"/>
      <c r="D615" s="57"/>
      <c r="E615" s="57"/>
      <c r="F615" s="57"/>
      <c r="G615" s="57"/>
      <c r="H615" s="57"/>
      <c r="I615" s="57"/>
      <c r="J615" s="57"/>
      <c r="K615" s="57"/>
      <c r="L615" s="57"/>
      <c r="M615" s="57"/>
      <c r="N615" s="57"/>
      <c r="O615" s="57"/>
      <c r="P615" s="57"/>
      <c r="Q615" s="57"/>
      <c r="R615" s="2210"/>
      <c r="S615" s="256"/>
    </row>
    <row r="616" spans="1:19">
      <c r="A616" s="256"/>
      <c r="B616" s="57"/>
      <c r="C616" s="57"/>
      <c r="D616" s="57"/>
      <c r="E616" s="57"/>
      <c r="F616" s="57"/>
      <c r="G616" s="57"/>
      <c r="H616" s="57"/>
      <c r="I616" s="57"/>
      <c r="J616" s="57"/>
      <c r="K616" s="57"/>
      <c r="L616" s="57"/>
      <c r="M616" s="57"/>
      <c r="N616" s="57"/>
      <c r="O616" s="57"/>
      <c r="P616" s="57"/>
      <c r="Q616" s="57"/>
      <c r="R616" s="2210"/>
      <c r="S616" s="256"/>
    </row>
    <row r="617" spans="1:19">
      <c r="A617" s="256"/>
      <c r="B617" s="57"/>
      <c r="C617" s="57"/>
      <c r="D617" s="57"/>
      <c r="E617" s="57"/>
      <c r="F617" s="57"/>
      <c r="G617" s="57"/>
      <c r="H617" s="57"/>
      <c r="I617" s="57"/>
      <c r="J617" s="57"/>
      <c r="K617" s="57"/>
      <c r="L617" s="57"/>
      <c r="M617" s="57"/>
      <c r="N617" s="57"/>
      <c r="O617" s="57"/>
      <c r="P617" s="57"/>
      <c r="Q617" s="57"/>
      <c r="R617" s="2210"/>
      <c r="S617" s="256"/>
    </row>
    <row r="618" spans="1:19">
      <c r="A618" s="256"/>
      <c r="B618" s="57"/>
      <c r="C618" s="57"/>
      <c r="D618" s="57"/>
      <c r="E618" s="57"/>
      <c r="F618" s="57"/>
      <c r="G618" s="57"/>
      <c r="H618" s="57"/>
      <c r="I618" s="57"/>
      <c r="J618" s="57"/>
      <c r="K618" s="57"/>
      <c r="L618" s="57"/>
      <c r="M618" s="57"/>
      <c r="N618" s="57"/>
      <c r="O618" s="57"/>
      <c r="P618" s="57"/>
      <c r="Q618" s="57"/>
      <c r="R618" s="2210"/>
      <c r="S618" s="256"/>
    </row>
    <row r="619" spans="1:19">
      <c r="A619" s="256"/>
      <c r="B619" s="57"/>
      <c r="C619" s="57"/>
      <c r="D619" s="57"/>
      <c r="E619" s="57"/>
      <c r="F619" s="57"/>
      <c r="G619" s="57"/>
      <c r="H619" s="57"/>
      <c r="I619" s="57"/>
      <c r="J619" s="57"/>
      <c r="K619" s="57"/>
      <c r="L619" s="57"/>
      <c r="M619" s="57"/>
      <c r="N619" s="57"/>
      <c r="O619" s="57"/>
      <c r="P619" s="57"/>
      <c r="Q619" s="57"/>
      <c r="R619" s="2210"/>
      <c r="S619" s="256"/>
    </row>
    <row r="620" spans="1:19">
      <c r="A620" s="256"/>
      <c r="B620" s="57"/>
      <c r="C620" s="57"/>
      <c r="D620" s="57"/>
      <c r="E620" s="57"/>
      <c r="F620" s="57"/>
      <c r="G620" s="57"/>
      <c r="H620" s="57"/>
      <c r="I620" s="57"/>
      <c r="J620" s="57"/>
      <c r="K620" s="57"/>
      <c r="L620" s="57"/>
      <c r="M620" s="57"/>
      <c r="N620" s="57"/>
      <c r="O620" s="57"/>
      <c r="P620" s="57"/>
      <c r="Q620" s="57"/>
      <c r="R620" s="2210"/>
      <c r="S620" s="256"/>
    </row>
    <row r="621" spans="1:19">
      <c r="A621" s="256"/>
      <c r="B621" s="57"/>
      <c r="C621" s="57"/>
      <c r="D621" s="57"/>
      <c r="E621" s="57"/>
      <c r="F621" s="57"/>
      <c r="G621" s="57"/>
      <c r="H621" s="57"/>
      <c r="I621" s="57"/>
      <c r="J621" s="57"/>
      <c r="K621" s="57"/>
      <c r="L621" s="57"/>
      <c r="M621" s="57"/>
      <c r="N621" s="57"/>
      <c r="O621" s="57"/>
      <c r="P621" s="57"/>
      <c r="Q621" s="57"/>
      <c r="R621" s="2210"/>
      <c r="S621" s="256"/>
    </row>
    <row r="622" spans="1:19">
      <c r="A622" s="256"/>
      <c r="B622" s="57"/>
      <c r="C622" s="57"/>
      <c r="D622" s="57"/>
      <c r="E622" s="57"/>
      <c r="F622" s="57"/>
      <c r="G622" s="57"/>
      <c r="H622" s="57"/>
      <c r="I622" s="57"/>
      <c r="J622" s="57"/>
      <c r="K622" s="57"/>
      <c r="L622" s="57"/>
      <c r="M622" s="57"/>
      <c r="N622" s="57"/>
      <c r="O622" s="57"/>
      <c r="P622" s="57"/>
      <c r="Q622" s="57"/>
      <c r="R622" s="2210"/>
      <c r="S622" s="256"/>
    </row>
    <row r="623" spans="1:19">
      <c r="A623" s="256"/>
      <c r="B623" s="57"/>
      <c r="C623" s="57"/>
      <c r="D623" s="57"/>
      <c r="E623" s="57"/>
      <c r="F623" s="57"/>
      <c r="G623" s="57"/>
      <c r="H623" s="57"/>
      <c r="I623" s="57"/>
      <c r="J623" s="57"/>
      <c r="K623" s="57"/>
      <c r="L623" s="57"/>
      <c r="M623" s="57"/>
      <c r="N623" s="57"/>
      <c r="O623" s="57"/>
      <c r="P623" s="57"/>
      <c r="Q623" s="57"/>
      <c r="R623" s="2210"/>
      <c r="S623" s="256"/>
    </row>
    <row r="624" spans="1:19">
      <c r="A624" s="256"/>
      <c r="B624" s="57"/>
      <c r="C624" s="57"/>
      <c r="D624" s="57"/>
      <c r="E624" s="57"/>
      <c r="F624" s="57"/>
      <c r="G624" s="57"/>
      <c r="H624" s="57"/>
      <c r="I624" s="57"/>
      <c r="J624" s="57"/>
      <c r="K624" s="57"/>
      <c r="L624" s="57"/>
      <c r="M624" s="57"/>
      <c r="N624" s="57"/>
      <c r="O624" s="57"/>
      <c r="P624" s="57"/>
      <c r="Q624" s="57"/>
      <c r="R624" s="2210"/>
      <c r="S624" s="256"/>
    </row>
    <row r="625" spans="1:19">
      <c r="A625" s="256"/>
      <c r="B625" s="57"/>
      <c r="C625" s="57"/>
      <c r="D625" s="57"/>
      <c r="E625" s="57"/>
      <c r="F625" s="57"/>
      <c r="G625" s="57"/>
      <c r="H625" s="57"/>
      <c r="I625" s="57"/>
      <c r="J625" s="57"/>
      <c r="K625" s="57"/>
      <c r="L625" s="57"/>
      <c r="M625" s="57"/>
      <c r="N625" s="57"/>
      <c r="O625" s="57"/>
      <c r="P625" s="57"/>
      <c r="Q625" s="57"/>
      <c r="R625" s="2210"/>
      <c r="S625" s="256"/>
    </row>
    <row r="626" spans="1:19">
      <c r="A626" s="256"/>
      <c r="B626" s="57"/>
      <c r="C626" s="57"/>
      <c r="D626" s="57"/>
      <c r="E626" s="57"/>
      <c r="F626" s="57"/>
      <c r="G626" s="57"/>
      <c r="H626" s="57"/>
      <c r="I626" s="57"/>
      <c r="J626" s="57"/>
      <c r="K626" s="57"/>
      <c r="L626" s="57"/>
      <c r="M626" s="57"/>
      <c r="N626" s="57"/>
      <c r="O626" s="57"/>
      <c r="P626" s="57"/>
      <c r="Q626" s="57"/>
      <c r="R626" s="2210"/>
      <c r="S626" s="256"/>
    </row>
    <row r="627" spans="1:19">
      <c r="A627" s="256"/>
      <c r="B627" s="57"/>
      <c r="C627" s="57"/>
      <c r="D627" s="57"/>
      <c r="E627" s="57"/>
      <c r="F627" s="57"/>
      <c r="G627" s="57"/>
      <c r="H627" s="57"/>
      <c r="I627" s="57"/>
      <c r="J627" s="57"/>
      <c r="K627" s="57"/>
      <c r="L627" s="57"/>
      <c r="M627" s="57"/>
      <c r="N627" s="57"/>
      <c r="O627" s="57"/>
      <c r="P627" s="57"/>
      <c r="Q627" s="57"/>
      <c r="R627" s="2210"/>
      <c r="S627" s="256"/>
    </row>
    <row r="628" spans="1:19">
      <c r="A628" s="256"/>
      <c r="B628" s="57"/>
      <c r="C628" s="57"/>
      <c r="D628" s="57"/>
      <c r="E628" s="57"/>
      <c r="F628" s="57"/>
      <c r="G628" s="57"/>
      <c r="H628" s="57"/>
      <c r="I628" s="57"/>
      <c r="J628" s="57"/>
      <c r="K628" s="57"/>
      <c r="L628" s="57"/>
      <c r="M628" s="57"/>
      <c r="N628" s="57"/>
      <c r="O628" s="57"/>
      <c r="P628" s="57"/>
      <c r="Q628" s="57"/>
      <c r="R628" s="2210"/>
      <c r="S628" s="256"/>
    </row>
    <row r="629" spans="1:19">
      <c r="A629" s="256"/>
      <c r="B629" s="57"/>
      <c r="C629" s="57"/>
      <c r="D629" s="57"/>
      <c r="E629" s="57"/>
      <c r="F629" s="57"/>
      <c r="G629" s="57"/>
      <c r="H629" s="57"/>
      <c r="I629" s="57"/>
      <c r="J629" s="57"/>
      <c r="K629" s="57"/>
      <c r="L629" s="57"/>
      <c r="M629" s="57"/>
      <c r="N629" s="57"/>
      <c r="O629" s="57"/>
      <c r="P629" s="57"/>
      <c r="Q629" s="57"/>
      <c r="R629" s="2210"/>
      <c r="S629" s="256"/>
    </row>
    <row r="630" spans="1:19">
      <c r="A630" s="256"/>
      <c r="B630" s="57"/>
      <c r="C630" s="57"/>
      <c r="D630" s="57"/>
      <c r="E630" s="57"/>
      <c r="F630" s="57"/>
      <c r="G630" s="57"/>
      <c r="H630" s="57"/>
      <c r="I630" s="57"/>
      <c r="J630" s="57"/>
      <c r="K630" s="57"/>
      <c r="L630" s="57"/>
      <c r="M630" s="57"/>
      <c r="N630" s="57"/>
      <c r="O630" s="57"/>
      <c r="P630" s="57"/>
      <c r="Q630" s="57"/>
      <c r="R630" s="2210"/>
      <c r="S630" s="256"/>
    </row>
    <row r="631" spans="1:19">
      <c r="A631" s="256"/>
      <c r="B631" s="57"/>
      <c r="C631" s="57"/>
      <c r="D631" s="57"/>
      <c r="E631" s="57"/>
      <c r="F631" s="57"/>
      <c r="G631" s="57"/>
      <c r="H631" s="57"/>
      <c r="I631" s="57"/>
      <c r="J631" s="57"/>
      <c r="K631" s="57"/>
      <c r="L631" s="57"/>
      <c r="M631" s="57"/>
      <c r="N631" s="57"/>
      <c r="O631" s="57"/>
      <c r="P631" s="57"/>
      <c r="Q631" s="57"/>
      <c r="R631" s="2210"/>
      <c r="S631" s="256"/>
    </row>
    <row r="632" spans="1:19">
      <c r="A632" s="256"/>
      <c r="B632" s="57"/>
      <c r="C632" s="57"/>
      <c r="D632" s="57"/>
      <c r="E632" s="57"/>
      <c r="F632" s="57"/>
      <c r="G632" s="57"/>
      <c r="H632" s="57"/>
      <c r="I632" s="57"/>
      <c r="J632" s="57"/>
      <c r="K632" s="57"/>
      <c r="L632" s="57"/>
      <c r="M632" s="57"/>
      <c r="N632" s="57"/>
      <c r="O632" s="57"/>
      <c r="P632" s="57"/>
      <c r="Q632" s="57"/>
      <c r="R632" s="2210"/>
      <c r="S632" s="256"/>
    </row>
    <row r="633" spans="1:19">
      <c r="A633" s="256"/>
      <c r="B633" s="57"/>
      <c r="C633" s="57"/>
      <c r="D633" s="57"/>
      <c r="E633" s="57"/>
      <c r="F633" s="57"/>
      <c r="G633" s="57"/>
      <c r="H633" s="57"/>
      <c r="I633" s="57"/>
      <c r="J633" s="57"/>
      <c r="K633" s="57"/>
      <c r="L633" s="57"/>
      <c r="M633" s="57"/>
      <c r="N633" s="57"/>
      <c r="O633" s="57"/>
      <c r="P633" s="57"/>
      <c r="Q633" s="57"/>
      <c r="R633" s="2210"/>
      <c r="S633" s="256"/>
    </row>
    <row r="634" spans="1:19">
      <c r="A634" s="256"/>
      <c r="B634" s="57"/>
      <c r="C634" s="57"/>
      <c r="D634" s="57"/>
      <c r="E634" s="57"/>
      <c r="F634" s="57"/>
      <c r="G634" s="57"/>
      <c r="H634" s="57"/>
      <c r="I634" s="57"/>
      <c r="J634" s="57"/>
      <c r="K634" s="57"/>
      <c r="L634" s="57"/>
      <c r="M634" s="57"/>
      <c r="N634" s="57"/>
      <c r="O634" s="57"/>
      <c r="P634" s="57"/>
      <c r="Q634" s="57"/>
      <c r="R634" s="2210"/>
      <c r="S634" s="256"/>
    </row>
    <row r="635" spans="1:19">
      <c r="A635" s="256"/>
      <c r="B635" s="57"/>
      <c r="C635" s="57"/>
      <c r="D635" s="57"/>
      <c r="E635" s="57"/>
      <c r="F635" s="57"/>
      <c r="G635" s="57"/>
      <c r="H635" s="57"/>
      <c r="I635" s="57"/>
      <c r="J635" s="57"/>
      <c r="K635" s="57"/>
      <c r="L635" s="57"/>
      <c r="M635" s="57"/>
      <c r="N635" s="57"/>
      <c r="O635" s="57"/>
      <c r="P635" s="57"/>
      <c r="Q635" s="57"/>
      <c r="R635" s="2210"/>
      <c r="S635" s="256"/>
    </row>
    <row r="636" spans="1:19">
      <c r="A636" s="256"/>
      <c r="B636" s="57"/>
      <c r="C636" s="57"/>
      <c r="D636" s="57"/>
      <c r="E636" s="57"/>
      <c r="F636" s="57"/>
      <c r="G636" s="57"/>
      <c r="H636" s="57"/>
      <c r="I636" s="57"/>
      <c r="J636" s="57"/>
      <c r="K636" s="57"/>
      <c r="L636" s="57"/>
      <c r="M636" s="57"/>
      <c r="N636" s="57"/>
      <c r="O636" s="57"/>
      <c r="P636" s="57"/>
      <c r="Q636" s="57"/>
      <c r="R636" s="2210"/>
      <c r="S636" s="256"/>
    </row>
    <row r="637" spans="1:19">
      <c r="A637" s="256"/>
      <c r="B637" s="57"/>
      <c r="C637" s="57"/>
      <c r="D637" s="57"/>
      <c r="E637" s="57"/>
      <c r="F637" s="57"/>
      <c r="G637" s="57"/>
      <c r="H637" s="57"/>
      <c r="I637" s="57"/>
      <c r="J637" s="57"/>
      <c r="K637" s="57"/>
      <c r="L637" s="57"/>
      <c r="M637" s="57"/>
      <c r="N637" s="57"/>
      <c r="O637" s="57"/>
      <c r="P637" s="57"/>
      <c r="Q637" s="57"/>
      <c r="R637" s="2210"/>
      <c r="S637" s="256"/>
    </row>
    <row r="638" spans="1:19">
      <c r="A638" s="256"/>
      <c r="B638" s="57"/>
      <c r="C638" s="57"/>
      <c r="D638" s="57"/>
      <c r="E638" s="57"/>
      <c r="F638" s="57"/>
      <c r="G638" s="57"/>
      <c r="H638" s="57"/>
      <c r="I638" s="57"/>
      <c r="J638" s="57"/>
      <c r="K638" s="57"/>
      <c r="L638" s="57"/>
      <c r="M638" s="57"/>
      <c r="N638" s="57"/>
      <c r="O638" s="57"/>
      <c r="P638" s="57"/>
      <c r="Q638" s="57"/>
      <c r="R638" s="2210"/>
      <c r="S638" s="256"/>
    </row>
    <row r="639" spans="1:19">
      <c r="A639" s="256"/>
      <c r="B639" s="57"/>
      <c r="C639" s="57"/>
      <c r="D639" s="57"/>
      <c r="E639" s="57"/>
      <c r="F639" s="57"/>
      <c r="G639" s="57"/>
      <c r="H639" s="57"/>
      <c r="I639" s="57"/>
      <c r="J639" s="57"/>
      <c r="K639" s="57"/>
      <c r="L639" s="57"/>
      <c r="M639" s="57"/>
      <c r="N639" s="57"/>
      <c r="O639" s="57"/>
      <c r="P639" s="57"/>
      <c r="Q639" s="57"/>
      <c r="R639" s="2210"/>
      <c r="S639" s="256"/>
    </row>
    <row r="640" spans="1:19">
      <c r="A640" s="256"/>
      <c r="B640" s="57"/>
      <c r="C640" s="57"/>
      <c r="D640" s="57"/>
      <c r="E640" s="57"/>
      <c r="F640" s="57"/>
      <c r="G640" s="57"/>
      <c r="H640" s="57"/>
      <c r="I640" s="57"/>
      <c r="J640" s="57"/>
      <c r="K640" s="57"/>
      <c r="L640" s="57"/>
      <c r="M640" s="57"/>
      <c r="N640" s="57"/>
      <c r="O640" s="57"/>
      <c r="P640" s="57"/>
      <c r="Q640" s="57"/>
      <c r="R640" s="2210"/>
      <c r="S640" s="256"/>
    </row>
    <row r="641" spans="1:19">
      <c r="A641" s="256"/>
      <c r="B641" s="57"/>
      <c r="C641" s="57"/>
      <c r="D641" s="57"/>
      <c r="E641" s="57"/>
      <c r="F641" s="57"/>
      <c r="G641" s="57"/>
      <c r="H641" s="57"/>
      <c r="I641" s="57"/>
      <c r="J641" s="57"/>
      <c r="K641" s="57"/>
      <c r="L641" s="57"/>
      <c r="M641" s="57"/>
      <c r="N641" s="57"/>
      <c r="O641" s="57"/>
      <c r="P641" s="57"/>
      <c r="Q641" s="57"/>
      <c r="R641" s="2210"/>
      <c r="S641" s="256"/>
    </row>
    <row r="642" spans="1:19">
      <c r="A642" s="256"/>
      <c r="B642" s="57"/>
      <c r="C642" s="57"/>
      <c r="D642" s="57"/>
      <c r="E642" s="57"/>
      <c r="F642" s="57"/>
      <c r="G642" s="57"/>
      <c r="H642" s="57"/>
      <c r="I642" s="57"/>
      <c r="J642" s="57"/>
      <c r="K642" s="57"/>
      <c r="L642" s="57"/>
      <c r="M642" s="57"/>
      <c r="N642" s="57"/>
      <c r="O642" s="57"/>
      <c r="P642" s="57"/>
      <c r="Q642" s="57"/>
      <c r="R642" s="2210"/>
      <c r="S642" s="256"/>
    </row>
    <row r="643" spans="1:19">
      <c r="A643" s="256"/>
      <c r="B643" s="57"/>
      <c r="C643" s="57"/>
      <c r="D643" s="57"/>
      <c r="E643" s="57"/>
      <c r="F643" s="57"/>
      <c r="G643" s="57"/>
      <c r="H643" s="57"/>
      <c r="I643" s="57"/>
      <c r="J643" s="57"/>
      <c r="K643" s="57"/>
      <c r="L643" s="57"/>
      <c r="M643" s="57"/>
      <c r="N643" s="57"/>
      <c r="O643" s="57"/>
      <c r="P643" s="57"/>
      <c r="Q643" s="57"/>
      <c r="R643" s="2210"/>
      <c r="S643" s="256"/>
    </row>
    <row r="644" spans="1:19">
      <c r="A644" s="256"/>
      <c r="B644" s="57"/>
      <c r="C644" s="57"/>
      <c r="D644" s="57"/>
      <c r="E644" s="57"/>
      <c r="F644" s="57"/>
      <c r="G644" s="57"/>
      <c r="H644" s="57"/>
      <c r="I644" s="57"/>
      <c r="J644" s="57"/>
      <c r="K644" s="57"/>
      <c r="L644" s="57"/>
      <c r="M644" s="57"/>
      <c r="N644" s="57"/>
      <c r="O644" s="57"/>
      <c r="P644" s="57"/>
      <c r="Q644" s="57"/>
      <c r="R644" s="2210"/>
      <c r="S644" s="256"/>
    </row>
    <row r="645" spans="1:19">
      <c r="A645" s="256"/>
      <c r="B645" s="57"/>
      <c r="C645" s="57"/>
      <c r="D645" s="57"/>
      <c r="E645" s="57"/>
      <c r="F645" s="57"/>
      <c r="G645" s="57"/>
      <c r="H645" s="57"/>
      <c r="I645" s="57"/>
      <c r="J645" s="57"/>
      <c r="K645" s="57"/>
      <c r="L645" s="57"/>
      <c r="M645" s="57"/>
      <c r="N645" s="57"/>
      <c r="O645" s="57"/>
      <c r="P645" s="57"/>
      <c r="Q645" s="57"/>
      <c r="R645" s="2210"/>
      <c r="S645" s="256"/>
    </row>
    <row r="646" spans="1:19">
      <c r="A646" s="256"/>
      <c r="B646" s="57"/>
      <c r="C646" s="57"/>
      <c r="D646" s="57"/>
      <c r="E646" s="57"/>
      <c r="F646" s="57"/>
      <c r="G646" s="57"/>
      <c r="H646" s="57"/>
      <c r="I646" s="57"/>
      <c r="J646" s="57"/>
      <c r="K646" s="57"/>
      <c r="L646" s="57"/>
      <c r="M646" s="57"/>
      <c r="N646" s="57"/>
      <c r="O646" s="57"/>
      <c r="P646" s="57"/>
      <c r="Q646" s="57"/>
      <c r="R646" s="2210"/>
      <c r="S646" s="256"/>
    </row>
    <row r="647" spans="1:19">
      <c r="A647" s="256"/>
      <c r="B647" s="57"/>
      <c r="C647" s="57"/>
      <c r="D647" s="57"/>
      <c r="E647" s="57"/>
      <c r="F647" s="57"/>
      <c r="G647" s="57"/>
      <c r="H647" s="57"/>
      <c r="I647" s="57"/>
      <c r="J647" s="57"/>
      <c r="K647" s="57"/>
      <c r="L647" s="57"/>
      <c r="M647" s="57"/>
      <c r="N647" s="57"/>
      <c r="O647" s="57"/>
      <c r="P647" s="57"/>
      <c r="Q647" s="57"/>
      <c r="R647" s="2210"/>
      <c r="S647" s="256"/>
    </row>
    <row r="648" spans="1:19">
      <c r="A648" s="256"/>
      <c r="B648" s="57"/>
      <c r="C648" s="57"/>
      <c r="D648" s="57"/>
      <c r="E648" s="57"/>
      <c r="F648" s="57"/>
      <c r="G648" s="57"/>
      <c r="H648" s="57"/>
      <c r="I648" s="57"/>
      <c r="J648" s="57"/>
      <c r="K648" s="57"/>
      <c r="L648" s="57"/>
      <c r="M648" s="57"/>
      <c r="N648" s="57"/>
      <c r="O648" s="57"/>
      <c r="P648" s="57"/>
      <c r="Q648" s="57"/>
      <c r="R648" s="2210"/>
      <c r="S648" s="256"/>
    </row>
    <row r="649" spans="1:19">
      <c r="A649" s="256"/>
      <c r="B649" s="57"/>
      <c r="C649" s="57"/>
      <c r="D649" s="57"/>
      <c r="E649" s="57"/>
      <c r="F649" s="57"/>
      <c r="G649" s="57"/>
      <c r="H649" s="57"/>
      <c r="I649" s="57"/>
      <c r="J649" s="57"/>
      <c r="K649" s="57"/>
      <c r="L649" s="57"/>
      <c r="M649" s="57"/>
      <c r="N649" s="57"/>
      <c r="O649" s="57"/>
      <c r="P649" s="57"/>
      <c r="Q649" s="57"/>
      <c r="R649" s="2210"/>
      <c r="S649" s="256"/>
    </row>
    <row r="650" spans="1:19">
      <c r="A650" s="256"/>
      <c r="B650" s="57"/>
      <c r="C650" s="57"/>
      <c r="D650" s="57"/>
      <c r="E650" s="57"/>
      <c r="F650" s="57"/>
      <c r="G650" s="57"/>
      <c r="H650" s="57"/>
      <c r="I650" s="57"/>
      <c r="J650" s="57"/>
      <c r="K650" s="57"/>
      <c r="L650" s="57"/>
      <c r="M650" s="57"/>
      <c r="N650" s="57"/>
      <c r="O650" s="57"/>
      <c r="P650" s="57"/>
      <c r="Q650" s="57"/>
      <c r="R650" s="2210"/>
      <c r="S650" s="256"/>
    </row>
    <row r="651" spans="1:19">
      <c r="A651" s="256"/>
      <c r="B651" s="57"/>
      <c r="C651" s="57"/>
      <c r="D651" s="57"/>
      <c r="E651" s="57"/>
      <c r="F651" s="57"/>
      <c r="G651" s="57"/>
      <c r="H651" s="57"/>
      <c r="I651" s="57"/>
      <c r="J651" s="57"/>
      <c r="K651" s="57"/>
      <c r="L651" s="57"/>
      <c r="M651" s="57"/>
      <c r="N651" s="57"/>
      <c r="O651" s="57"/>
      <c r="P651" s="57"/>
      <c r="Q651" s="57"/>
      <c r="R651" s="2210"/>
      <c r="S651" s="256"/>
    </row>
    <row r="652" spans="1:19">
      <c r="A652" s="256"/>
      <c r="B652" s="57"/>
      <c r="C652" s="57"/>
      <c r="D652" s="57"/>
      <c r="E652" s="57"/>
      <c r="F652" s="57"/>
      <c r="G652" s="57"/>
      <c r="H652" s="57"/>
      <c r="I652" s="57"/>
      <c r="J652" s="57"/>
      <c r="K652" s="57"/>
      <c r="L652" s="57"/>
      <c r="M652" s="57"/>
      <c r="N652" s="57"/>
      <c r="O652" s="57"/>
      <c r="P652" s="57"/>
      <c r="Q652" s="57"/>
      <c r="R652" s="2210"/>
      <c r="S652" s="256"/>
    </row>
    <row r="653" spans="1:19">
      <c r="A653" s="256"/>
      <c r="B653" s="57"/>
      <c r="C653" s="57"/>
      <c r="D653" s="57"/>
      <c r="E653" s="57"/>
      <c r="F653" s="57"/>
      <c r="G653" s="57"/>
      <c r="H653" s="57"/>
      <c r="I653" s="57"/>
      <c r="J653" s="57"/>
      <c r="K653" s="57"/>
      <c r="L653" s="57"/>
      <c r="M653" s="57"/>
      <c r="N653" s="57"/>
      <c r="O653" s="57"/>
      <c r="P653" s="57"/>
      <c r="Q653" s="57"/>
      <c r="R653" s="2210"/>
      <c r="S653" s="256"/>
    </row>
    <row r="654" spans="1:19">
      <c r="A654" s="256"/>
      <c r="B654" s="57"/>
      <c r="C654" s="57"/>
      <c r="D654" s="57"/>
      <c r="E654" s="57"/>
      <c r="F654" s="57"/>
      <c r="G654" s="57"/>
      <c r="H654" s="57"/>
      <c r="I654" s="57"/>
      <c r="J654" s="57"/>
      <c r="K654" s="57"/>
      <c r="L654" s="57"/>
      <c r="M654" s="57"/>
      <c r="N654" s="57"/>
      <c r="O654" s="57"/>
      <c r="P654" s="57"/>
      <c r="Q654" s="57"/>
      <c r="R654" s="2210"/>
      <c r="S654" s="256"/>
    </row>
    <row r="655" spans="1:19">
      <c r="A655" s="256"/>
      <c r="B655" s="57"/>
      <c r="C655" s="57"/>
      <c r="D655" s="57"/>
      <c r="E655" s="57"/>
      <c r="F655" s="57"/>
      <c r="G655" s="57"/>
      <c r="H655" s="57"/>
      <c r="I655" s="57"/>
      <c r="J655" s="57"/>
      <c r="K655" s="57"/>
      <c r="L655" s="57"/>
      <c r="M655" s="57"/>
      <c r="N655" s="57"/>
      <c r="O655" s="57"/>
      <c r="P655" s="57"/>
      <c r="Q655" s="57"/>
      <c r="R655" s="2210"/>
      <c r="S655" s="256"/>
    </row>
    <row r="656" spans="1:19">
      <c r="A656" s="256"/>
      <c r="B656" s="57"/>
      <c r="C656" s="57"/>
      <c r="D656" s="57"/>
      <c r="E656" s="57"/>
      <c r="F656" s="57"/>
      <c r="G656" s="57"/>
      <c r="H656" s="57"/>
      <c r="I656" s="57"/>
      <c r="J656" s="57"/>
      <c r="K656" s="57"/>
      <c r="L656" s="57"/>
      <c r="M656" s="57"/>
      <c r="N656" s="57"/>
      <c r="O656" s="57"/>
      <c r="P656" s="57"/>
      <c r="Q656" s="57"/>
      <c r="R656" s="2210"/>
      <c r="S656" s="256"/>
    </row>
    <row r="657" spans="1:19">
      <c r="A657" s="256"/>
      <c r="B657" s="57"/>
      <c r="C657" s="57"/>
      <c r="D657" s="57"/>
      <c r="E657" s="57"/>
      <c r="F657" s="57"/>
      <c r="G657" s="57"/>
      <c r="H657" s="57"/>
      <c r="I657" s="57"/>
      <c r="J657" s="57"/>
      <c r="K657" s="57"/>
      <c r="L657" s="57"/>
      <c r="M657" s="57"/>
      <c r="N657" s="57"/>
      <c r="O657" s="57"/>
      <c r="P657" s="57"/>
      <c r="Q657" s="57"/>
      <c r="R657" s="2210"/>
      <c r="S657" s="256"/>
    </row>
    <row r="658" spans="1:19">
      <c r="A658" s="256"/>
      <c r="B658" s="57"/>
      <c r="C658" s="57"/>
      <c r="D658" s="57"/>
      <c r="E658" s="57"/>
      <c r="F658" s="57"/>
      <c r="G658" s="57"/>
      <c r="H658" s="57"/>
      <c r="I658" s="57"/>
      <c r="J658" s="57"/>
      <c r="K658" s="57"/>
      <c r="L658" s="57"/>
      <c r="M658" s="57"/>
      <c r="N658" s="57"/>
      <c r="O658" s="57"/>
      <c r="P658" s="57"/>
      <c r="Q658" s="57"/>
      <c r="R658" s="2210"/>
      <c r="S658" s="256"/>
    </row>
    <row r="659" spans="1:19">
      <c r="A659" s="256"/>
      <c r="B659" s="57"/>
      <c r="C659" s="57"/>
      <c r="D659" s="57"/>
      <c r="E659" s="57"/>
      <c r="F659" s="57"/>
      <c r="G659" s="57"/>
      <c r="H659" s="57"/>
      <c r="I659" s="57"/>
      <c r="J659" s="57"/>
      <c r="K659" s="57"/>
      <c r="L659" s="57"/>
      <c r="M659" s="57"/>
      <c r="N659" s="57"/>
      <c r="O659" s="57"/>
      <c r="P659" s="57"/>
      <c r="Q659" s="57"/>
      <c r="R659" s="2210"/>
      <c r="S659" s="256"/>
    </row>
    <row r="660" spans="1:19">
      <c r="A660" s="256"/>
      <c r="B660" s="57"/>
      <c r="C660" s="57"/>
      <c r="D660" s="57"/>
      <c r="E660" s="57"/>
      <c r="F660" s="57"/>
      <c r="G660" s="57"/>
      <c r="H660" s="57"/>
      <c r="I660" s="57"/>
      <c r="J660" s="57"/>
      <c r="K660" s="57"/>
      <c r="L660" s="57"/>
      <c r="M660" s="57"/>
      <c r="N660" s="57"/>
      <c r="O660" s="57"/>
      <c r="P660" s="57"/>
      <c r="Q660" s="57"/>
      <c r="R660" s="2210"/>
      <c r="S660" s="256"/>
    </row>
    <row r="661" spans="1:19">
      <c r="A661" s="256"/>
      <c r="B661" s="57"/>
      <c r="C661" s="57"/>
      <c r="D661" s="57"/>
      <c r="E661" s="57"/>
      <c r="F661" s="57"/>
      <c r="G661" s="57"/>
      <c r="H661" s="57"/>
      <c r="I661" s="57"/>
      <c r="J661" s="57"/>
      <c r="K661" s="57"/>
      <c r="L661" s="57"/>
      <c r="M661" s="57"/>
      <c r="N661" s="57"/>
      <c r="O661" s="57"/>
      <c r="P661" s="57"/>
      <c r="Q661" s="57"/>
      <c r="R661" s="2210"/>
      <c r="S661" s="256"/>
    </row>
    <row r="662" spans="1:19">
      <c r="A662" s="256"/>
      <c r="B662" s="57"/>
      <c r="C662" s="57"/>
      <c r="D662" s="57"/>
      <c r="E662" s="57"/>
      <c r="F662" s="57"/>
      <c r="G662" s="57"/>
      <c r="H662" s="57"/>
      <c r="I662" s="57"/>
      <c r="J662" s="57"/>
      <c r="K662" s="57"/>
      <c r="L662" s="57"/>
      <c r="M662" s="57"/>
      <c r="N662" s="57"/>
      <c r="O662" s="57"/>
      <c r="P662" s="57"/>
      <c r="Q662" s="57"/>
      <c r="R662" s="2210"/>
      <c r="S662" s="256"/>
    </row>
    <row r="663" spans="1:19">
      <c r="A663" s="256"/>
      <c r="B663" s="57"/>
      <c r="C663" s="57"/>
      <c r="D663" s="57"/>
      <c r="E663" s="57"/>
      <c r="F663" s="57"/>
      <c r="G663" s="57"/>
      <c r="H663" s="57"/>
      <c r="I663" s="57"/>
      <c r="J663" s="57"/>
      <c r="K663" s="57"/>
      <c r="L663" s="57"/>
      <c r="M663" s="57"/>
      <c r="N663" s="57"/>
      <c r="O663" s="57"/>
      <c r="P663" s="57"/>
      <c r="Q663" s="57"/>
      <c r="R663" s="2210"/>
      <c r="S663" s="256"/>
    </row>
    <row r="664" spans="1:19">
      <c r="A664" s="256"/>
      <c r="B664" s="57"/>
      <c r="C664" s="57"/>
      <c r="D664" s="57"/>
      <c r="E664" s="57"/>
      <c r="F664" s="57"/>
      <c r="G664" s="57"/>
      <c r="H664" s="57"/>
      <c r="I664" s="57"/>
      <c r="J664" s="57"/>
      <c r="K664" s="57"/>
      <c r="L664" s="57"/>
      <c r="M664" s="57"/>
      <c r="N664" s="57"/>
      <c r="O664" s="57"/>
      <c r="P664" s="57"/>
      <c r="Q664" s="57"/>
      <c r="R664" s="2210"/>
      <c r="S664" s="256"/>
    </row>
    <row r="665" spans="1:19">
      <c r="A665" s="256"/>
      <c r="B665" s="57"/>
      <c r="C665" s="57"/>
      <c r="D665" s="57"/>
      <c r="E665" s="57"/>
      <c r="F665" s="57"/>
      <c r="G665" s="57"/>
      <c r="H665" s="57"/>
      <c r="I665" s="57"/>
      <c r="J665" s="57"/>
      <c r="K665" s="57"/>
      <c r="L665" s="57"/>
      <c r="M665" s="57"/>
      <c r="N665" s="57"/>
      <c r="O665" s="57"/>
      <c r="P665" s="57"/>
      <c r="Q665" s="57"/>
      <c r="R665" s="2210"/>
      <c r="S665" s="256"/>
    </row>
    <row r="666" spans="1:19">
      <c r="A666" s="256"/>
      <c r="B666" s="57"/>
      <c r="C666" s="57"/>
      <c r="D666" s="57"/>
      <c r="E666" s="57"/>
      <c r="F666" s="57"/>
      <c r="G666" s="57"/>
      <c r="H666" s="57"/>
      <c r="I666" s="57"/>
      <c r="J666" s="57"/>
      <c r="K666" s="57"/>
      <c r="L666" s="57"/>
      <c r="M666" s="57"/>
      <c r="N666" s="57"/>
      <c r="O666" s="57"/>
      <c r="P666" s="57"/>
      <c r="Q666" s="57"/>
      <c r="R666" s="2210"/>
      <c r="S666" s="256"/>
    </row>
    <row r="667" spans="1:19">
      <c r="A667" s="256"/>
      <c r="B667" s="57"/>
      <c r="C667" s="57"/>
      <c r="D667" s="57"/>
      <c r="E667" s="57"/>
      <c r="F667" s="57"/>
      <c r="G667" s="57"/>
      <c r="H667" s="57"/>
      <c r="I667" s="57"/>
      <c r="J667" s="57"/>
      <c r="K667" s="57"/>
      <c r="L667" s="57"/>
      <c r="M667" s="57"/>
      <c r="N667" s="57"/>
      <c r="O667" s="57"/>
      <c r="P667" s="57"/>
      <c r="Q667" s="57"/>
      <c r="R667" s="2210"/>
      <c r="S667" s="256"/>
    </row>
    <row r="668" spans="1:19">
      <c r="A668" s="256"/>
      <c r="B668" s="57"/>
      <c r="C668" s="57"/>
      <c r="D668" s="57"/>
      <c r="E668" s="57"/>
      <c r="F668" s="57"/>
      <c r="G668" s="57"/>
      <c r="H668" s="57"/>
      <c r="I668" s="57"/>
      <c r="J668" s="57"/>
      <c r="K668" s="57"/>
      <c r="L668" s="57"/>
      <c r="M668" s="57"/>
      <c r="N668" s="57"/>
      <c r="O668" s="57"/>
      <c r="P668" s="57"/>
      <c r="Q668" s="57"/>
      <c r="R668" s="2210"/>
      <c r="S668" s="256"/>
    </row>
    <row r="669" spans="1:19">
      <c r="A669" s="256"/>
      <c r="B669" s="57"/>
      <c r="C669" s="57"/>
      <c r="D669" s="57"/>
      <c r="E669" s="57"/>
      <c r="F669" s="57"/>
      <c r="G669" s="57"/>
      <c r="H669" s="57"/>
      <c r="I669" s="57"/>
      <c r="J669" s="57"/>
      <c r="K669" s="57"/>
      <c r="L669" s="57"/>
      <c r="M669" s="57"/>
      <c r="N669" s="57"/>
      <c r="O669" s="57"/>
      <c r="P669" s="57"/>
      <c r="Q669" s="57"/>
      <c r="R669" s="2210"/>
      <c r="S669" s="256"/>
    </row>
    <row r="670" spans="1:19">
      <c r="A670" s="256"/>
      <c r="B670" s="57"/>
      <c r="C670" s="57"/>
      <c r="D670" s="57"/>
      <c r="E670" s="57"/>
      <c r="F670" s="57"/>
      <c r="G670" s="57"/>
      <c r="H670" s="57"/>
      <c r="I670" s="57"/>
      <c r="J670" s="57"/>
      <c r="K670" s="57"/>
      <c r="L670" s="57"/>
      <c r="M670" s="57"/>
      <c r="N670" s="57"/>
      <c r="O670" s="57"/>
      <c r="P670" s="57"/>
      <c r="Q670" s="57"/>
      <c r="R670" s="2210"/>
      <c r="S670" s="256"/>
    </row>
    <row r="671" spans="1:19">
      <c r="A671" s="256"/>
      <c r="B671" s="57"/>
      <c r="C671" s="57"/>
      <c r="D671" s="57"/>
      <c r="E671" s="57"/>
      <c r="F671" s="57"/>
      <c r="G671" s="57"/>
      <c r="H671" s="57"/>
      <c r="I671" s="57"/>
      <c r="J671" s="57"/>
      <c r="K671" s="57"/>
      <c r="L671" s="57"/>
      <c r="M671" s="57"/>
      <c r="N671" s="57"/>
      <c r="O671" s="57"/>
      <c r="P671" s="57"/>
      <c r="Q671" s="57"/>
      <c r="R671" s="2210"/>
      <c r="S671" s="256"/>
    </row>
    <row r="672" spans="1:19">
      <c r="A672" s="256"/>
      <c r="B672" s="57"/>
      <c r="C672" s="57"/>
      <c r="D672" s="57"/>
      <c r="E672" s="57"/>
      <c r="F672" s="57"/>
      <c r="G672" s="57"/>
      <c r="H672" s="57"/>
      <c r="I672" s="57"/>
      <c r="J672" s="57"/>
      <c r="K672" s="57"/>
      <c r="L672" s="57"/>
      <c r="M672" s="57"/>
      <c r="N672" s="57"/>
      <c r="O672" s="57"/>
      <c r="P672" s="57"/>
      <c r="Q672" s="57"/>
      <c r="R672" s="2210"/>
      <c r="S672" s="256"/>
    </row>
    <row r="673" spans="1:19">
      <c r="A673" s="256"/>
      <c r="B673" s="57"/>
      <c r="C673" s="57"/>
      <c r="D673" s="57"/>
      <c r="E673" s="57"/>
      <c r="F673" s="57"/>
      <c r="G673" s="57"/>
      <c r="H673" s="57"/>
      <c r="I673" s="57"/>
      <c r="J673" s="57"/>
      <c r="K673" s="57"/>
      <c r="L673" s="57"/>
      <c r="M673" s="57"/>
      <c r="N673" s="57"/>
      <c r="O673" s="57"/>
      <c r="P673" s="57"/>
      <c r="Q673" s="57"/>
      <c r="R673" s="2210"/>
      <c r="S673" s="256"/>
    </row>
    <row r="674" spans="1:19">
      <c r="A674" s="256"/>
      <c r="B674" s="57"/>
      <c r="C674" s="57"/>
      <c r="D674" s="57"/>
      <c r="E674" s="57"/>
      <c r="F674" s="57"/>
      <c r="G674" s="57"/>
      <c r="H674" s="57"/>
      <c r="I674" s="57"/>
      <c r="J674" s="57"/>
      <c r="K674" s="57"/>
      <c r="L674" s="57"/>
      <c r="M674" s="57"/>
      <c r="N674" s="57"/>
      <c r="O674" s="57"/>
      <c r="P674" s="57"/>
      <c r="Q674" s="57"/>
      <c r="R674" s="2210"/>
      <c r="S674" s="256"/>
    </row>
    <row r="675" spans="1:19">
      <c r="A675" s="256"/>
      <c r="B675" s="57"/>
      <c r="C675" s="57"/>
      <c r="D675" s="57"/>
      <c r="E675" s="57"/>
      <c r="F675" s="57"/>
      <c r="G675" s="57"/>
      <c r="H675" s="57"/>
      <c r="I675" s="57"/>
      <c r="J675" s="57"/>
      <c r="K675" s="57"/>
      <c r="L675" s="57"/>
      <c r="M675" s="57"/>
      <c r="N675" s="57"/>
      <c r="O675" s="57"/>
      <c r="P675" s="57"/>
      <c r="Q675" s="57"/>
      <c r="R675" s="2210"/>
      <c r="S675" s="256"/>
    </row>
    <row r="676" spans="1:19">
      <c r="A676" s="256"/>
      <c r="B676" s="57"/>
      <c r="C676" s="57"/>
      <c r="D676" s="57"/>
      <c r="E676" s="57"/>
      <c r="F676" s="57"/>
      <c r="G676" s="57"/>
      <c r="H676" s="57"/>
      <c r="I676" s="57"/>
      <c r="J676" s="57"/>
      <c r="K676" s="57"/>
      <c r="L676" s="57"/>
      <c r="M676" s="57"/>
      <c r="N676" s="57"/>
      <c r="O676" s="57"/>
      <c r="P676" s="57"/>
      <c r="Q676" s="57"/>
      <c r="R676" s="2210"/>
      <c r="S676" s="256"/>
    </row>
    <row r="677" spans="1:19">
      <c r="A677" s="256"/>
      <c r="B677" s="57"/>
      <c r="C677" s="57"/>
      <c r="D677" s="57"/>
      <c r="E677" s="57"/>
      <c r="F677" s="57"/>
      <c r="G677" s="57"/>
      <c r="H677" s="57"/>
      <c r="I677" s="57"/>
      <c r="J677" s="57"/>
      <c r="K677" s="57"/>
      <c r="L677" s="57"/>
      <c r="M677" s="57"/>
      <c r="N677" s="57"/>
      <c r="O677" s="57"/>
      <c r="P677" s="57"/>
      <c r="Q677" s="57"/>
      <c r="R677" s="2210"/>
      <c r="S677" s="256"/>
    </row>
    <row r="678" spans="1:19">
      <c r="A678" s="256"/>
      <c r="B678" s="57"/>
      <c r="C678" s="57"/>
      <c r="D678" s="57"/>
      <c r="E678" s="57"/>
      <c r="F678" s="57"/>
      <c r="G678" s="57"/>
      <c r="H678" s="57"/>
      <c r="I678" s="57"/>
      <c r="J678" s="57"/>
      <c r="K678" s="57"/>
      <c r="L678" s="57"/>
      <c r="M678" s="57"/>
      <c r="N678" s="57"/>
      <c r="O678" s="57"/>
      <c r="P678" s="57"/>
      <c r="Q678" s="57"/>
      <c r="R678" s="2210"/>
      <c r="S678" s="256"/>
    </row>
    <row r="679" spans="1:19">
      <c r="A679" s="256"/>
      <c r="B679" s="57"/>
      <c r="C679" s="57"/>
      <c r="D679" s="57"/>
      <c r="E679" s="57"/>
      <c r="F679" s="57"/>
      <c r="G679" s="57"/>
      <c r="H679" s="57"/>
      <c r="I679" s="57"/>
      <c r="J679" s="57"/>
      <c r="K679" s="57"/>
      <c r="L679" s="57"/>
      <c r="M679" s="57"/>
      <c r="N679" s="57"/>
      <c r="O679" s="57"/>
      <c r="P679" s="57"/>
      <c r="Q679" s="57"/>
      <c r="R679" s="2210"/>
      <c r="S679" s="256"/>
    </row>
    <row r="680" spans="1:19">
      <c r="A680" s="256"/>
      <c r="B680" s="57"/>
      <c r="C680" s="57"/>
      <c r="D680" s="57"/>
      <c r="E680" s="57"/>
      <c r="F680" s="57"/>
      <c r="G680" s="57"/>
      <c r="H680" s="57"/>
      <c r="I680" s="57"/>
      <c r="J680" s="57"/>
      <c r="K680" s="57"/>
      <c r="L680" s="57"/>
      <c r="M680" s="57"/>
      <c r="N680" s="57"/>
      <c r="O680" s="57"/>
      <c r="P680" s="57"/>
      <c r="Q680" s="57"/>
      <c r="R680" s="2210"/>
      <c r="S680" s="256"/>
    </row>
    <row r="681" spans="1:19">
      <c r="A681" s="256"/>
      <c r="B681" s="57"/>
      <c r="C681" s="57"/>
      <c r="D681" s="57"/>
      <c r="E681" s="57"/>
      <c r="F681" s="57"/>
      <c r="G681" s="57"/>
      <c r="H681" s="57"/>
      <c r="I681" s="57"/>
      <c r="J681" s="57"/>
      <c r="K681" s="57"/>
      <c r="L681" s="57"/>
      <c r="M681" s="57"/>
      <c r="N681" s="57"/>
      <c r="O681" s="57"/>
      <c r="P681" s="57"/>
      <c r="Q681" s="57"/>
      <c r="R681" s="2210"/>
      <c r="S681" s="256"/>
    </row>
    <row r="682" spans="1:19">
      <c r="A682" s="256"/>
      <c r="B682" s="57"/>
      <c r="C682" s="57"/>
      <c r="D682" s="57"/>
      <c r="E682" s="57"/>
      <c r="F682" s="57"/>
      <c r="G682" s="57"/>
      <c r="H682" s="57"/>
      <c r="I682" s="57"/>
      <c r="J682" s="57"/>
      <c r="K682" s="57"/>
      <c r="L682" s="57"/>
      <c r="M682" s="57"/>
      <c r="N682" s="57"/>
      <c r="O682" s="57"/>
      <c r="P682" s="57"/>
      <c r="Q682" s="57"/>
      <c r="R682" s="221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D3" sqref="D3"/>
    </sheetView>
  </sheetViews>
  <sheetFormatPr defaultColWidth="9" defaultRowHeight="14.25"/>
  <cols>
    <col min="1" max="1" width="10.5" style="3370" customWidth="1"/>
    <col min="2" max="2" width="15.75" style="3370" customWidth="1"/>
    <col min="3" max="3" width="15.125" style="3370" customWidth="1"/>
    <col min="4" max="4" width="12.25" style="3370" customWidth="1"/>
    <col min="5" max="5" width="14.375" style="3370" customWidth="1"/>
    <col min="6" max="6" width="12.25" style="3370" customWidth="1"/>
    <col min="7" max="7" width="14.5" style="3370" customWidth="1"/>
    <col min="8" max="8" width="12.25" style="3370" customWidth="1"/>
    <col min="9" max="9" width="14.5" style="3370" customWidth="1"/>
    <col min="10" max="10" width="12.25" style="3370" customWidth="1"/>
    <col min="11" max="11" width="12.25" style="3738" customWidth="1"/>
    <col min="12" max="12" width="12.25" style="3739" customWidth="1"/>
    <col min="13" max="15" width="12.25" style="3370" customWidth="1"/>
    <col min="16" max="16" width="4.75" style="3370" customWidth="1"/>
    <col min="17" max="17" width="19.5" style="3370" customWidth="1"/>
    <col min="18" max="22" width="6.125" style="3370" customWidth="1"/>
    <col min="23" max="23" width="5.75" style="3370" customWidth="1"/>
    <col min="24" max="24" width="4.25" style="3370" customWidth="1"/>
    <col min="25" max="25" width="3.5" style="3370" customWidth="1"/>
    <col min="26" max="26" width="19.75" style="3370" customWidth="1"/>
    <col min="27" max="28" width="9.375" style="3370" customWidth="1"/>
    <col min="29" max="16384" width="9" style="3370"/>
  </cols>
  <sheetData>
    <row r="1" spans="1:29" s="3351" customFormat="1" ht="28.5" customHeight="1">
      <c r="A1" s="3338" t="s">
        <v>3457</v>
      </c>
      <c r="B1" s="3339" t="s">
        <v>719</v>
      </c>
      <c r="C1" s="3340" t="s">
        <v>3458</v>
      </c>
      <c r="D1" s="3341" t="s">
        <v>923</v>
      </c>
      <c r="E1" s="3342"/>
      <c r="F1" s="3343" t="s">
        <v>3048</v>
      </c>
      <c r="G1" s="3344" t="s">
        <v>3459</v>
      </c>
      <c r="H1" s="3345"/>
      <c r="I1" s="3345"/>
      <c r="J1" s="3345"/>
      <c r="K1" s="3346"/>
      <c r="L1" s="3347"/>
      <c r="M1" s="3348"/>
      <c r="N1" s="3348"/>
      <c r="O1" s="3348"/>
      <c r="P1" s="3349"/>
      <c r="Q1" s="3349"/>
      <c r="R1" s="3349"/>
      <c r="S1" s="3349"/>
      <c r="T1" s="3349"/>
      <c r="U1" s="3349"/>
      <c r="V1" s="3349"/>
      <c r="W1" s="3349"/>
      <c r="X1" s="3349"/>
      <c r="Y1" s="3349"/>
      <c r="Z1" s="3349"/>
      <c r="AA1" s="3349"/>
      <c r="AB1" s="3349"/>
      <c r="AC1" s="3350"/>
    </row>
    <row r="2" spans="1:29" s="3360" customFormat="1" ht="28.5" customHeight="1">
      <c r="A2" s="422" t="s">
        <v>3460</v>
      </c>
      <c r="B2" s="3352">
        <f>ROUND(B3*D3/10000,0)</f>
        <v>0</v>
      </c>
      <c r="C2" s="3353"/>
      <c r="D2" s="3353"/>
      <c r="E2" s="3353"/>
      <c r="F2" s="3354"/>
      <c r="G2" s="3353"/>
      <c r="H2" s="3353"/>
      <c r="I2" s="3353"/>
      <c r="J2" s="3353"/>
      <c r="K2" s="3355"/>
      <c r="L2" s="3356"/>
      <c r="M2" s="3357"/>
      <c r="N2" s="3357"/>
      <c r="O2" s="3357"/>
      <c r="P2" s="3358"/>
      <c r="Q2" s="3358"/>
      <c r="R2" s="3358"/>
      <c r="S2" s="3358"/>
      <c r="T2" s="3358"/>
      <c r="U2" s="3358"/>
      <c r="V2" s="3358"/>
      <c r="W2" s="3358"/>
      <c r="X2" s="3358"/>
      <c r="Y2" s="3358"/>
      <c r="Z2" s="3358"/>
      <c r="AA2" s="3358"/>
      <c r="AB2" s="3358"/>
      <c r="AC2" s="3359"/>
    </row>
    <row r="3" spans="1:29" s="3360" customFormat="1" ht="28.5" customHeight="1" thickBot="1">
      <c r="A3" s="508" t="s">
        <v>3461</v>
      </c>
      <c r="B3" s="3361">
        <f>C49</f>
        <v>13761</v>
      </c>
      <c r="C3" s="3362" t="s">
        <v>3462</v>
      </c>
      <c r="D3" s="3361">
        <f>'数据-汇总表'!P11</f>
        <v>0</v>
      </c>
      <c r="E3" s="3353"/>
      <c r="F3" s="3354"/>
      <c r="G3" s="3353"/>
      <c r="H3" s="3353"/>
      <c r="I3" s="3353"/>
      <c r="J3" s="3353"/>
      <c r="K3" s="3355"/>
      <c r="L3" s="3356"/>
      <c r="M3" s="3357"/>
      <c r="N3" s="3357"/>
      <c r="O3" s="3357"/>
      <c r="P3" s="3358"/>
      <c r="Q3" s="3358"/>
      <c r="R3" s="3358"/>
      <c r="S3" s="3358"/>
      <c r="T3" s="3358"/>
      <c r="U3" s="3358"/>
      <c r="V3" s="3358"/>
      <c r="W3" s="3358"/>
      <c r="X3" s="3358"/>
      <c r="Y3" s="3358"/>
      <c r="Z3" s="3358"/>
      <c r="AA3" s="3358"/>
      <c r="AB3" s="3358"/>
      <c r="AC3" s="3363"/>
    </row>
    <row r="4" spans="1:29" ht="15">
      <c r="A4" s="3364" t="s">
        <v>521</v>
      </c>
      <c r="B4" s="3365"/>
      <c r="C4" s="3794" t="s">
        <v>798</v>
      </c>
      <c r="D4" s="3795"/>
      <c r="E4" s="3796" t="s">
        <v>799</v>
      </c>
      <c r="F4" s="3797"/>
      <c r="G4" s="3794" t="s">
        <v>524</v>
      </c>
      <c r="H4" s="3795"/>
      <c r="I4" s="3794" t="s">
        <v>801</v>
      </c>
      <c r="J4" s="3795"/>
      <c r="K4" s="3366" t="s">
        <v>802</v>
      </c>
      <c r="L4" s="3367"/>
      <c r="M4" s="3368"/>
      <c r="N4" s="3368"/>
      <c r="O4" s="3368"/>
      <c r="P4" s="3798" t="s">
        <v>803</v>
      </c>
      <c r="Q4" s="3799"/>
      <c r="R4" s="3784" t="s">
        <v>799</v>
      </c>
      <c r="S4" s="3785"/>
      <c r="T4" s="3784" t="s">
        <v>524</v>
      </c>
      <c r="U4" s="3785"/>
      <c r="V4" s="3783" t="s">
        <v>801</v>
      </c>
      <c r="W4" s="3783"/>
      <c r="X4" s="3369"/>
      <c r="Y4" s="3784" t="s">
        <v>803</v>
      </c>
      <c r="Z4" s="3785"/>
      <c r="AA4" s="3790" t="s">
        <v>799</v>
      </c>
      <c r="AB4" s="3790" t="s">
        <v>524</v>
      </c>
      <c r="AC4" s="3790" t="s">
        <v>801</v>
      </c>
    </row>
    <row r="5" spans="1:29" ht="15">
      <c r="A5" s="3371"/>
      <c r="B5" s="3372"/>
      <c r="C5" s="3804" t="s">
        <v>2926</v>
      </c>
      <c r="D5" s="3805"/>
      <c r="E5" s="3806" t="s">
        <v>3016</v>
      </c>
      <c r="F5" s="3807"/>
      <c r="G5" s="3808" t="s">
        <v>3321</v>
      </c>
      <c r="H5" s="3805"/>
      <c r="I5" s="3808" t="s">
        <v>3345</v>
      </c>
      <c r="J5" s="3805"/>
      <c r="K5" s="3373"/>
      <c r="L5" s="3367"/>
      <c r="M5" s="3368"/>
      <c r="N5" s="3368"/>
      <c r="O5" s="3368"/>
      <c r="P5" s="3800"/>
      <c r="Q5" s="3801"/>
      <c r="R5" s="3786"/>
      <c r="S5" s="3787"/>
      <c r="T5" s="3786"/>
      <c r="U5" s="3787"/>
      <c r="V5" s="3783"/>
      <c r="W5" s="3783"/>
      <c r="X5" s="3369"/>
      <c r="Y5" s="3786"/>
      <c r="Z5" s="3787"/>
      <c r="AA5" s="3791"/>
      <c r="AB5" s="3791"/>
      <c r="AC5" s="3791"/>
    </row>
    <row r="6" spans="1:29" ht="15.75" thickBot="1">
      <c r="A6" s="3374"/>
      <c r="B6" s="3375"/>
      <c r="C6" s="3809" t="s">
        <v>2930</v>
      </c>
      <c r="D6" s="3810"/>
      <c r="E6" s="3811" t="s">
        <v>2930</v>
      </c>
      <c r="F6" s="3812"/>
      <c r="G6" s="3809" t="s">
        <v>2930</v>
      </c>
      <c r="H6" s="3810"/>
      <c r="I6" s="3809" t="s">
        <v>2930</v>
      </c>
      <c r="J6" s="3810"/>
      <c r="K6" s="3373" t="s">
        <v>528</v>
      </c>
      <c r="L6" s="3367"/>
      <c r="M6" s="3368"/>
      <c r="N6" s="3368"/>
      <c r="O6" s="3368"/>
      <c r="P6" s="3802"/>
      <c r="Q6" s="3803"/>
      <c r="R6" s="3786"/>
      <c r="S6" s="3787"/>
      <c r="T6" s="3788"/>
      <c r="U6" s="3789"/>
      <c r="V6" s="3783"/>
      <c r="W6" s="3783"/>
      <c r="X6" s="3369"/>
      <c r="Y6" s="3788"/>
      <c r="Z6" s="3789"/>
      <c r="AA6" s="3792"/>
      <c r="AB6" s="3792"/>
      <c r="AC6" s="3792"/>
    </row>
    <row r="7" spans="1:29" s="3390" customFormat="1" ht="15.75" thickBot="1">
      <c r="A7" s="3376"/>
      <c r="B7" s="3377" t="s">
        <v>3349</v>
      </c>
      <c r="C7" s="3378">
        <f>'数据-取费表'!B2</f>
        <v>43647</v>
      </c>
      <c r="D7" s="3379">
        <v>100</v>
      </c>
      <c r="E7" s="3380">
        <f>C7</f>
        <v>43647</v>
      </c>
      <c r="F7" s="3381">
        <f>SUMIF(58:58,YEAR(E7)&amp;"-"&amp;MONTH(E7),59:59)</f>
        <v>100</v>
      </c>
      <c r="G7" s="3382">
        <f>C7</f>
        <v>43647</v>
      </c>
      <c r="H7" s="3379">
        <f>SUMIF(58:58,YEAR(G7)&amp;"-"&amp;MONTH(G7),59:59)</f>
        <v>100</v>
      </c>
      <c r="I7" s="3382">
        <f>C7</f>
        <v>43647</v>
      </c>
      <c r="J7" s="3379">
        <f>SUMIF(58:58,YEAR(I7)&amp;"-"&amp;MONTH(I7),59:59)</f>
        <v>100</v>
      </c>
      <c r="K7" s="3383"/>
      <c r="L7" s="3384"/>
      <c r="M7" s="3385"/>
      <c r="N7" s="3385"/>
      <c r="O7" s="3385"/>
      <c r="P7" s="3780" t="s">
        <v>530</v>
      </c>
      <c r="Q7" s="3793"/>
      <c r="R7" s="3386" t="s">
        <v>8</v>
      </c>
      <c r="S7" s="3387">
        <f t="shared" ref="S7:S15" si="0">F7</f>
        <v>100</v>
      </c>
      <c r="T7" s="3386" t="s">
        <v>8</v>
      </c>
      <c r="U7" s="3387">
        <f t="shared" ref="U7:U15" si="1">H7</f>
        <v>100</v>
      </c>
      <c r="V7" s="3386" t="s">
        <v>8</v>
      </c>
      <c r="W7" s="3387">
        <f t="shared" ref="W7:W15" si="2">J7</f>
        <v>100</v>
      </c>
      <c r="X7" s="3388"/>
      <c r="Y7" s="3780" t="s">
        <v>530</v>
      </c>
      <c r="Z7" s="3781"/>
      <c r="AA7" s="3389">
        <f>D7/F7</f>
        <v>1</v>
      </c>
      <c r="AB7" s="3389">
        <f>D7/H7</f>
        <v>1</v>
      </c>
      <c r="AC7" s="3389">
        <f>D7/J7</f>
        <v>1</v>
      </c>
    </row>
    <row r="8" spans="1:29" s="3390" customFormat="1" ht="15.75" thickBot="1">
      <c r="A8" s="3391"/>
      <c r="B8" s="3392" t="s">
        <v>3352</v>
      </c>
      <c r="C8" s="3393" t="s">
        <v>3463</v>
      </c>
      <c r="D8" s="3379">
        <v>100</v>
      </c>
      <c r="E8" s="3394" t="s">
        <v>3012</v>
      </c>
      <c r="F8" s="3381">
        <f>SUMIF(61:61,E8,62:62)-SUMIF(61:61,C8,62:62)+100</f>
        <v>100</v>
      </c>
      <c r="G8" s="3393" t="s">
        <v>3012</v>
      </c>
      <c r="H8" s="3379">
        <f>SUMIF(61:61,G8,62:62)-SUMIF(61:61,C8,62:62)+100</f>
        <v>100</v>
      </c>
      <c r="I8" s="3394" t="s">
        <v>3012</v>
      </c>
      <c r="J8" s="3379">
        <f>SUMIF(61:61,I8,62:62)-SUMIF(61:61,C8,62:62)+100</f>
        <v>100</v>
      </c>
      <c r="K8" s="3383"/>
      <c r="L8" s="3384"/>
      <c r="M8" s="3385"/>
      <c r="N8" s="3385"/>
      <c r="O8" s="3385"/>
      <c r="P8" s="3780" t="s">
        <v>533</v>
      </c>
      <c r="Q8" s="3781"/>
      <c r="R8" s="3386" t="s">
        <v>8</v>
      </c>
      <c r="S8" s="3387">
        <f t="shared" si="0"/>
        <v>100</v>
      </c>
      <c r="T8" s="3386" t="s">
        <v>8</v>
      </c>
      <c r="U8" s="3387">
        <f t="shared" si="1"/>
        <v>100</v>
      </c>
      <c r="V8" s="3386" t="s">
        <v>8</v>
      </c>
      <c r="W8" s="3387">
        <f t="shared" si="2"/>
        <v>100</v>
      </c>
      <c r="X8" s="3388"/>
      <c r="Y8" s="3780" t="s">
        <v>533</v>
      </c>
      <c r="Z8" s="3781"/>
      <c r="AA8" s="3389">
        <f t="shared" ref="AA8:AA46" si="3">D8/F8</f>
        <v>1</v>
      </c>
      <c r="AB8" s="3389">
        <f t="shared" ref="AB8:AB46" si="4">D8/H8</f>
        <v>1</v>
      </c>
      <c r="AC8" s="3389">
        <f t="shared" ref="AC8:AC46" si="5">D8/J8</f>
        <v>1</v>
      </c>
    </row>
    <row r="9" spans="1:29" s="3390" customFormat="1" ht="15">
      <c r="A9" s="3395"/>
      <c r="B9" s="3396" t="s">
        <v>2755</v>
      </c>
      <c r="C9" s="3397" t="s">
        <v>1949</v>
      </c>
      <c r="D9" s="3398">
        <v>100</v>
      </c>
      <c r="E9" s="3399" t="s">
        <v>923</v>
      </c>
      <c r="F9" s="3400">
        <f>SUMIF(63:63,E9,64:64)-SUMIF(63:63,C9,64:64)+100</f>
        <v>100</v>
      </c>
      <c r="G9" s="3401" t="s">
        <v>923</v>
      </c>
      <c r="H9" s="3398">
        <f>SUMIF(63:63,G9,64:64)-SUMIF(63:63,C9,64:64)+100</f>
        <v>100</v>
      </c>
      <c r="I9" s="3401" t="s">
        <v>923</v>
      </c>
      <c r="J9" s="3398">
        <f>SUMIF(63:63,I9,64:64)-SUMIF(63:63,C9,64:64)+100</f>
        <v>100</v>
      </c>
      <c r="K9" s="3383"/>
      <c r="L9" s="3384"/>
      <c r="M9" s="3385"/>
      <c r="N9" s="3385"/>
      <c r="O9" s="3402"/>
      <c r="P9" s="3770" t="s">
        <v>535</v>
      </c>
      <c r="Q9" s="3403" t="str">
        <f t="shared" ref="Q9:Q15" si="6">B9</f>
        <v>用途</v>
      </c>
      <c r="R9" s="3386" t="s">
        <v>8</v>
      </c>
      <c r="S9" s="3387">
        <f t="shared" si="0"/>
        <v>100</v>
      </c>
      <c r="T9" s="3386" t="s">
        <v>8</v>
      </c>
      <c r="U9" s="3387">
        <f t="shared" si="1"/>
        <v>100</v>
      </c>
      <c r="V9" s="3386" t="s">
        <v>8</v>
      </c>
      <c r="W9" s="3387">
        <f t="shared" si="2"/>
        <v>100</v>
      </c>
      <c r="X9" s="3388"/>
      <c r="Y9" s="3782" t="s">
        <v>536</v>
      </c>
      <c r="Z9" s="3404" t="str">
        <f t="shared" ref="Z9:Z15" si="7">Q9</f>
        <v>用途</v>
      </c>
      <c r="AA9" s="3389">
        <f t="shared" si="3"/>
        <v>1</v>
      </c>
      <c r="AB9" s="3389">
        <f t="shared" si="4"/>
        <v>1</v>
      </c>
      <c r="AC9" s="3389">
        <f t="shared" si="5"/>
        <v>1</v>
      </c>
    </row>
    <row r="10" spans="1:29" s="3414" customFormat="1" ht="27">
      <c r="A10" s="3405"/>
      <c r="B10" s="3392" t="s">
        <v>2756</v>
      </c>
      <c r="C10" s="3406" t="s">
        <v>3047</v>
      </c>
      <c r="D10" s="3407">
        <v>100</v>
      </c>
      <c r="E10" s="3408" t="s">
        <v>3047</v>
      </c>
      <c r="F10" s="3409">
        <f>SUMIF(65:65,E10,66:66)-SUMIF(65:65,C10,66:66)+100</f>
        <v>100</v>
      </c>
      <c r="G10" s="3406" t="s">
        <v>3047</v>
      </c>
      <c r="H10" s="3407">
        <f>SUMIF(65:65,G10,66:66)-SUMIF(65:65,C10,66:66)+100</f>
        <v>100</v>
      </c>
      <c r="I10" s="3406" t="s">
        <v>3047</v>
      </c>
      <c r="J10" s="3407">
        <f>SUMIF(65:65,I10,66:66)-SUMIF(65:65,C10,66:66)+100</f>
        <v>100</v>
      </c>
      <c r="K10" s="3410">
        <v>2</v>
      </c>
      <c r="L10" s="3411"/>
      <c r="M10" s="3412"/>
      <c r="N10" s="3412"/>
      <c r="O10" s="3413"/>
      <c r="P10" s="3770"/>
      <c r="Q10" s="3403" t="str">
        <f t="shared" si="6"/>
        <v>土地使用年限（年）</v>
      </c>
      <c r="R10" s="3386" t="s">
        <v>8</v>
      </c>
      <c r="S10" s="3387">
        <f t="shared" si="0"/>
        <v>100</v>
      </c>
      <c r="T10" s="3386" t="s">
        <v>8</v>
      </c>
      <c r="U10" s="3387">
        <f t="shared" si="1"/>
        <v>100</v>
      </c>
      <c r="V10" s="3386" t="s">
        <v>8</v>
      </c>
      <c r="W10" s="3387">
        <f t="shared" si="2"/>
        <v>100</v>
      </c>
      <c r="X10" s="3388"/>
      <c r="Y10" s="3782"/>
      <c r="Z10" s="3404" t="str">
        <f t="shared" si="7"/>
        <v>土地使用年限（年）</v>
      </c>
      <c r="AA10" s="3389">
        <f t="shared" si="3"/>
        <v>1</v>
      </c>
      <c r="AB10" s="3389">
        <f t="shared" si="4"/>
        <v>1</v>
      </c>
      <c r="AC10" s="3389">
        <f t="shared" si="5"/>
        <v>1</v>
      </c>
    </row>
    <row r="11" spans="1:29" ht="15">
      <c r="A11" s="3415"/>
      <c r="B11" s="3392" t="s">
        <v>2757</v>
      </c>
      <c r="C11" s="3416">
        <f>'数据-汇总表'!I7</f>
        <v>4.8</v>
      </c>
      <c r="D11" s="3407">
        <v>100</v>
      </c>
      <c r="E11" s="3417">
        <v>2</v>
      </c>
      <c r="F11" s="3409">
        <f>LOOKUP(E11,68:68,69:69)-LOOKUP(C11,68:68,69:69)+100</f>
        <v>102</v>
      </c>
      <c r="G11" s="3418">
        <v>3</v>
      </c>
      <c r="H11" s="3407">
        <f>LOOKUP(G11,68:68,69:69)-LOOKUP(C11,68:68,69:69)+100</f>
        <v>101</v>
      </c>
      <c r="I11" s="3418">
        <v>2.39</v>
      </c>
      <c r="J11" s="3407">
        <f>LOOKUP(I11,68:68,69:69)-LOOKUP(C11,68:68,69:69)+100</f>
        <v>102</v>
      </c>
      <c r="K11" s="3410">
        <v>1</v>
      </c>
      <c r="L11" s="3419"/>
      <c r="M11" s="3368"/>
      <c r="N11" s="3368"/>
      <c r="O11" s="3420"/>
      <c r="P11" s="3770"/>
      <c r="Q11" s="3403" t="str">
        <f t="shared" si="6"/>
        <v>容积率</v>
      </c>
      <c r="R11" s="3386" t="s">
        <v>8</v>
      </c>
      <c r="S11" s="3387">
        <f t="shared" si="0"/>
        <v>102</v>
      </c>
      <c r="T11" s="3386" t="s">
        <v>8</v>
      </c>
      <c r="U11" s="3387">
        <f t="shared" si="1"/>
        <v>101</v>
      </c>
      <c r="V11" s="3386" t="s">
        <v>8</v>
      </c>
      <c r="W11" s="3387">
        <f t="shared" si="2"/>
        <v>102</v>
      </c>
      <c r="X11" s="3388"/>
      <c r="Y11" s="3782"/>
      <c r="Z11" s="3404" t="str">
        <f t="shared" si="7"/>
        <v>容积率</v>
      </c>
      <c r="AA11" s="3389">
        <f t="shared" si="3"/>
        <v>0.98039215686274506</v>
      </c>
      <c r="AB11" s="3389">
        <f t="shared" si="4"/>
        <v>0.99009900990099009</v>
      </c>
      <c r="AC11" s="3389">
        <f t="shared" si="5"/>
        <v>0.98039215686274506</v>
      </c>
    </row>
    <row r="12" spans="1:29" s="3390" customFormat="1" ht="15">
      <c r="A12" s="3421"/>
      <c r="B12" s="3422">
        <v>111</v>
      </c>
      <c r="C12" s="3423"/>
      <c r="D12" s="3424">
        <v>100</v>
      </c>
      <c r="E12" s="3423"/>
      <c r="F12" s="3409">
        <f>SUMIF(70:70,E12,71:71)-SUMIF(70:70,C12,71:71)+100</f>
        <v>100</v>
      </c>
      <c r="G12" s="3423"/>
      <c r="H12" s="3407">
        <f>SUMIF(70:70,G12,71:71)-SUMIF(70:70,C12,71:71)+100</f>
        <v>100</v>
      </c>
      <c r="I12" s="3423"/>
      <c r="J12" s="3407">
        <f>SUMIF(70:70,I12,71:71)-SUMIF(70:70,C12,71:71)+100</f>
        <v>100</v>
      </c>
      <c r="K12" s="3425"/>
      <c r="L12" s="3384"/>
      <c r="M12" s="3385"/>
      <c r="N12" s="3385"/>
      <c r="O12" s="3402"/>
      <c r="P12" s="3770"/>
      <c r="Q12" s="3403">
        <f t="shared" si="6"/>
        <v>111</v>
      </c>
      <c r="R12" s="3386" t="s">
        <v>8</v>
      </c>
      <c r="S12" s="3387">
        <f t="shared" si="0"/>
        <v>100</v>
      </c>
      <c r="T12" s="3386" t="s">
        <v>8</v>
      </c>
      <c r="U12" s="3387">
        <f t="shared" si="1"/>
        <v>100</v>
      </c>
      <c r="V12" s="3386" t="s">
        <v>8</v>
      </c>
      <c r="W12" s="3387">
        <f t="shared" si="2"/>
        <v>100</v>
      </c>
      <c r="X12" s="3388"/>
      <c r="Y12" s="3782"/>
      <c r="Z12" s="3404">
        <f t="shared" si="7"/>
        <v>111</v>
      </c>
      <c r="AA12" s="3389">
        <f>D12/F12</f>
        <v>1</v>
      </c>
      <c r="AB12" s="3389">
        <f>D12/H12</f>
        <v>1</v>
      </c>
      <c r="AC12" s="3389">
        <f>D12/J12</f>
        <v>1</v>
      </c>
    </row>
    <row r="13" spans="1:29" ht="15">
      <c r="A13" s="3421"/>
      <c r="B13" s="3422">
        <v>111</v>
      </c>
      <c r="C13" s="3426"/>
      <c r="D13" s="3427">
        <v>100</v>
      </c>
      <c r="E13" s="3426"/>
      <c r="F13" s="3409">
        <f>SUMIF(72:72,E13,73:73)-SUMIF(72:72,C13,73:73)+100</f>
        <v>100</v>
      </c>
      <c r="G13" s="3426"/>
      <c r="H13" s="3427">
        <f>SUMIF(72:72,G13,73:73)-SUMIF(72:72,C13,73:73)+100</f>
        <v>100</v>
      </c>
      <c r="I13" s="3426"/>
      <c r="J13" s="3427">
        <f>SUMIF(72:72,I13,73:73)-SUMIF(72:72,C13,73:73)+100</f>
        <v>100</v>
      </c>
      <c r="K13" s="3425"/>
      <c r="L13" s="3428"/>
      <c r="M13" s="3368"/>
      <c r="N13" s="3368"/>
      <c r="O13" s="3420"/>
      <c r="P13" s="3770"/>
      <c r="Q13" s="3403">
        <f t="shared" si="6"/>
        <v>111</v>
      </c>
      <c r="R13" s="3386" t="s">
        <v>8</v>
      </c>
      <c r="S13" s="3387">
        <f t="shared" si="0"/>
        <v>100</v>
      </c>
      <c r="T13" s="3386" t="s">
        <v>8</v>
      </c>
      <c r="U13" s="3387">
        <f t="shared" si="1"/>
        <v>100</v>
      </c>
      <c r="V13" s="3386" t="s">
        <v>8</v>
      </c>
      <c r="W13" s="3387">
        <f t="shared" si="2"/>
        <v>100</v>
      </c>
      <c r="X13" s="3388"/>
      <c r="Y13" s="3782"/>
      <c r="Z13" s="3404">
        <f t="shared" si="7"/>
        <v>111</v>
      </c>
      <c r="AA13" s="3389">
        <f t="shared" si="3"/>
        <v>1</v>
      </c>
      <c r="AB13" s="3389">
        <f t="shared" si="4"/>
        <v>1</v>
      </c>
      <c r="AC13" s="3389">
        <f t="shared" si="5"/>
        <v>1</v>
      </c>
    </row>
    <row r="14" spans="1:29" ht="15.75" thickBot="1">
      <c r="A14" s="3429"/>
      <c r="B14" s="3430">
        <v>111</v>
      </c>
      <c r="C14" s="3431"/>
      <c r="D14" s="3432">
        <v>100</v>
      </c>
      <c r="E14" s="3431"/>
      <c r="F14" s="3433">
        <f>SUMIF(74:74,E14,75:75)-SUMIF(74:74,C14,75:75)+100</f>
        <v>100</v>
      </c>
      <c r="G14" s="3431"/>
      <c r="H14" s="3432">
        <f>SUMIF(74:74,G14,75:75)-SUMIF(74:74,C14,75:75)+100</f>
        <v>100</v>
      </c>
      <c r="I14" s="3431"/>
      <c r="J14" s="3432">
        <f>SUMIF(74:74,I14,75:75)-SUMIF(74:74,C14,75:75)+100</f>
        <v>100</v>
      </c>
      <c r="K14" s="3425"/>
      <c r="L14" s="3428"/>
      <c r="M14" s="3368"/>
      <c r="N14" s="3368"/>
      <c r="O14" s="3420"/>
      <c r="P14" s="3770"/>
      <c r="Q14" s="3403">
        <f t="shared" si="6"/>
        <v>111</v>
      </c>
      <c r="R14" s="3386" t="s">
        <v>8</v>
      </c>
      <c r="S14" s="3387">
        <f t="shared" si="0"/>
        <v>100</v>
      </c>
      <c r="T14" s="3386" t="s">
        <v>8</v>
      </c>
      <c r="U14" s="3387">
        <f t="shared" si="1"/>
        <v>100</v>
      </c>
      <c r="V14" s="3386" t="s">
        <v>8</v>
      </c>
      <c r="W14" s="3387">
        <f t="shared" si="2"/>
        <v>100</v>
      </c>
      <c r="X14" s="3388"/>
      <c r="Y14" s="3782"/>
      <c r="Z14" s="3404">
        <f t="shared" si="7"/>
        <v>111</v>
      </c>
      <c r="AA14" s="3389">
        <f t="shared" si="3"/>
        <v>1</v>
      </c>
      <c r="AB14" s="3389">
        <f t="shared" si="4"/>
        <v>1</v>
      </c>
      <c r="AC14" s="3389">
        <f t="shared" si="5"/>
        <v>1</v>
      </c>
    </row>
    <row r="15" spans="1:29" ht="81">
      <c r="A15" s="3434" t="s">
        <v>3464</v>
      </c>
      <c r="B15" s="3435" t="s">
        <v>295</v>
      </c>
      <c r="C15" s="3436" t="e">
        <f>#REF!</f>
        <v>#REF!</v>
      </c>
      <c r="D15" s="3437">
        <v>100</v>
      </c>
      <c r="E15" s="3438" t="s">
        <v>3162</v>
      </c>
      <c r="F15" s="3439">
        <f>SUMIF(76:76,E16,77:77)-SUMIF(76:76,C16,77:77)+100</f>
        <v>100</v>
      </c>
      <c r="G15" s="3440" t="s">
        <v>3465</v>
      </c>
      <c r="H15" s="3437">
        <f>SUMIF(76:76,G16,77:77)-SUMIF(76:76,C16,77:77)+100</f>
        <v>100</v>
      </c>
      <c r="I15" s="3438" t="s">
        <v>3466</v>
      </c>
      <c r="J15" s="3437">
        <f>SUMIF(76:76,I16,77:77)-SUMIF(76:76,C16,77:77)+100</f>
        <v>100</v>
      </c>
      <c r="K15" s="3441">
        <v>2</v>
      </c>
      <c r="L15" s="3428"/>
      <c r="M15" s="3368"/>
      <c r="N15" s="3368"/>
      <c r="O15" s="3420"/>
      <c r="P15" s="3775" t="s">
        <v>540</v>
      </c>
      <c r="Q15" s="3442" t="str">
        <f t="shared" si="6"/>
        <v>居住社区成熟度</v>
      </c>
      <c r="R15" s="3443" t="s">
        <v>8</v>
      </c>
      <c r="S15" s="3444">
        <f t="shared" si="0"/>
        <v>100</v>
      </c>
      <c r="T15" s="3443" t="s">
        <v>8</v>
      </c>
      <c r="U15" s="3444">
        <f t="shared" si="1"/>
        <v>100</v>
      </c>
      <c r="V15" s="3443" t="s">
        <v>8</v>
      </c>
      <c r="W15" s="3444">
        <f t="shared" si="2"/>
        <v>100</v>
      </c>
      <c r="X15" s="3369"/>
      <c r="Y15" s="3775" t="s">
        <v>540</v>
      </c>
      <c r="Z15" s="3445" t="str">
        <f t="shared" si="7"/>
        <v>居住社区成熟度</v>
      </c>
      <c r="AA15" s="3446">
        <f t="shared" si="3"/>
        <v>1</v>
      </c>
      <c r="AB15" s="3446">
        <f t="shared" si="4"/>
        <v>1</v>
      </c>
      <c r="AC15" s="3446">
        <f t="shared" si="5"/>
        <v>1</v>
      </c>
    </row>
    <row r="16" spans="1:29" ht="15">
      <c r="A16" s="3447"/>
      <c r="B16" s="3448"/>
      <c r="C16" s="3449" t="s">
        <v>3014</v>
      </c>
      <c r="D16" s="3450"/>
      <c r="E16" s="3451" t="s">
        <v>3014</v>
      </c>
      <c r="F16" s="3452"/>
      <c r="G16" s="3453" t="s">
        <v>3014</v>
      </c>
      <c r="H16" s="3454"/>
      <c r="I16" s="3451" t="s">
        <v>3014</v>
      </c>
      <c r="J16" s="3450"/>
      <c r="K16" s="3455"/>
      <c r="L16" s="3428"/>
      <c r="M16" s="3368"/>
      <c r="N16" s="3368"/>
      <c r="O16" s="3420"/>
      <c r="P16" s="3776"/>
      <c r="Q16" s="3442"/>
      <c r="R16" s="3443"/>
      <c r="S16" s="3444"/>
      <c r="T16" s="3443"/>
      <c r="U16" s="3444"/>
      <c r="V16" s="3443"/>
      <c r="W16" s="3444"/>
      <c r="X16" s="3369"/>
      <c r="Y16" s="3776"/>
      <c r="Z16" s="3445"/>
      <c r="AA16" s="3446">
        <v>1</v>
      </c>
      <c r="AB16" s="3446">
        <v>1</v>
      </c>
      <c r="AC16" s="3446">
        <v>1</v>
      </c>
    </row>
    <row r="17" spans="1:29" ht="123">
      <c r="A17" s="3447"/>
      <c r="B17" s="3456" t="s">
        <v>296</v>
      </c>
      <c r="C17" s="3457" t="e">
        <f>#REF!</f>
        <v>#REF!</v>
      </c>
      <c r="D17" s="3454">
        <v>100</v>
      </c>
      <c r="E17" s="3458" t="s">
        <v>3163</v>
      </c>
      <c r="F17" s="3459">
        <f>SUMIF(78:78,E18,79:79)-SUMIF(78:78,C18,79:79)+100</f>
        <v>100</v>
      </c>
      <c r="G17" s="3460" t="s">
        <v>3467</v>
      </c>
      <c r="H17" s="3461">
        <f>SUMIF(78:78,G18,79:79)-SUMIF(78:78,C18,79:79)+100</f>
        <v>100</v>
      </c>
      <c r="I17" s="3460" t="s">
        <v>3168</v>
      </c>
      <c r="J17" s="3461">
        <f>SUMIF(78:78,I18,79:79)-SUMIF(78:78,C18,79:79)+100</f>
        <v>100</v>
      </c>
      <c r="K17" s="3441">
        <v>2</v>
      </c>
      <c r="L17" s="3428"/>
      <c r="M17" s="3368"/>
      <c r="N17" s="3368"/>
      <c r="O17" s="3420"/>
      <c r="P17" s="3776"/>
      <c r="Q17" s="3442" t="str">
        <f>B17</f>
        <v>交通便捷度</v>
      </c>
      <c r="R17" s="3443" t="s">
        <v>8</v>
      </c>
      <c r="S17" s="3444">
        <f>F17</f>
        <v>100</v>
      </c>
      <c r="T17" s="3443" t="s">
        <v>8</v>
      </c>
      <c r="U17" s="3444">
        <f>H17</f>
        <v>100</v>
      </c>
      <c r="V17" s="3443" t="s">
        <v>8</v>
      </c>
      <c r="W17" s="3444">
        <f>J17</f>
        <v>100</v>
      </c>
      <c r="X17" s="3369"/>
      <c r="Y17" s="3776"/>
      <c r="Z17" s="3445" t="str">
        <f>Q17</f>
        <v>交通便捷度</v>
      </c>
      <c r="AA17" s="3446">
        <f t="shared" si="3"/>
        <v>1</v>
      </c>
      <c r="AB17" s="3446">
        <f t="shared" si="4"/>
        <v>1</v>
      </c>
      <c r="AC17" s="3446">
        <f t="shared" si="5"/>
        <v>1</v>
      </c>
    </row>
    <row r="18" spans="1:29" ht="15">
      <c r="A18" s="3447"/>
      <c r="B18" s="3462"/>
      <c r="C18" s="3463" t="s">
        <v>3015</v>
      </c>
      <c r="D18" s="3454"/>
      <c r="E18" s="3464" t="s">
        <v>3015</v>
      </c>
      <c r="F18" s="3459"/>
      <c r="G18" s="3465" t="s">
        <v>3015</v>
      </c>
      <c r="H18" s="3450"/>
      <c r="I18" s="3464" t="s">
        <v>3015</v>
      </c>
      <c r="J18" s="3450"/>
      <c r="K18" s="3455"/>
      <c r="L18" s="3428"/>
      <c r="M18" s="3368"/>
      <c r="N18" s="3368"/>
      <c r="O18" s="3420"/>
      <c r="P18" s="3776"/>
      <c r="Q18" s="3442"/>
      <c r="R18" s="3443"/>
      <c r="S18" s="3444"/>
      <c r="T18" s="3443"/>
      <c r="U18" s="3444"/>
      <c r="V18" s="3443"/>
      <c r="W18" s="3444"/>
      <c r="X18" s="3369"/>
      <c r="Y18" s="3776"/>
      <c r="Z18" s="3445"/>
      <c r="AA18" s="3446">
        <v>1</v>
      </c>
      <c r="AB18" s="3446">
        <v>1</v>
      </c>
      <c r="AC18" s="3446">
        <v>1</v>
      </c>
    </row>
    <row r="19" spans="1:29" ht="149.25">
      <c r="A19" s="3447"/>
      <c r="B19" s="3466" t="s">
        <v>2317</v>
      </c>
      <c r="C19" s="3457" t="e">
        <f>#REF!</f>
        <v>#REF!</v>
      </c>
      <c r="D19" s="3461">
        <v>100</v>
      </c>
      <c r="E19" s="3467" t="s">
        <v>3164</v>
      </c>
      <c r="F19" s="3468">
        <f>SUMIF(80:80,E20,81:81)-SUMIF(80:80,C20,81:81)+100</f>
        <v>100</v>
      </c>
      <c r="G19" s="3467" t="s">
        <v>3468</v>
      </c>
      <c r="H19" s="3454">
        <f>SUMIF(80:80,G20,81:81)-SUMIF(80:80,C20,81:81)+100</f>
        <v>102</v>
      </c>
      <c r="I19" s="3467" t="s">
        <v>3169</v>
      </c>
      <c r="J19" s="3454">
        <f>SUMIF(80:80,I20,81:81)-SUMIF(80:80,C20,81:81)+100</f>
        <v>102</v>
      </c>
      <c r="K19" s="3441">
        <v>2</v>
      </c>
      <c r="L19" s="3428"/>
      <c r="M19" s="3368"/>
      <c r="N19" s="3368"/>
      <c r="O19" s="3420"/>
      <c r="P19" s="3776"/>
      <c r="Q19" s="3442" t="str">
        <f>B19</f>
        <v>公共配套设施</v>
      </c>
      <c r="R19" s="3443" t="s">
        <v>8</v>
      </c>
      <c r="S19" s="3444">
        <f>F19</f>
        <v>100</v>
      </c>
      <c r="T19" s="3443" t="s">
        <v>8</v>
      </c>
      <c r="U19" s="3444">
        <f>H19</f>
        <v>102</v>
      </c>
      <c r="V19" s="3443" t="s">
        <v>8</v>
      </c>
      <c r="W19" s="3444">
        <f>J19</f>
        <v>102</v>
      </c>
      <c r="X19" s="3369"/>
      <c r="Y19" s="3776"/>
      <c r="Z19" s="3445" t="str">
        <f>Q19</f>
        <v>公共配套设施</v>
      </c>
      <c r="AA19" s="3446">
        <f t="shared" si="3"/>
        <v>1</v>
      </c>
      <c r="AB19" s="3446">
        <f t="shared" si="4"/>
        <v>0.98039215686274506</v>
      </c>
      <c r="AC19" s="3446">
        <f t="shared" si="5"/>
        <v>0.98039215686274506</v>
      </c>
    </row>
    <row r="20" spans="1:29" ht="15">
      <c r="A20" s="3447"/>
      <c r="B20" s="3462"/>
      <c r="C20" s="3449" t="s">
        <v>3015</v>
      </c>
      <c r="D20" s="3450"/>
      <c r="E20" s="3451" t="s">
        <v>3015</v>
      </c>
      <c r="F20" s="3452"/>
      <c r="G20" s="3453" t="s">
        <v>3014</v>
      </c>
      <c r="H20" s="3450"/>
      <c r="I20" s="3451" t="s">
        <v>3014</v>
      </c>
      <c r="J20" s="3450"/>
      <c r="K20" s="3455"/>
      <c r="L20" s="3428"/>
      <c r="M20" s="3368"/>
      <c r="N20" s="3368"/>
      <c r="O20" s="3420"/>
      <c r="P20" s="3776"/>
      <c r="Q20" s="3442"/>
      <c r="R20" s="3443"/>
      <c r="S20" s="3444"/>
      <c r="T20" s="3443"/>
      <c r="U20" s="3444"/>
      <c r="V20" s="3443"/>
      <c r="W20" s="3444"/>
      <c r="X20" s="3369"/>
      <c r="Y20" s="3776"/>
      <c r="Z20" s="3445"/>
      <c r="AA20" s="3446">
        <v>1</v>
      </c>
      <c r="AB20" s="3446">
        <v>1</v>
      </c>
      <c r="AC20" s="3446">
        <v>1</v>
      </c>
    </row>
    <row r="21" spans="1:29" ht="28.5">
      <c r="A21" s="3447"/>
      <c r="B21" s="3469" t="s">
        <v>3469</v>
      </c>
      <c r="C21" s="3457" t="e">
        <f>#REF!</f>
        <v>#REF!</v>
      </c>
      <c r="D21" s="3461">
        <v>100</v>
      </c>
      <c r="E21" s="3470" t="s">
        <v>3143</v>
      </c>
      <c r="F21" s="3468">
        <f>SUMIF(82:82,E22,83:83)-SUMIF(82:82,C22,83:83)+100</f>
        <v>100</v>
      </c>
      <c r="G21" s="3470" t="s">
        <v>3143</v>
      </c>
      <c r="H21" s="3461">
        <f>SUMIF(82:82,G22,83:83)-SUMIF(82:82,C22,83:83)+100</f>
        <v>100</v>
      </c>
      <c r="I21" s="3467" t="s">
        <v>3143</v>
      </c>
      <c r="J21" s="3461">
        <f>SUMIF(82:82,I22,83:83)-SUMIF(82:82,C22,83:83)+100</f>
        <v>100</v>
      </c>
      <c r="K21" s="3441">
        <v>1</v>
      </c>
      <c r="L21" s="3428"/>
      <c r="M21" s="3368"/>
      <c r="N21" s="3368"/>
      <c r="O21" s="3420"/>
      <c r="P21" s="3776"/>
      <c r="Q21" s="3442" t="str">
        <f>B21</f>
        <v>基础设施水平</v>
      </c>
      <c r="R21" s="3443" t="s">
        <v>8</v>
      </c>
      <c r="S21" s="3444">
        <f>F21</f>
        <v>100</v>
      </c>
      <c r="T21" s="3443" t="s">
        <v>8</v>
      </c>
      <c r="U21" s="3444">
        <f>H21</f>
        <v>100</v>
      </c>
      <c r="V21" s="3443" t="s">
        <v>8</v>
      </c>
      <c r="W21" s="3444">
        <f>J21</f>
        <v>100</v>
      </c>
      <c r="X21" s="3369"/>
      <c r="Y21" s="3776"/>
      <c r="Z21" s="3445" t="str">
        <f>Q21</f>
        <v>基础设施水平</v>
      </c>
      <c r="AA21" s="3446">
        <f t="shared" ref="AA21" si="8">D21/F21</f>
        <v>1</v>
      </c>
      <c r="AB21" s="3446">
        <f t="shared" ref="AB21" si="9">D21/H21</f>
        <v>1</v>
      </c>
      <c r="AC21" s="3446">
        <f t="shared" ref="AC21" si="10">D21/J21</f>
        <v>1</v>
      </c>
    </row>
    <row r="22" spans="1:29" ht="15">
      <c r="A22" s="3447"/>
      <c r="B22" s="3471"/>
      <c r="C22" s="3463" t="s">
        <v>3031</v>
      </c>
      <c r="D22" s="3450"/>
      <c r="E22" s="3449" t="s">
        <v>3031</v>
      </c>
      <c r="F22" s="3452"/>
      <c r="G22" s="3449" t="s">
        <v>3031</v>
      </c>
      <c r="H22" s="3450"/>
      <c r="I22" s="3449" t="s">
        <v>3031</v>
      </c>
      <c r="J22" s="3450"/>
      <c r="K22" s="3472"/>
      <c r="L22" s="3428"/>
      <c r="M22" s="3368"/>
      <c r="N22" s="3368"/>
      <c r="O22" s="3420"/>
      <c r="P22" s="3776"/>
      <c r="Q22" s="3442"/>
      <c r="R22" s="3443"/>
      <c r="S22" s="3444"/>
      <c r="T22" s="3443"/>
      <c r="U22" s="3444"/>
      <c r="V22" s="3443"/>
      <c r="W22" s="3444"/>
      <c r="X22" s="3369"/>
      <c r="Y22" s="3776"/>
      <c r="Z22" s="3445"/>
      <c r="AA22" s="3446">
        <v>1</v>
      </c>
      <c r="AB22" s="3446">
        <v>1</v>
      </c>
      <c r="AC22" s="3446">
        <v>1</v>
      </c>
    </row>
    <row r="23" spans="1:29" ht="81">
      <c r="A23" s="3447"/>
      <c r="B23" s="3456" t="s">
        <v>297</v>
      </c>
      <c r="C23" s="3457" t="e">
        <f>#REF!</f>
        <v>#REF!</v>
      </c>
      <c r="D23" s="3454">
        <v>100</v>
      </c>
      <c r="E23" s="3473" t="s">
        <v>3177</v>
      </c>
      <c r="F23" s="3459">
        <f>SUMIF(84:84,E24,85:85)-SUMIF(84:84,C24,85:85)+100</f>
        <v>98</v>
      </c>
      <c r="G23" s="3473" t="s">
        <v>3170</v>
      </c>
      <c r="H23" s="3454">
        <f>SUMIF(84:84,G24,85:85)-SUMIF(84:84,C24,85:85)+100</f>
        <v>100</v>
      </c>
      <c r="I23" s="3473" t="s">
        <v>3170</v>
      </c>
      <c r="J23" s="3454">
        <f>SUMIF(84:84,I24,85:85)-SUMIF(84:84,C24,85:85)+100</f>
        <v>100</v>
      </c>
      <c r="K23" s="3441">
        <v>2</v>
      </c>
      <c r="L23" s="3428"/>
      <c r="M23" s="3368"/>
      <c r="N23" s="3368"/>
      <c r="O23" s="3420"/>
      <c r="P23" s="3776"/>
      <c r="Q23" s="3442" t="str">
        <f>B23</f>
        <v>自然及人文环境</v>
      </c>
      <c r="R23" s="3443" t="s">
        <v>8</v>
      </c>
      <c r="S23" s="3444">
        <f>F23</f>
        <v>98</v>
      </c>
      <c r="T23" s="3443" t="s">
        <v>8</v>
      </c>
      <c r="U23" s="3444">
        <f>H23</f>
        <v>100</v>
      </c>
      <c r="V23" s="3443" t="s">
        <v>8</v>
      </c>
      <c r="W23" s="3444">
        <f>J23</f>
        <v>100</v>
      </c>
      <c r="X23" s="3369"/>
      <c r="Y23" s="3776"/>
      <c r="Z23" s="3445" t="str">
        <f>Q23</f>
        <v>自然及人文环境</v>
      </c>
      <c r="AA23" s="3446">
        <f t="shared" si="3"/>
        <v>1.0204081632653061</v>
      </c>
      <c r="AB23" s="3446">
        <f t="shared" si="4"/>
        <v>1</v>
      </c>
      <c r="AC23" s="3446">
        <f t="shared" si="5"/>
        <v>1</v>
      </c>
    </row>
    <row r="24" spans="1:29" ht="15">
      <c r="A24" s="3447"/>
      <c r="B24" s="3462"/>
      <c r="C24" s="3449" t="s">
        <v>3014</v>
      </c>
      <c r="D24" s="3450"/>
      <c r="E24" s="3451" t="s">
        <v>3015</v>
      </c>
      <c r="F24" s="3452"/>
      <c r="G24" s="3453" t="s">
        <v>3014</v>
      </c>
      <c r="H24" s="3450"/>
      <c r="I24" s="3451" t="s">
        <v>3014</v>
      </c>
      <c r="J24" s="3450"/>
      <c r="K24" s="3455"/>
      <c r="L24" s="3428"/>
      <c r="M24" s="3368"/>
      <c r="N24" s="3368"/>
      <c r="O24" s="3420"/>
      <c r="P24" s="3776"/>
      <c r="Q24" s="3442"/>
      <c r="R24" s="3443"/>
      <c r="S24" s="3444"/>
      <c r="T24" s="3443"/>
      <c r="U24" s="3444"/>
      <c r="V24" s="3443"/>
      <c r="W24" s="3444"/>
      <c r="X24" s="3369"/>
      <c r="Y24" s="3776"/>
      <c r="Z24" s="3445"/>
      <c r="AA24" s="3446">
        <v>1</v>
      </c>
      <c r="AB24" s="3446">
        <v>1</v>
      </c>
      <c r="AC24" s="3446">
        <v>1</v>
      </c>
    </row>
    <row r="25" spans="1:29" ht="15">
      <c r="A25" s="3447"/>
      <c r="B25" s="3474" t="s">
        <v>2257</v>
      </c>
      <c r="C25" s="3475"/>
      <c r="D25" s="3427">
        <v>100</v>
      </c>
      <c r="E25" s="3476"/>
      <c r="F25" s="3477">
        <f>SUMIF(86:86,E25,87:87)-SUMIF(86:86,C25,87:87)+100</f>
        <v>100</v>
      </c>
      <c r="G25" s="3478"/>
      <c r="H25" s="3427">
        <f>SUMIF(86:86,G25,87:87)-SUMIF(86:86,C25,87:87)+100</f>
        <v>100</v>
      </c>
      <c r="I25" s="3476"/>
      <c r="J25" s="3427">
        <f>SUMIF(86:86,I25,87:87)-SUMIF(86:86,C25,87:87)+100</f>
        <v>100</v>
      </c>
      <c r="K25" s="3410"/>
      <c r="L25" s="3428"/>
      <c r="M25" s="3368"/>
      <c r="N25" s="3368"/>
      <c r="O25" s="3420"/>
      <c r="P25" s="3776"/>
      <c r="Q25" s="3442" t="str">
        <f t="shared" ref="Q25:Q46" si="11">B25</f>
        <v>楼层-1</v>
      </c>
      <c r="R25" s="3443" t="s">
        <v>8</v>
      </c>
      <c r="S25" s="3444">
        <f>F25</f>
        <v>100</v>
      </c>
      <c r="T25" s="3443" t="s">
        <v>8</v>
      </c>
      <c r="U25" s="3444">
        <f>H25</f>
        <v>100</v>
      </c>
      <c r="V25" s="3443" t="s">
        <v>8</v>
      </c>
      <c r="W25" s="3444">
        <f>J25</f>
        <v>100</v>
      </c>
      <c r="X25" s="3369"/>
      <c r="Y25" s="3776"/>
      <c r="Z25" s="3445" t="str">
        <f>Q25</f>
        <v>楼层-1</v>
      </c>
      <c r="AA25" s="3446">
        <f t="shared" si="3"/>
        <v>1</v>
      </c>
      <c r="AB25" s="3446">
        <f t="shared" si="4"/>
        <v>1</v>
      </c>
      <c r="AC25" s="3446">
        <f t="shared" si="5"/>
        <v>1</v>
      </c>
    </row>
    <row r="26" spans="1:29" ht="15">
      <c r="A26" s="3447"/>
      <c r="B26" s="3479" t="s">
        <v>723</v>
      </c>
      <c r="C26" s="3475"/>
      <c r="D26" s="3427">
        <v>100</v>
      </c>
      <c r="E26" s="3476"/>
      <c r="F26" s="3477">
        <f>SUMIF(88:88,E26,89:89)-SUMIF(88:88,C26,89:89)+100</f>
        <v>100</v>
      </c>
      <c r="G26" s="3478"/>
      <c r="H26" s="3427">
        <f>SUMIF(88:88,G26,89:89)-SUMIF(88:88,C26,89:89)+100</f>
        <v>100</v>
      </c>
      <c r="I26" s="3476"/>
      <c r="J26" s="3427">
        <f>SUMIF(88:88,I26,89:89)-SUMIF(88:88,C26,89:89)+100</f>
        <v>100</v>
      </c>
      <c r="K26" s="3410"/>
      <c r="L26" s="3428"/>
      <c r="M26" s="3368"/>
      <c r="N26" s="3368"/>
      <c r="O26" s="3420"/>
      <c r="P26" s="3776"/>
      <c r="Q26" s="3442" t="str">
        <f t="shared" si="11"/>
        <v>朝向</v>
      </c>
      <c r="R26" s="3443" t="s">
        <v>8</v>
      </c>
      <c r="S26" s="3444">
        <f>F26</f>
        <v>100</v>
      </c>
      <c r="T26" s="3443" t="s">
        <v>8</v>
      </c>
      <c r="U26" s="3444">
        <f>H26</f>
        <v>100</v>
      </c>
      <c r="V26" s="3443" t="s">
        <v>8</v>
      </c>
      <c r="W26" s="3444">
        <f>J26</f>
        <v>100</v>
      </c>
      <c r="X26" s="3369"/>
      <c r="Y26" s="3776"/>
      <c r="Z26" s="3445" t="str">
        <f>Q26</f>
        <v>朝向</v>
      </c>
      <c r="AA26" s="3446">
        <f t="shared" si="3"/>
        <v>1</v>
      </c>
      <c r="AB26" s="3446">
        <f t="shared" si="4"/>
        <v>1</v>
      </c>
      <c r="AC26" s="3446">
        <f t="shared" si="5"/>
        <v>1</v>
      </c>
    </row>
    <row r="27" spans="1:29" s="3390" customFormat="1" ht="15">
      <c r="A27" s="3480"/>
      <c r="B27" s="3481" t="s">
        <v>3470</v>
      </c>
      <c r="C27" s="3482" t="s">
        <v>3471</v>
      </c>
      <c r="D27" s="3483">
        <v>100</v>
      </c>
      <c r="E27" s="3484" t="s">
        <v>3175</v>
      </c>
      <c r="F27" s="3485">
        <f>SUMIF(90:90,E27,91:91)-SUMIF(90:90,C27,91:91)+100</f>
        <v>101</v>
      </c>
      <c r="G27" s="3486" t="s">
        <v>3175</v>
      </c>
      <c r="H27" s="3483">
        <f>SUMIF(90:90,G27,91:91)-SUMIF(90:90,C27,91:91)+100</f>
        <v>101</v>
      </c>
      <c r="I27" s="3484" t="s">
        <v>3472</v>
      </c>
      <c r="J27" s="3483">
        <f>SUMIF(90:90,I27,91:91)-SUMIF(90:90,C27,91:91)+100</f>
        <v>99</v>
      </c>
      <c r="K27" s="3425"/>
      <c r="L27" s="3384"/>
      <c r="M27" s="3385"/>
      <c r="N27" s="3385"/>
      <c r="O27" s="3402"/>
      <c r="P27" s="3776"/>
      <c r="Q27" s="3403" t="str">
        <f t="shared" si="11"/>
        <v>道路级别</v>
      </c>
      <c r="R27" s="3386" t="s">
        <v>8</v>
      </c>
      <c r="S27" s="3387">
        <f>F27</f>
        <v>101</v>
      </c>
      <c r="T27" s="3386" t="s">
        <v>8</v>
      </c>
      <c r="U27" s="3387">
        <f>H27</f>
        <v>101</v>
      </c>
      <c r="V27" s="3386" t="s">
        <v>8</v>
      </c>
      <c r="W27" s="3387">
        <f>J27</f>
        <v>99</v>
      </c>
      <c r="X27" s="3388"/>
      <c r="Y27" s="3776"/>
      <c r="Z27" s="3404" t="str">
        <f>Q27</f>
        <v>道路级别</v>
      </c>
      <c r="AA27" s="3446">
        <f>D27/F27</f>
        <v>0.99009900990099009</v>
      </c>
      <c r="AB27" s="3446">
        <f>D27/H27</f>
        <v>0.99009900990099009</v>
      </c>
      <c r="AC27" s="3446">
        <f>D27/J27</f>
        <v>1.0101010101010102</v>
      </c>
    </row>
    <row r="28" spans="1:29" ht="15">
      <c r="A28" s="3447"/>
      <c r="B28" s="3487">
        <v>111</v>
      </c>
      <c r="C28" s="3482" t="s">
        <v>3473</v>
      </c>
      <c r="D28" s="3427">
        <v>100</v>
      </c>
      <c r="E28" s="3426" t="s">
        <v>3474</v>
      </c>
      <c r="F28" s="3477">
        <f>SUMIF(92:92,E28,93:93)-SUMIF(92:92,C28,93:93)+100</f>
        <v>100</v>
      </c>
      <c r="G28" s="3488" t="s">
        <v>3475</v>
      </c>
      <c r="H28" s="3427">
        <f>SUMIF(92:92,G28,93:93)-SUMIF(92:92,C28,93:93)+100</f>
        <v>100</v>
      </c>
      <c r="I28" s="3489" t="s">
        <v>3476</v>
      </c>
      <c r="J28" s="3427">
        <f>SUMIF(92:92,I28,93:93)-SUMIF(92:92,C28,93:93)+100</f>
        <v>100</v>
      </c>
      <c r="K28" s="3425"/>
      <c r="L28" s="3428"/>
      <c r="M28" s="3368"/>
      <c r="N28" s="3368"/>
      <c r="O28" s="3420"/>
      <c r="P28" s="3776"/>
      <c r="Q28" s="3442">
        <f t="shared" si="11"/>
        <v>111</v>
      </c>
      <c r="R28" s="3443" t="s">
        <v>3477</v>
      </c>
      <c r="S28" s="3444">
        <f t="shared" ref="S28:S46" si="12">F28</f>
        <v>100</v>
      </c>
      <c r="T28" s="3443" t="s">
        <v>3478</v>
      </c>
      <c r="U28" s="3444">
        <f t="shared" ref="U28:U46" si="13">H28</f>
        <v>100</v>
      </c>
      <c r="V28" s="3443" t="s">
        <v>3479</v>
      </c>
      <c r="W28" s="3444">
        <f t="shared" ref="W28:W46" si="14">J28</f>
        <v>100</v>
      </c>
      <c r="X28" s="3369"/>
      <c r="Y28" s="3776"/>
      <c r="Z28" s="3445">
        <f t="shared" ref="Z28:Z46" si="15">Q28</f>
        <v>111</v>
      </c>
      <c r="AA28" s="3446">
        <f t="shared" si="3"/>
        <v>1</v>
      </c>
      <c r="AB28" s="3446">
        <f t="shared" si="4"/>
        <v>1</v>
      </c>
      <c r="AC28" s="3446">
        <f t="shared" si="5"/>
        <v>1</v>
      </c>
    </row>
    <row r="29" spans="1:29" ht="15">
      <c r="A29" s="3447"/>
      <c r="B29" s="3487">
        <v>111</v>
      </c>
      <c r="C29" s="3426"/>
      <c r="D29" s="3427">
        <v>100</v>
      </c>
      <c r="E29" s="3426"/>
      <c r="F29" s="3477">
        <f>SUMIF(94:94,E29,95:95)-SUMIF(94:94,C29,95:95)+100</f>
        <v>100</v>
      </c>
      <c r="G29" s="3426"/>
      <c r="H29" s="3427">
        <f>SUMIF(94:94,G29,95:95)-SUMIF(94:94,C29,95:95)+100</f>
        <v>100</v>
      </c>
      <c r="I29" s="3426"/>
      <c r="J29" s="3427">
        <f>SUMIF(94:94,I29,95:95)-SUMIF(94:94,C29,95:95)+100</f>
        <v>100</v>
      </c>
      <c r="K29" s="3425"/>
      <c r="L29" s="3428"/>
      <c r="M29" s="3368"/>
      <c r="N29" s="3368"/>
      <c r="O29" s="3420"/>
      <c r="P29" s="3776"/>
      <c r="Q29" s="3442">
        <f t="shared" si="11"/>
        <v>111</v>
      </c>
      <c r="R29" s="3443" t="s">
        <v>3480</v>
      </c>
      <c r="S29" s="3444">
        <f t="shared" si="12"/>
        <v>100</v>
      </c>
      <c r="T29" s="3443" t="s">
        <v>3480</v>
      </c>
      <c r="U29" s="3444">
        <f t="shared" si="13"/>
        <v>100</v>
      </c>
      <c r="V29" s="3443" t="s">
        <v>3480</v>
      </c>
      <c r="W29" s="3444">
        <f t="shared" si="14"/>
        <v>100</v>
      </c>
      <c r="X29" s="3369"/>
      <c r="Y29" s="3776"/>
      <c r="Z29" s="3445">
        <f t="shared" si="15"/>
        <v>111</v>
      </c>
      <c r="AA29" s="3446">
        <f t="shared" si="3"/>
        <v>1</v>
      </c>
      <c r="AB29" s="3446">
        <f t="shared" si="4"/>
        <v>1</v>
      </c>
      <c r="AC29" s="3446">
        <f t="shared" si="5"/>
        <v>1</v>
      </c>
    </row>
    <row r="30" spans="1:29" ht="15">
      <c r="A30" s="3447"/>
      <c r="B30" s="3487">
        <v>111</v>
      </c>
      <c r="C30" s="3426"/>
      <c r="D30" s="3427">
        <v>100</v>
      </c>
      <c r="E30" s="3426"/>
      <c r="F30" s="3477">
        <f>SUMIF(96:96,E30,97:97)-SUMIF(96:96,C30,97:97)+100</f>
        <v>100</v>
      </c>
      <c r="G30" s="3426"/>
      <c r="H30" s="3427">
        <f>SUMIF(96:96,G30,97:97)-SUMIF(96:96,C30,97:97)+100</f>
        <v>100</v>
      </c>
      <c r="I30" s="3426"/>
      <c r="J30" s="3427">
        <f>SUMIF(96:96,I30,97:97)-SUMIF(96:96,C30,97:97)+100</f>
        <v>100</v>
      </c>
      <c r="K30" s="3425"/>
      <c r="L30" s="3428"/>
      <c r="M30" s="3368"/>
      <c r="N30" s="3368"/>
      <c r="O30" s="3420"/>
      <c r="P30" s="3776"/>
      <c r="Q30" s="3442">
        <f t="shared" si="11"/>
        <v>111</v>
      </c>
      <c r="R30" s="3443" t="s">
        <v>3480</v>
      </c>
      <c r="S30" s="3444">
        <f t="shared" si="12"/>
        <v>100</v>
      </c>
      <c r="T30" s="3443" t="s">
        <v>3480</v>
      </c>
      <c r="U30" s="3444">
        <f t="shared" si="13"/>
        <v>100</v>
      </c>
      <c r="V30" s="3443" t="s">
        <v>3480</v>
      </c>
      <c r="W30" s="3444">
        <f t="shared" si="14"/>
        <v>100</v>
      </c>
      <c r="X30" s="3369"/>
      <c r="Y30" s="3776"/>
      <c r="Z30" s="3445">
        <f t="shared" si="15"/>
        <v>111</v>
      </c>
      <c r="AA30" s="3446">
        <f t="shared" si="3"/>
        <v>1</v>
      </c>
      <c r="AB30" s="3446">
        <f t="shared" si="4"/>
        <v>1</v>
      </c>
      <c r="AC30" s="3446">
        <f t="shared" si="5"/>
        <v>1</v>
      </c>
    </row>
    <row r="31" spans="1:29" ht="15.75" thickBot="1">
      <c r="A31" s="3490"/>
      <c r="B31" s="3487">
        <v>111</v>
      </c>
      <c r="C31" s="3431"/>
      <c r="D31" s="3432">
        <v>100</v>
      </c>
      <c r="E31" s="3431"/>
      <c r="F31" s="3433">
        <f>SUMIF(98:98,E31,99:99)-SUMIF(98:98,C31,99:99)+100</f>
        <v>100</v>
      </c>
      <c r="G31" s="3431"/>
      <c r="H31" s="3432">
        <f>SUMIF(98:98,G31,99:99)-SUMIF(98:98,C31,99:99)+100</f>
        <v>100</v>
      </c>
      <c r="I31" s="3431"/>
      <c r="J31" s="3432">
        <f>SUMIF(98:98,I31,99:99)-SUMIF(98:98,C31,99:99)+100</f>
        <v>100</v>
      </c>
      <c r="K31" s="3425"/>
      <c r="L31" s="3428"/>
      <c r="M31" s="3368"/>
      <c r="N31" s="3368"/>
      <c r="O31" s="3420"/>
      <c r="P31" s="3776"/>
      <c r="Q31" s="3442">
        <f t="shared" si="11"/>
        <v>111</v>
      </c>
      <c r="R31" s="3443" t="s">
        <v>3480</v>
      </c>
      <c r="S31" s="3444">
        <f t="shared" si="12"/>
        <v>100</v>
      </c>
      <c r="T31" s="3443" t="s">
        <v>3480</v>
      </c>
      <c r="U31" s="3444">
        <f t="shared" si="13"/>
        <v>100</v>
      </c>
      <c r="V31" s="3443" t="s">
        <v>3480</v>
      </c>
      <c r="W31" s="3444">
        <f t="shared" si="14"/>
        <v>100</v>
      </c>
      <c r="X31" s="3369"/>
      <c r="Y31" s="3776"/>
      <c r="Z31" s="3445">
        <f t="shared" si="15"/>
        <v>111</v>
      </c>
      <c r="AA31" s="3446">
        <f t="shared" si="3"/>
        <v>1</v>
      </c>
      <c r="AB31" s="3446">
        <f t="shared" si="4"/>
        <v>1</v>
      </c>
      <c r="AC31" s="3446">
        <f t="shared" si="5"/>
        <v>1</v>
      </c>
    </row>
    <row r="32" spans="1:29" ht="15">
      <c r="A32" s="3491" t="s">
        <v>3481</v>
      </c>
      <c r="B32" s="3492" t="s">
        <v>725</v>
      </c>
      <c r="C32" s="3493" t="s">
        <v>3385</v>
      </c>
      <c r="D32" s="3494">
        <v>100</v>
      </c>
      <c r="E32" s="3495" t="s">
        <v>3385</v>
      </c>
      <c r="F32" s="3477">
        <f>SUMIF(100:100,E32,101:101)-SUMIF(100:100,C32,101:101)+100</f>
        <v>100</v>
      </c>
      <c r="G32" s="3493" t="s">
        <v>3385</v>
      </c>
      <c r="H32" s="3494">
        <f>SUMIF(100:100,G32,101:101)-SUMIF(100:100,C32,101:101)+100</f>
        <v>100</v>
      </c>
      <c r="I32" s="3495" t="s">
        <v>3385</v>
      </c>
      <c r="J32" s="3427">
        <f>SUMIF(100:100,I32,101:101)-SUMIF(100:100,C32,101:101)+100</f>
        <v>100</v>
      </c>
      <c r="K32" s="3410">
        <v>5</v>
      </c>
      <c r="L32" s="3428"/>
      <c r="M32" s="3368"/>
      <c r="N32" s="3368"/>
      <c r="O32" s="3420"/>
      <c r="P32" s="3777" t="s">
        <v>3482</v>
      </c>
      <c r="Q32" s="3442" t="str">
        <f t="shared" si="11"/>
        <v>建筑类型</v>
      </c>
      <c r="R32" s="3443" t="s">
        <v>3483</v>
      </c>
      <c r="S32" s="3444">
        <f t="shared" si="12"/>
        <v>100</v>
      </c>
      <c r="T32" s="3443" t="s">
        <v>3483</v>
      </c>
      <c r="U32" s="3444">
        <f t="shared" si="13"/>
        <v>100</v>
      </c>
      <c r="V32" s="3443" t="s">
        <v>3483</v>
      </c>
      <c r="W32" s="3444">
        <f t="shared" si="14"/>
        <v>100</v>
      </c>
      <c r="X32" s="3369"/>
      <c r="Y32" s="3778" t="s">
        <v>3484</v>
      </c>
      <c r="Z32" s="3445" t="str">
        <f t="shared" si="15"/>
        <v>建筑类型</v>
      </c>
      <c r="AA32" s="3446">
        <f t="shared" si="3"/>
        <v>1</v>
      </c>
      <c r="AB32" s="3446">
        <f t="shared" si="4"/>
        <v>1</v>
      </c>
      <c r="AC32" s="3446">
        <f t="shared" si="5"/>
        <v>1</v>
      </c>
    </row>
    <row r="33" spans="1:29" s="3507" customFormat="1" ht="15">
      <c r="A33" s="3496"/>
      <c r="B33" s="3479" t="s">
        <v>726</v>
      </c>
      <c r="C33" s="3497">
        <v>1</v>
      </c>
      <c r="D33" s="3407">
        <v>100</v>
      </c>
      <c r="E33" s="3498">
        <v>1</v>
      </c>
      <c r="F33" s="3409">
        <f>LOOKUP(E33,103:103,104:104)-LOOKUP(C33,103:103,104:104)+100</f>
        <v>100</v>
      </c>
      <c r="G33" s="3499">
        <v>1</v>
      </c>
      <c r="H33" s="3407">
        <f>LOOKUP(G33,103:103,104:104)-LOOKUP(C33,103:103,104:104)+100</f>
        <v>100</v>
      </c>
      <c r="I33" s="3498">
        <v>1</v>
      </c>
      <c r="J33" s="3407">
        <f>LOOKUP(I33,103:103,104:104)-LOOKUP(C33,103:103,104:104)+100</f>
        <v>100</v>
      </c>
      <c r="K33" s="3425"/>
      <c r="L33" s="3419"/>
      <c r="M33" s="3500"/>
      <c r="N33" s="3500"/>
      <c r="O33" s="3501"/>
      <c r="P33" s="3778"/>
      <c r="Q33" s="3502" t="str">
        <f t="shared" si="11"/>
        <v>项目建筑规模</v>
      </c>
      <c r="R33" s="3503" t="s">
        <v>3485</v>
      </c>
      <c r="S33" s="3504">
        <f t="shared" si="12"/>
        <v>100</v>
      </c>
      <c r="T33" s="3503" t="s">
        <v>3485</v>
      </c>
      <c r="U33" s="3504">
        <f t="shared" si="13"/>
        <v>100</v>
      </c>
      <c r="V33" s="3503" t="s">
        <v>3485</v>
      </c>
      <c r="W33" s="3504">
        <f t="shared" si="14"/>
        <v>100</v>
      </c>
      <c r="X33" s="3505"/>
      <c r="Y33" s="3778"/>
      <c r="Z33" s="3506" t="str">
        <f t="shared" si="15"/>
        <v>项目建筑规模</v>
      </c>
      <c r="AA33" s="3446">
        <f t="shared" si="3"/>
        <v>1</v>
      </c>
      <c r="AB33" s="3446">
        <f t="shared" si="4"/>
        <v>1</v>
      </c>
      <c r="AC33" s="3446">
        <f t="shared" si="5"/>
        <v>1</v>
      </c>
    </row>
    <row r="34" spans="1:29" ht="15">
      <c r="A34" s="3508"/>
      <c r="B34" s="3479" t="s">
        <v>727</v>
      </c>
      <c r="C34" s="3509" t="s">
        <v>3009</v>
      </c>
      <c r="D34" s="3427">
        <v>100</v>
      </c>
      <c r="E34" s="3510" t="s">
        <v>3009</v>
      </c>
      <c r="F34" s="3477">
        <f>SUMIF(105:105,E34,106:106)-SUMIF(105:105,C34,106:106)+100</f>
        <v>100</v>
      </c>
      <c r="G34" s="3509" t="s">
        <v>3009</v>
      </c>
      <c r="H34" s="3427">
        <f>SUMIF(105:105,G34,106:106)-SUMIF(105:105,C34,106:106)+100</f>
        <v>100</v>
      </c>
      <c r="I34" s="3510" t="s">
        <v>3009</v>
      </c>
      <c r="J34" s="3427">
        <f>SUMIF(105:105,I34,106:106)-SUMIF(105:105,C34,106:106)+100</f>
        <v>100</v>
      </c>
      <c r="K34" s="3410">
        <v>2</v>
      </c>
      <c r="L34" s="3428"/>
      <c r="M34" s="3368"/>
      <c r="N34" s="3368"/>
      <c r="O34" s="3420"/>
      <c r="P34" s="3778"/>
      <c r="Q34" s="3442" t="str">
        <f t="shared" si="11"/>
        <v>建筑结构</v>
      </c>
      <c r="R34" s="3443" t="s">
        <v>3486</v>
      </c>
      <c r="S34" s="3444">
        <f t="shared" si="12"/>
        <v>100</v>
      </c>
      <c r="T34" s="3443" t="s">
        <v>3486</v>
      </c>
      <c r="U34" s="3444">
        <f t="shared" si="13"/>
        <v>100</v>
      </c>
      <c r="V34" s="3443" t="s">
        <v>3486</v>
      </c>
      <c r="W34" s="3444">
        <f t="shared" si="14"/>
        <v>100</v>
      </c>
      <c r="X34" s="3369"/>
      <c r="Y34" s="3778"/>
      <c r="Z34" s="3445" t="str">
        <f t="shared" si="15"/>
        <v>建筑结构</v>
      </c>
      <c r="AA34" s="3446">
        <f t="shared" si="3"/>
        <v>1</v>
      </c>
      <c r="AB34" s="3446">
        <f t="shared" si="4"/>
        <v>1</v>
      </c>
      <c r="AC34" s="3446">
        <f t="shared" si="5"/>
        <v>1</v>
      </c>
    </row>
    <row r="35" spans="1:29" ht="15">
      <c r="A35" s="3508"/>
      <c r="B35" s="3479" t="s">
        <v>728</v>
      </c>
      <c r="C35" s="3478" t="s">
        <v>3014</v>
      </c>
      <c r="D35" s="3427">
        <v>100</v>
      </c>
      <c r="E35" s="3476" t="s">
        <v>3014</v>
      </c>
      <c r="F35" s="3477">
        <f>SUMIF(107:107,E35,108:108)-SUMIF(107:107,C35,108:108)+100</f>
        <v>100</v>
      </c>
      <c r="G35" s="3478" t="s">
        <v>3014</v>
      </c>
      <c r="H35" s="3427">
        <f>SUMIF(107:107,G35,108:108)-SUMIF(107:107,C35,108:108)+100</f>
        <v>100</v>
      </c>
      <c r="I35" s="3476" t="s">
        <v>3014</v>
      </c>
      <c r="J35" s="3427">
        <f>SUMIF(107:107,I35,108:108)-SUMIF(107:107,C35,108:108)+100</f>
        <v>100</v>
      </c>
      <c r="K35" s="3410">
        <v>5</v>
      </c>
      <c r="L35" s="3428"/>
      <c r="M35" s="3368"/>
      <c r="N35" s="3368"/>
      <c r="O35" s="3420"/>
      <c r="P35" s="3778"/>
      <c r="Q35" s="3442" t="str">
        <f t="shared" si="11"/>
        <v>建筑品质</v>
      </c>
      <c r="R35" s="3443" t="s">
        <v>3487</v>
      </c>
      <c r="S35" s="3444">
        <f t="shared" si="12"/>
        <v>100</v>
      </c>
      <c r="T35" s="3443" t="s">
        <v>3487</v>
      </c>
      <c r="U35" s="3444">
        <f t="shared" si="13"/>
        <v>100</v>
      </c>
      <c r="V35" s="3443" t="s">
        <v>3487</v>
      </c>
      <c r="W35" s="3444">
        <f t="shared" si="14"/>
        <v>100</v>
      </c>
      <c r="X35" s="3369"/>
      <c r="Y35" s="3778"/>
      <c r="Z35" s="3445" t="str">
        <f t="shared" si="15"/>
        <v>建筑品质</v>
      </c>
      <c r="AA35" s="3446">
        <f t="shared" si="3"/>
        <v>1</v>
      </c>
      <c r="AB35" s="3446">
        <f t="shared" si="4"/>
        <v>1</v>
      </c>
      <c r="AC35" s="3446">
        <f t="shared" si="5"/>
        <v>1</v>
      </c>
    </row>
    <row r="36" spans="1:29" ht="15">
      <c r="A36" s="3508"/>
      <c r="B36" s="3479" t="s">
        <v>729</v>
      </c>
      <c r="C36" s="3478" t="s">
        <v>3017</v>
      </c>
      <c r="D36" s="3427">
        <v>100</v>
      </c>
      <c r="E36" s="3476" t="s">
        <v>3017</v>
      </c>
      <c r="F36" s="3477">
        <f>SUMIF(109:109,E36,110:110)-SUMIF(109:109,C36,110:110)+100</f>
        <v>100</v>
      </c>
      <c r="G36" s="3478" t="s">
        <v>3017</v>
      </c>
      <c r="H36" s="3427">
        <f>SUMIF(109:109,G36,110:110)-SUMIF(109:109,C36,110:110)+100</f>
        <v>100</v>
      </c>
      <c r="I36" s="3476" t="s">
        <v>3017</v>
      </c>
      <c r="J36" s="3427">
        <f>SUMIF(109:109,I36,110:110)-SUMIF(109:109,C36,110:110)+100</f>
        <v>100</v>
      </c>
      <c r="K36" s="3410">
        <v>1</v>
      </c>
      <c r="L36" s="3428"/>
      <c r="M36" s="3368"/>
      <c r="N36" s="3368"/>
      <c r="O36" s="3420"/>
      <c r="P36" s="3778"/>
      <c r="Q36" s="3442" t="str">
        <f t="shared" si="11"/>
        <v>公共部分装修</v>
      </c>
      <c r="R36" s="3443" t="s">
        <v>3488</v>
      </c>
      <c r="S36" s="3444">
        <f t="shared" si="12"/>
        <v>100</v>
      </c>
      <c r="T36" s="3443" t="s">
        <v>3488</v>
      </c>
      <c r="U36" s="3444">
        <f t="shared" si="13"/>
        <v>100</v>
      </c>
      <c r="V36" s="3443" t="s">
        <v>3488</v>
      </c>
      <c r="W36" s="3444">
        <f t="shared" si="14"/>
        <v>100</v>
      </c>
      <c r="X36" s="3369"/>
      <c r="Y36" s="3778"/>
      <c r="Z36" s="3445" t="str">
        <f t="shared" si="15"/>
        <v>公共部分装修</v>
      </c>
      <c r="AA36" s="3446">
        <f t="shared" si="3"/>
        <v>1</v>
      </c>
      <c r="AB36" s="3446">
        <f t="shared" si="4"/>
        <v>1</v>
      </c>
      <c r="AC36" s="3446">
        <f t="shared" si="5"/>
        <v>1</v>
      </c>
    </row>
    <row r="37" spans="1:29" s="3390" customFormat="1" ht="15">
      <c r="A37" s="3511"/>
      <c r="B37" s="3479" t="s">
        <v>730</v>
      </c>
      <c r="C37" s="3512">
        <v>1</v>
      </c>
      <c r="D37" s="3407">
        <v>100</v>
      </c>
      <c r="E37" s="3513">
        <v>1</v>
      </c>
      <c r="F37" s="3409">
        <f>LOOKUP(E37,112:112,113:113)-LOOKUP(C37,112:112,113:113)+100</f>
        <v>100</v>
      </c>
      <c r="G37" s="3514">
        <v>1</v>
      </c>
      <c r="H37" s="3407">
        <f>LOOKUP(G37,112:112,113:113)-LOOKUP(C37,112:112,113:113)+100</f>
        <v>100</v>
      </c>
      <c r="I37" s="3513">
        <v>1</v>
      </c>
      <c r="J37" s="3407">
        <f>LOOKUP(I37,112:112,113:113)-LOOKUP(C37,112:112,113:113)+100</f>
        <v>100</v>
      </c>
      <c r="K37" s="3410">
        <v>1</v>
      </c>
      <c r="L37" s="3384"/>
      <c r="M37" s="3385"/>
      <c r="N37" s="3385"/>
      <c r="O37" s="3402"/>
      <c r="P37" s="3778"/>
      <c r="Q37" s="3403" t="str">
        <f t="shared" si="11"/>
        <v>成新度</v>
      </c>
      <c r="R37" s="3386" t="s">
        <v>3489</v>
      </c>
      <c r="S37" s="3387">
        <f t="shared" si="12"/>
        <v>100</v>
      </c>
      <c r="T37" s="3386" t="s">
        <v>3489</v>
      </c>
      <c r="U37" s="3387">
        <f t="shared" si="13"/>
        <v>100</v>
      </c>
      <c r="V37" s="3386" t="s">
        <v>3489</v>
      </c>
      <c r="W37" s="3387">
        <f t="shared" si="14"/>
        <v>100</v>
      </c>
      <c r="X37" s="3388"/>
      <c r="Y37" s="3778"/>
      <c r="Z37" s="3404" t="str">
        <f t="shared" si="15"/>
        <v>成新度</v>
      </c>
      <c r="AA37" s="3389">
        <f t="shared" si="3"/>
        <v>1</v>
      </c>
      <c r="AB37" s="3389">
        <f t="shared" si="4"/>
        <v>1</v>
      </c>
      <c r="AC37" s="3389">
        <f t="shared" si="5"/>
        <v>1</v>
      </c>
    </row>
    <row r="38" spans="1:29" ht="15">
      <c r="A38" s="3508"/>
      <c r="B38" s="3479" t="s">
        <v>731</v>
      </c>
      <c r="C38" s="3478" t="s">
        <v>3019</v>
      </c>
      <c r="D38" s="3427">
        <v>100</v>
      </c>
      <c r="E38" s="3476" t="s">
        <v>3019</v>
      </c>
      <c r="F38" s="3477">
        <f>SUMIF(114:114,E38,115:115)-SUMIF(114:114,C38,115:115)+100</f>
        <v>100</v>
      </c>
      <c r="G38" s="3478" t="s">
        <v>3019</v>
      </c>
      <c r="H38" s="3427">
        <f>SUMIF(114:114,G38,115:115)-SUMIF(114:114,C38,115:115)+100</f>
        <v>100</v>
      </c>
      <c r="I38" s="3476" t="s">
        <v>3019</v>
      </c>
      <c r="J38" s="3427">
        <f>SUMIF(114:114,I38,115:115)-SUMIF(114:114,C38,115:115)+100</f>
        <v>100</v>
      </c>
      <c r="K38" s="3410">
        <v>3</v>
      </c>
      <c r="L38" s="3428"/>
      <c r="M38" s="3368"/>
      <c r="N38" s="3368"/>
      <c r="O38" s="3420"/>
      <c r="P38" s="3778" t="s">
        <v>3490</v>
      </c>
      <c r="Q38" s="3442" t="str">
        <f t="shared" si="11"/>
        <v>物业管理</v>
      </c>
      <c r="R38" s="3443" t="s">
        <v>3491</v>
      </c>
      <c r="S38" s="3444">
        <f t="shared" si="12"/>
        <v>100</v>
      </c>
      <c r="T38" s="3443" t="s">
        <v>3491</v>
      </c>
      <c r="U38" s="3444">
        <f t="shared" si="13"/>
        <v>100</v>
      </c>
      <c r="V38" s="3443" t="s">
        <v>3491</v>
      </c>
      <c r="W38" s="3444">
        <f t="shared" si="14"/>
        <v>100</v>
      </c>
      <c r="X38" s="3369"/>
      <c r="Y38" s="3778" t="s">
        <v>3492</v>
      </c>
      <c r="Z38" s="3445" t="str">
        <f t="shared" si="15"/>
        <v>物业管理</v>
      </c>
      <c r="AA38" s="3446">
        <f t="shared" si="3"/>
        <v>1</v>
      </c>
      <c r="AB38" s="3446">
        <f t="shared" si="4"/>
        <v>1</v>
      </c>
      <c r="AC38" s="3446">
        <f t="shared" si="5"/>
        <v>1</v>
      </c>
    </row>
    <row r="39" spans="1:29" ht="15">
      <c r="A39" s="3508"/>
      <c r="B39" s="3474" t="s">
        <v>3493</v>
      </c>
      <c r="C39" s="3478" t="s">
        <v>3031</v>
      </c>
      <c r="D39" s="3427">
        <v>100</v>
      </c>
      <c r="E39" s="3476" t="s">
        <v>3031</v>
      </c>
      <c r="F39" s="3477">
        <f>SUMIF(116:116,E39,117:117)-SUMIF(116:116,C39,117:117)+100</f>
        <v>100</v>
      </c>
      <c r="G39" s="3478" t="s">
        <v>3031</v>
      </c>
      <c r="H39" s="3427">
        <f>SUMIF(116:116,G39,117:117)-SUMIF(116:116,C39,117:117)+100</f>
        <v>100</v>
      </c>
      <c r="I39" s="3476" t="s">
        <v>3031</v>
      </c>
      <c r="J39" s="3427">
        <f>SUMIF(116:116,I39,117:117)-SUMIF(116:116,C39,117:117)+100</f>
        <v>100</v>
      </c>
      <c r="K39" s="3410">
        <v>1</v>
      </c>
      <c r="L39" s="3428"/>
      <c r="M39" s="3368"/>
      <c r="N39" s="3368"/>
      <c r="O39" s="3420"/>
      <c r="P39" s="3778"/>
      <c r="Q39" s="3442" t="str">
        <f t="shared" si="11"/>
        <v>市政基础设施</v>
      </c>
      <c r="R39" s="3443" t="s">
        <v>3494</v>
      </c>
      <c r="S39" s="3444">
        <f t="shared" si="12"/>
        <v>100</v>
      </c>
      <c r="T39" s="3443" t="s">
        <v>3494</v>
      </c>
      <c r="U39" s="3444">
        <f t="shared" si="13"/>
        <v>100</v>
      </c>
      <c r="V39" s="3443" t="s">
        <v>3494</v>
      </c>
      <c r="W39" s="3444">
        <f t="shared" si="14"/>
        <v>100</v>
      </c>
      <c r="X39" s="3369"/>
      <c r="Y39" s="3778"/>
      <c r="Z39" s="3445" t="str">
        <f t="shared" si="15"/>
        <v>市政基础设施</v>
      </c>
      <c r="AA39" s="3446">
        <f t="shared" si="3"/>
        <v>1</v>
      </c>
      <c r="AB39" s="3446">
        <f t="shared" si="4"/>
        <v>1</v>
      </c>
      <c r="AC39" s="3446">
        <f t="shared" si="5"/>
        <v>1</v>
      </c>
    </row>
    <row r="40" spans="1:29" ht="15">
      <c r="A40" s="3508"/>
      <c r="B40" s="3479" t="s">
        <v>732</v>
      </c>
      <c r="C40" s="3478"/>
      <c r="D40" s="3427">
        <v>100</v>
      </c>
      <c r="E40" s="3476"/>
      <c r="F40" s="3477">
        <f>SUMIF(118:118,E40,119:119)-SUMIF(118:118,C40,119:119)+100</f>
        <v>100</v>
      </c>
      <c r="G40" s="3478"/>
      <c r="H40" s="3427">
        <f>SUMIF(118:118,G40,119:119)-SUMIF(118:118,C40,119:119)+100</f>
        <v>100</v>
      </c>
      <c r="I40" s="3476"/>
      <c r="J40" s="3427">
        <f>SUMIF(118:118,I40,119:119)-SUMIF(118:118,C40,119:119)+100</f>
        <v>100</v>
      </c>
      <c r="K40" s="3410"/>
      <c r="L40" s="3428"/>
      <c r="M40" s="3368"/>
      <c r="N40" s="3368"/>
      <c r="O40" s="3420"/>
      <c r="P40" s="3778"/>
      <c r="Q40" s="3442" t="str">
        <f t="shared" si="11"/>
        <v>房型</v>
      </c>
      <c r="R40" s="3443" t="s">
        <v>3488</v>
      </c>
      <c r="S40" s="3444">
        <f t="shared" si="12"/>
        <v>100</v>
      </c>
      <c r="T40" s="3443" t="s">
        <v>3488</v>
      </c>
      <c r="U40" s="3444">
        <f t="shared" si="13"/>
        <v>100</v>
      </c>
      <c r="V40" s="3443" t="s">
        <v>3488</v>
      </c>
      <c r="W40" s="3444">
        <f t="shared" si="14"/>
        <v>100</v>
      </c>
      <c r="X40" s="3369"/>
      <c r="Y40" s="3778"/>
      <c r="Z40" s="3445" t="str">
        <f t="shared" si="15"/>
        <v>房型</v>
      </c>
      <c r="AA40" s="3446">
        <f t="shared" si="3"/>
        <v>1</v>
      </c>
      <c r="AB40" s="3446">
        <f t="shared" si="4"/>
        <v>1</v>
      </c>
      <c r="AC40" s="3446">
        <f t="shared" si="5"/>
        <v>1</v>
      </c>
    </row>
    <row r="41" spans="1:29" s="3507" customFormat="1" ht="28.5">
      <c r="A41" s="3496"/>
      <c r="B41" s="3479" t="s">
        <v>3495</v>
      </c>
      <c r="C41" s="3497" t="s">
        <v>3496</v>
      </c>
      <c r="D41" s="3407">
        <v>100</v>
      </c>
      <c r="E41" s="3498" t="s">
        <v>3497</v>
      </c>
      <c r="F41" s="3409">
        <f>SUMIF(120:120,E41,121:121)-SUMIF(120:120,C41,121:121)+100</f>
        <v>98</v>
      </c>
      <c r="G41" s="3499" t="s">
        <v>2503</v>
      </c>
      <c r="H41" s="3407">
        <f>SUMIF(120:120,G41,121:121)-SUMIF(120:120,C41,121:121)+100</f>
        <v>100</v>
      </c>
      <c r="I41" s="3515" t="s">
        <v>2505</v>
      </c>
      <c r="J41" s="3427">
        <f>SUMIF(120:120,I41,121:121)-SUMIF(120:120,C41,121:121)+100</f>
        <v>96</v>
      </c>
      <c r="K41" s="3425"/>
      <c r="L41" s="3419"/>
      <c r="M41" s="3500"/>
      <c r="N41" s="3500"/>
      <c r="O41" s="3501"/>
      <c r="P41" s="3778"/>
      <c r="Q41" s="3502" t="str">
        <f t="shared" si="11"/>
        <v>单套/主力户型建筑面积</v>
      </c>
      <c r="R41" s="3503" t="s">
        <v>8</v>
      </c>
      <c r="S41" s="3504">
        <f t="shared" si="12"/>
        <v>98</v>
      </c>
      <c r="T41" s="3503" t="s">
        <v>8</v>
      </c>
      <c r="U41" s="3504">
        <f t="shared" si="13"/>
        <v>100</v>
      </c>
      <c r="V41" s="3503" t="s">
        <v>8</v>
      </c>
      <c r="W41" s="3504">
        <f t="shared" si="14"/>
        <v>96</v>
      </c>
      <c r="X41" s="3505"/>
      <c r="Y41" s="3778"/>
      <c r="Z41" s="3506" t="str">
        <f t="shared" si="15"/>
        <v>单套/主力户型建筑面积</v>
      </c>
      <c r="AA41" s="3446">
        <f t="shared" si="3"/>
        <v>1.0204081632653061</v>
      </c>
      <c r="AB41" s="3446">
        <f t="shared" si="4"/>
        <v>1</v>
      </c>
      <c r="AC41" s="3446">
        <f t="shared" si="5"/>
        <v>1.0416666666666667</v>
      </c>
    </row>
    <row r="42" spans="1:29" ht="15">
      <c r="A42" s="3508"/>
      <c r="B42" s="3479" t="s">
        <v>734</v>
      </c>
      <c r="C42" s="3478" t="s">
        <v>3032</v>
      </c>
      <c r="D42" s="3427">
        <v>100</v>
      </c>
      <c r="E42" s="3476" t="s">
        <v>3032</v>
      </c>
      <c r="F42" s="3477">
        <f>SUMIF(122:122,E42,123:123)-SUMIF(122:122,C42,123:123)+100</f>
        <v>100</v>
      </c>
      <c r="G42" s="3478" t="s">
        <v>3032</v>
      </c>
      <c r="H42" s="3427">
        <f>SUMIF(122:122,G42,123:123)-SUMIF(122:122,C42,123:123)+100</f>
        <v>100</v>
      </c>
      <c r="I42" s="3476" t="s">
        <v>3032</v>
      </c>
      <c r="J42" s="3427">
        <f>SUMIF(122:122,I42,123:123)-SUMIF(122:122,C42,123:123)+100</f>
        <v>100</v>
      </c>
      <c r="K42" s="3410">
        <v>1</v>
      </c>
      <c r="L42" s="3428"/>
      <c r="M42" s="3368"/>
      <c r="N42" s="3368"/>
      <c r="O42" s="3420"/>
      <c r="P42" s="3778"/>
      <c r="Q42" s="3442" t="str">
        <f t="shared" si="11"/>
        <v>内部装修</v>
      </c>
      <c r="R42" s="3443" t="s">
        <v>3488</v>
      </c>
      <c r="S42" s="3444">
        <f t="shared" si="12"/>
        <v>100</v>
      </c>
      <c r="T42" s="3443" t="s">
        <v>3488</v>
      </c>
      <c r="U42" s="3444">
        <f t="shared" si="13"/>
        <v>100</v>
      </c>
      <c r="V42" s="3443" t="s">
        <v>3488</v>
      </c>
      <c r="W42" s="3444">
        <f t="shared" si="14"/>
        <v>100</v>
      </c>
      <c r="X42" s="3369"/>
      <c r="Y42" s="3778"/>
      <c r="Z42" s="3445" t="str">
        <f t="shared" si="15"/>
        <v>内部装修</v>
      </c>
      <c r="AA42" s="3446">
        <f t="shared" si="3"/>
        <v>1</v>
      </c>
      <c r="AB42" s="3446">
        <f t="shared" si="4"/>
        <v>1</v>
      </c>
      <c r="AC42" s="3446">
        <f t="shared" si="5"/>
        <v>1</v>
      </c>
    </row>
    <row r="43" spans="1:29" ht="27">
      <c r="A43" s="3508"/>
      <c r="B43" s="3479" t="s">
        <v>735</v>
      </c>
      <c r="C43" s="3478" t="s">
        <v>3014</v>
      </c>
      <c r="D43" s="3427">
        <v>100</v>
      </c>
      <c r="E43" s="3476" t="s">
        <v>3014</v>
      </c>
      <c r="F43" s="3477">
        <f>SUMIF(124:124,E43,125:125)-SUMIF(124:124,C43,125:125)+100</f>
        <v>100</v>
      </c>
      <c r="G43" s="3478" t="s">
        <v>3014</v>
      </c>
      <c r="H43" s="3427">
        <f>SUMIF(124:124,G43,125:125)-SUMIF(124:124,C43,125:125)+100</f>
        <v>100</v>
      </c>
      <c r="I43" s="3476" t="s">
        <v>3014</v>
      </c>
      <c r="J43" s="3427">
        <f>SUMIF(124:124,I43,125:125)-SUMIF(124:124,C43,125:125)+100</f>
        <v>100</v>
      </c>
      <c r="K43" s="3410">
        <v>2</v>
      </c>
      <c r="L43" s="3428"/>
      <c r="M43" s="3368"/>
      <c r="N43" s="3368"/>
      <c r="O43" s="3420"/>
      <c r="P43" s="3778"/>
      <c r="Q43" s="3442" t="str">
        <f t="shared" si="11"/>
        <v>内部装修维护情况</v>
      </c>
      <c r="R43" s="3443" t="s">
        <v>3483</v>
      </c>
      <c r="S43" s="3444">
        <f t="shared" si="12"/>
        <v>100</v>
      </c>
      <c r="T43" s="3443" t="s">
        <v>3483</v>
      </c>
      <c r="U43" s="3444">
        <f t="shared" si="13"/>
        <v>100</v>
      </c>
      <c r="V43" s="3443" t="s">
        <v>3483</v>
      </c>
      <c r="W43" s="3444">
        <f t="shared" si="14"/>
        <v>100</v>
      </c>
      <c r="X43" s="3369"/>
      <c r="Y43" s="3778"/>
      <c r="Z43" s="3445" t="str">
        <f t="shared" si="15"/>
        <v>内部装修维护情况</v>
      </c>
      <c r="AA43" s="3446">
        <f t="shared" si="3"/>
        <v>1</v>
      </c>
      <c r="AB43" s="3446">
        <f t="shared" si="4"/>
        <v>1</v>
      </c>
      <c r="AC43" s="3446">
        <f t="shared" si="5"/>
        <v>1</v>
      </c>
    </row>
    <row r="44" spans="1:29" s="3390" customFormat="1" ht="15">
      <c r="A44" s="3511"/>
      <c r="B44" s="3487">
        <v>111</v>
      </c>
      <c r="C44" s="3516"/>
      <c r="D44" s="3407">
        <v>100</v>
      </c>
      <c r="E44" s="3516"/>
      <c r="F44" s="3409">
        <f>SUMIF(126:126,E44,127:127)-SUMIF(126:126,C44,127:127)+100</f>
        <v>100</v>
      </c>
      <c r="G44" s="3516"/>
      <c r="H44" s="3407">
        <f>SUMIF(126:126,G44,127:127)-SUMIF(126:126,C44,127:127)+100</f>
        <v>100</v>
      </c>
      <c r="I44" s="3516"/>
      <c r="J44" s="3407">
        <f>SUMIF(126:126,I44,127:127)-SUMIF(126:126,C44,127:127)+100</f>
        <v>100</v>
      </c>
      <c r="K44" s="3425"/>
      <c r="L44" s="3384"/>
      <c r="M44" s="3385"/>
      <c r="N44" s="3385"/>
      <c r="O44" s="3402"/>
      <c r="P44" s="3778"/>
      <c r="Q44" s="3403">
        <f t="shared" si="11"/>
        <v>111</v>
      </c>
      <c r="R44" s="3386" t="s">
        <v>3483</v>
      </c>
      <c r="S44" s="3387">
        <f t="shared" si="12"/>
        <v>100</v>
      </c>
      <c r="T44" s="3386" t="s">
        <v>3483</v>
      </c>
      <c r="U44" s="3387">
        <f t="shared" si="13"/>
        <v>100</v>
      </c>
      <c r="V44" s="3386" t="s">
        <v>3483</v>
      </c>
      <c r="W44" s="3387">
        <f t="shared" si="14"/>
        <v>100</v>
      </c>
      <c r="X44" s="3388"/>
      <c r="Y44" s="3778"/>
      <c r="Z44" s="3404">
        <f t="shared" si="15"/>
        <v>111</v>
      </c>
      <c r="AA44" s="3389">
        <f t="shared" si="3"/>
        <v>1</v>
      </c>
      <c r="AB44" s="3389">
        <f t="shared" si="4"/>
        <v>1</v>
      </c>
      <c r="AC44" s="3389">
        <f t="shared" si="5"/>
        <v>1</v>
      </c>
    </row>
    <row r="45" spans="1:29" ht="15">
      <c r="A45" s="3508"/>
      <c r="B45" s="3487">
        <v>111</v>
      </c>
      <c r="C45" s="3426"/>
      <c r="D45" s="3427">
        <v>100</v>
      </c>
      <c r="E45" s="3426"/>
      <c r="F45" s="3477">
        <f>SUMIF(128:128,E45,129:129)-SUMIF(128:128,C45,129:129)+100</f>
        <v>100</v>
      </c>
      <c r="G45" s="3426"/>
      <c r="H45" s="3427">
        <f>SUMIF(128:128,G45,129:129)-SUMIF(128:128,C45,129:129)+100</f>
        <v>100</v>
      </c>
      <c r="I45" s="3426"/>
      <c r="J45" s="3427">
        <f>SUMIF(128:128,I45,129:129)-SUMIF(128:128,C45,129:129)+100</f>
        <v>100</v>
      </c>
      <c r="K45" s="3425"/>
      <c r="L45" s="3428"/>
      <c r="M45" s="3368"/>
      <c r="N45" s="3368"/>
      <c r="O45" s="3420"/>
      <c r="P45" s="3778"/>
      <c r="Q45" s="3442">
        <f t="shared" si="11"/>
        <v>111</v>
      </c>
      <c r="R45" s="3443" t="s">
        <v>3483</v>
      </c>
      <c r="S45" s="3444">
        <f t="shared" si="12"/>
        <v>100</v>
      </c>
      <c r="T45" s="3443" t="s">
        <v>3483</v>
      </c>
      <c r="U45" s="3444">
        <f t="shared" si="13"/>
        <v>100</v>
      </c>
      <c r="V45" s="3443" t="s">
        <v>3483</v>
      </c>
      <c r="W45" s="3444">
        <f t="shared" si="14"/>
        <v>100</v>
      </c>
      <c r="X45" s="3369"/>
      <c r="Y45" s="3778"/>
      <c r="Z45" s="3445">
        <f t="shared" si="15"/>
        <v>111</v>
      </c>
      <c r="AA45" s="3446">
        <f t="shared" si="3"/>
        <v>1</v>
      </c>
      <c r="AB45" s="3446">
        <f t="shared" si="4"/>
        <v>1</v>
      </c>
      <c r="AC45" s="3446">
        <f t="shared" si="5"/>
        <v>1</v>
      </c>
    </row>
    <row r="46" spans="1:29" ht="15.75" thickBot="1">
      <c r="A46" s="3517"/>
      <c r="B46" s="3518">
        <v>111</v>
      </c>
      <c r="C46" s="3431"/>
      <c r="D46" s="3432">
        <v>100</v>
      </c>
      <c r="E46" s="3431"/>
      <c r="F46" s="3433">
        <f>SUMIF(130:130,E46,131:131)-SUMIF(130:130,C46,131:131)+100</f>
        <v>100</v>
      </c>
      <c r="G46" s="3431"/>
      <c r="H46" s="3432">
        <f>SUMIF(130:130,G46,131:131)-SUMIF(130:130,C46,131:131)+100</f>
        <v>100</v>
      </c>
      <c r="I46" s="3431"/>
      <c r="J46" s="3432">
        <f>SUMIF(130:130,I46,131:131)-SUMIF(130:130,C46,131:131)+100</f>
        <v>100</v>
      </c>
      <c r="K46" s="3425"/>
      <c r="L46" s="3428"/>
      <c r="M46" s="3368"/>
      <c r="N46" s="3368"/>
      <c r="O46" s="3420"/>
      <c r="P46" s="3779"/>
      <c r="Q46" s="3442">
        <f t="shared" si="11"/>
        <v>111</v>
      </c>
      <c r="R46" s="3443" t="s">
        <v>3483</v>
      </c>
      <c r="S46" s="3444">
        <f t="shared" si="12"/>
        <v>100</v>
      </c>
      <c r="T46" s="3443" t="s">
        <v>3483</v>
      </c>
      <c r="U46" s="3444">
        <f t="shared" si="13"/>
        <v>100</v>
      </c>
      <c r="V46" s="3443" t="s">
        <v>3483</v>
      </c>
      <c r="W46" s="3444">
        <f t="shared" si="14"/>
        <v>100</v>
      </c>
      <c r="X46" s="3369"/>
      <c r="Y46" s="3779"/>
      <c r="Z46" s="3445">
        <f t="shared" si="15"/>
        <v>111</v>
      </c>
      <c r="AA46" s="3446">
        <f t="shared" si="3"/>
        <v>1</v>
      </c>
      <c r="AB46" s="3446">
        <f t="shared" si="4"/>
        <v>1</v>
      </c>
      <c r="AC46" s="3446">
        <f t="shared" si="5"/>
        <v>1</v>
      </c>
    </row>
    <row r="47" spans="1:29" ht="15">
      <c r="A47" s="3519" t="s">
        <v>3498</v>
      </c>
      <c r="B47" s="3520"/>
      <c r="C47" s="3521" t="s">
        <v>3499</v>
      </c>
      <c r="D47" s="3522"/>
      <c r="E47" s="3523">
        <v>13000</v>
      </c>
      <c r="F47" s="3524"/>
      <c r="G47" s="3525">
        <v>13500</v>
      </c>
      <c r="H47" s="3526"/>
      <c r="I47" s="3523">
        <v>15000</v>
      </c>
      <c r="J47" s="3526"/>
      <c r="K47" s="3527"/>
      <c r="L47" s="3528"/>
      <c r="M47" s="3529"/>
      <c r="N47" s="3368"/>
      <c r="O47" s="3529"/>
      <c r="P47" s="3770" t="str">
        <f>A47</f>
        <v>成交单价（元/平方米）</v>
      </c>
      <c r="Q47" s="3770"/>
      <c r="R47" s="3771">
        <f>E47</f>
        <v>13000</v>
      </c>
      <c r="S47" s="3771"/>
      <c r="T47" s="3771">
        <f>G47</f>
        <v>13500</v>
      </c>
      <c r="U47" s="3771"/>
      <c r="V47" s="3771">
        <f>I47</f>
        <v>15000</v>
      </c>
      <c r="W47" s="3771"/>
      <c r="X47" s="3530"/>
      <c r="Y47" s="3531"/>
      <c r="Z47" s="3530"/>
      <c r="AA47" s="3530"/>
      <c r="AB47" s="3530"/>
      <c r="AC47" s="3530"/>
    </row>
    <row r="48" spans="1:29" ht="15.75" thickBot="1">
      <c r="A48" s="3532" t="s">
        <v>3500</v>
      </c>
      <c r="B48" s="3533"/>
      <c r="C48" s="3534">
        <f>R49</f>
        <v>13761</v>
      </c>
      <c r="D48" s="3535"/>
      <c r="E48" s="3536">
        <f>R48</f>
        <v>13139</v>
      </c>
      <c r="F48" s="3536"/>
      <c r="G48" s="3534">
        <f>T48</f>
        <v>12975</v>
      </c>
      <c r="H48" s="3535"/>
      <c r="I48" s="3536">
        <f>V48</f>
        <v>15170</v>
      </c>
      <c r="J48" s="3535"/>
      <c r="K48" s="3537"/>
      <c r="L48" s="3528"/>
      <c r="M48" s="3529"/>
      <c r="N48" s="3529"/>
      <c r="O48" s="3529"/>
      <c r="P48" s="3770" t="str">
        <f>A48</f>
        <v>比较价格（元/平方米）</v>
      </c>
      <c r="Q48" s="3770"/>
      <c r="R48" s="3771">
        <f>IF(F1="售价",ROUND(PRODUCT(R47,AA7:AA46),0),ROUND(PRODUCT(R47,AA7:AA46),1))</f>
        <v>13139</v>
      </c>
      <c r="S48" s="3771"/>
      <c r="T48" s="3771">
        <f>IF(F1="售价",ROUND(PRODUCT(T47,AB7:AB46),0),ROUND(PRODUCT(T47,AB7:AB46),1))</f>
        <v>12975</v>
      </c>
      <c r="U48" s="3771"/>
      <c r="V48" s="3771">
        <f>IF(F1="售价",ROUND(PRODUCT(V47,AC7:AC46),0),ROUND(PRODUCT(V47,AC7:AC46),1))</f>
        <v>15170</v>
      </c>
      <c r="W48" s="3771"/>
      <c r="X48" s="3530"/>
      <c r="Y48" s="3530"/>
      <c r="Z48" s="3530"/>
      <c r="AA48" s="3530"/>
      <c r="AB48" s="3530"/>
      <c r="AC48" s="3530"/>
    </row>
    <row r="49" spans="1:29" ht="15.75" thickBot="1">
      <c r="A49" s="3538" t="s">
        <v>3501</v>
      </c>
      <c r="B49" s="3539"/>
      <c r="C49" s="3540">
        <f>R49</f>
        <v>13761</v>
      </c>
      <c r="D49" s="3540"/>
      <c r="E49" s="3540"/>
      <c r="F49" s="3540"/>
      <c r="G49" s="3540"/>
      <c r="H49" s="3540"/>
      <c r="I49" s="3540"/>
      <c r="J49" s="3540"/>
      <c r="K49" s="3541"/>
      <c r="L49" s="3528"/>
      <c r="M49" s="3529"/>
      <c r="N49" s="3529"/>
      <c r="O49" s="3529"/>
      <c r="P49" s="3772" t="str">
        <f>A49</f>
        <v>估价对象XX用房的比较价格（楼面单价，元/平方米）</v>
      </c>
      <c r="Q49" s="3773"/>
      <c r="R49" s="3774">
        <f>IF(F1="售价",ROUND(AVERAGE(R48:V48),0),ROUND(AVERAGE(R48:V48),1))</f>
        <v>13761</v>
      </c>
      <c r="S49" s="3774"/>
      <c r="T49" s="3774"/>
      <c r="U49" s="3774"/>
      <c r="V49" s="3774"/>
      <c r="W49" s="3774"/>
      <c r="X49" s="3530"/>
      <c r="Y49" s="3530"/>
      <c r="Z49" s="3530"/>
      <c r="AA49" s="3530"/>
      <c r="AB49" s="3530"/>
      <c r="AC49" s="3530"/>
    </row>
    <row r="50" spans="1:29">
      <c r="A50" s="3529"/>
      <c r="B50" s="3529"/>
      <c r="C50" s="3529"/>
      <c r="D50" s="3529"/>
      <c r="E50" s="3529"/>
      <c r="F50" s="3529"/>
      <c r="G50" s="3542"/>
      <c r="H50" s="3529"/>
      <c r="I50" s="3529"/>
      <c r="J50" s="3529"/>
      <c r="K50" s="3543"/>
      <c r="L50" s="3544"/>
      <c r="M50" s="3529"/>
      <c r="N50" s="3529"/>
      <c r="O50" s="3529"/>
      <c r="P50" s="3529"/>
      <c r="Q50" s="3529"/>
      <c r="R50" s="3529"/>
      <c r="S50" s="3529"/>
      <c r="T50" s="3529"/>
      <c r="U50" s="3529"/>
      <c r="V50" s="3529"/>
      <c r="W50" s="3529"/>
      <c r="X50" s="3529"/>
      <c r="Y50" s="3529"/>
      <c r="Z50" s="3529"/>
      <c r="AA50" s="3529"/>
      <c r="AB50" s="3529"/>
      <c r="AC50" s="3529"/>
    </row>
    <row r="51" spans="1:29">
      <c r="A51" s="3529"/>
      <c r="B51" s="3529"/>
      <c r="C51" s="3529"/>
      <c r="D51" s="3529"/>
      <c r="E51" s="3529"/>
      <c r="F51" s="3529"/>
      <c r="G51" s="3529"/>
      <c r="H51" s="3529"/>
      <c r="I51" s="3529"/>
      <c r="J51" s="3529"/>
      <c r="K51" s="3543"/>
      <c r="L51" s="3544"/>
      <c r="M51" s="3529"/>
      <c r="N51" s="3529"/>
      <c r="O51" s="3529"/>
      <c r="P51" s="3529"/>
      <c r="Q51" s="3529"/>
      <c r="R51" s="3529"/>
      <c r="S51" s="3529"/>
      <c r="T51" s="3529"/>
      <c r="U51" s="3529"/>
      <c r="V51" s="3529"/>
      <c r="W51" s="3529"/>
      <c r="X51" s="3529"/>
      <c r="Y51" s="3529"/>
      <c r="Z51" s="3529"/>
      <c r="AA51" s="3529"/>
      <c r="AB51" s="3529"/>
      <c r="AC51" s="3529"/>
    </row>
    <row r="52" spans="1:29" ht="13.5" customHeight="1">
      <c r="A52" s="3529"/>
      <c r="B52" s="3529"/>
      <c r="C52" s="3545" t="s">
        <v>3502</v>
      </c>
      <c r="D52" s="3546"/>
      <c r="E52" s="3547">
        <f>IF(E47&lt;E48,E48/E47-1,E47/E48-1)</f>
        <v>1.0692307692307779E-2</v>
      </c>
      <c r="F52" s="3548" t="str">
        <f>IF(OR(E52&gt;=0.3,E52&lt;=-0.3),"超过30%","")</f>
        <v/>
      </c>
      <c r="G52" s="3547">
        <f>IF(G47&lt;G48,G48/G47-1,G47/G48-1)</f>
        <v>4.0462427745664664E-2</v>
      </c>
      <c r="H52" s="3548" t="str">
        <f>IF(OR(G52&gt;=0.3,G52&lt;=-0.3),"超过30%","")</f>
        <v/>
      </c>
      <c r="I52" s="3547">
        <f>IF(I47&lt;I48,I48/I47-1,I47/I48-1)</f>
        <v>1.1333333333333417E-2</v>
      </c>
      <c r="J52" s="3548" t="str">
        <f>IF(OR(I52&gt;=0.3,I52&lt;=-0.3),"超过30%","")</f>
        <v/>
      </c>
      <c r="K52" s="3543"/>
      <c r="L52" s="3544"/>
      <c r="M52" s="3529"/>
      <c r="N52" s="3529"/>
      <c r="O52" s="3529"/>
      <c r="P52" s="3529"/>
      <c r="Q52" s="3529"/>
      <c r="R52" s="3529"/>
      <c r="S52" s="3529"/>
      <c r="T52" s="3529"/>
      <c r="U52" s="3529"/>
      <c r="V52" s="3529"/>
      <c r="W52" s="3529"/>
      <c r="X52" s="3529"/>
      <c r="Y52" s="3529"/>
      <c r="Z52" s="3529"/>
      <c r="AA52" s="3529"/>
      <c r="AB52" s="3529"/>
      <c r="AC52" s="3529"/>
    </row>
    <row r="53" spans="1:29" ht="13.5" customHeight="1">
      <c r="A53" s="3529"/>
      <c r="B53" s="3529"/>
      <c r="C53" s="3545" t="s">
        <v>3503</v>
      </c>
      <c r="D53" s="3549"/>
      <c r="E53" s="3547">
        <f>IF(E48&lt;G48,G48/E48-1,E48/G48-1)</f>
        <v>1.2639691714836143E-2</v>
      </c>
      <c r="F53" s="3548" t="str">
        <f>IF(OR(E53&gt;=0.2,E53&lt;=-0.2),"超过20%","")</f>
        <v/>
      </c>
      <c r="G53" s="3547">
        <f>IF(G48&lt;I48,I48/G48-1,G48/I48-1)</f>
        <v>0.16917148362235057</v>
      </c>
      <c r="H53" s="3548" t="str">
        <f>IF(OR(G53&gt;=0.2,G53&lt;=-0.2),"超过20%","")</f>
        <v/>
      </c>
      <c r="I53" s="3547">
        <f>IF(I48&lt;E48,E48/I48-1,I48/E48-1)</f>
        <v>0.1545779739706219</v>
      </c>
      <c r="J53" s="3548" t="str">
        <f>IF(OR(I53&gt;=0.2,I53&lt;=-0.2),"超过20%","")</f>
        <v/>
      </c>
      <c r="K53" s="3543"/>
      <c r="L53" s="3544"/>
      <c r="M53" s="3529"/>
      <c r="N53" s="3529"/>
      <c r="O53" s="3529"/>
      <c r="P53" s="3529"/>
      <c r="Q53" s="3529"/>
      <c r="R53" s="3529"/>
      <c r="S53" s="3529"/>
      <c r="T53" s="3529"/>
      <c r="U53" s="3529"/>
      <c r="V53" s="3529"/>
      <c r="W53" s="3529"/>
      <c r="X53" s="3529"/>
      <c r="Y53" s="3529"/>
      <c r="Z53" s="3529"/>
      <c r="AA53" s="3529"/>
      <c r="AB53" s="3529"/>
      <c r="AC53" s="3529"/>
    </row>
    <row r="54" spans="1:29" s="3553" customFormat="1" ht="13.5" customHeight="1">
      <c r="A54" s="3550"/>
      <c r="B54" s="3550"/>
      <c r="C54" s="3545" t="s">
        <v>3504</v>
      </c>
      <c r="D54" s="3549"/>
      <c r="E54" s="3547">
        <f>IF(E47&lt;G47,G47/E47-1,E47/G47-1)</f>
        <v>3.8461538461538547E-2</v>
      </c>
      <c r="F54" s="3548" t="str">
        <f>IF(OR(E54&gt;=0.3,E54&lt;=-0.3),"超过30%","")</f>
        <v/>
      </c>
      <c r="G54" s="3547">
        <f>IF(G47&lt;I47,I47/G47-1,G47/I47-1)</f>
        <v>0.11111111111111116</v>
      </c>
      <c r="H54" s="3548" t="str">
        <f>IF(OR(G54&gt;=0.3,G54&lt;=-0.3),"超过30%","")</f>
        <v/>
      </c>
      <c r="I54" s="3547">
        <f>IF(I47&lt;E47,E47/I47-1,I47/E47-1)</f>
        <v>0.15384615384615374</v>
      </c>
      <c r="J54" s="3548" t="str">
        <f>IF(OR(I54&gt;=0.3,I54&lt;=-0.3),"超过30%","")</f>
        <v/>
      </c>
      <c r="K54" s="3551"/>
      <c r="L54" s="3552"/>
      <c r="M54" s="3550"/>
      <c r="N54" s="3550"/>
      <c r="O54" s="3550"/>
      <c r="P54" s="3550"/>
      <c r="Q54" s="3550"/>
      <c r="R54" s="3550"/>
      <c r="S54" s="3550"/>
      <c r="T54" s="3550"/>
      <c r="U54" s="3550"/>
      <c r="V54" s="3550"/>
      <c r="W54" s="3550"/>
      <c r="X54" s="3550"/>
      <c r="Y54" s="3550"/>
      <c r="Z54" s="3550"/>
      <c r="AA54" s="3550"/>
      <c r="AB54" s="3550"/>
      <c r="AC54" s="3550"/>
    </row>
    <row r="55" spans="1:29" s="3553" customFormat="1">
      <c r="A55" s="3550"/>
      <c r="B55" s="3554"/>
      <c r="C55" s="3555"/>
      <c r="D55" s="3550"/>
      <c r="E55" s="3550"/>
      <c r="F55" s="3550"/>
      <c r="G55" s="3550"/>
      <c r="H55" s="3550"/>
      <c r="I55" s="3550"/>
      <c r="J55" s="3550"/>
      <c r="K55" s="3551"/>
      <c r="L55" s="3552"/>
      <c r="M55" s="3550"/>
      <c r="N55" s="3550"/>
      <c r="O55" s="3550"/>
      <c r="P55" s="3550"/>
      <c r="Q55" s="3550"/>
      <c r="R55" s="3550"/>
      <c r="S55" s="3550"/>
      <c r="T55" s="3550"/>
      <c r="U55" s="3550"/>
      <c r="V55" s="3550"/>
      <c r="W55" s="3550"/>
      <c r="X55" s="3550"/>
      <c r="Y55" s="3550"/>
      <c r="Z55" s="3550"/>
      <c r="AA55" s="3550"/>
      <c r="AB55" s="3550"/>
      <c r="AC55" s="3550"/>
    </row>
    <row r="56" spans="1:29">
      <c r="A56" s="3529"/>
      <c r="B56" s="3554"/>
      <c r="C56" s="3555"/>
      <c r="D56" s="3554"/>
      <c r="E56" s="3554"/>
      <c r="F56" s="3554"/>
      <c r="G56" s="3554"/>
      <c r="H56" s="3554"/>
      <c r="I56" s="3554"/>
      <c r="J56" s="3554"/>
      <c r="K56" s="3554"/>
      <c r="L56" s="3554"/>
      <c r="M56" s="3554"/>
      <c r="N56" s="3554"/>
      <c r="O56" s="3554"/>
      <c r="P56" s="3529"/>
      <c r="Q56" s="3529"/>
      <c r="R56" s="3529"/>
      <c r="S56" s="3529"/>
      <c r="T56" s="3529"/>
      <c r="U56" s="3529"/>
      <c r="V56" s="3529"/>
      <c r="W56" s="3529"/>
      <c r="X56" s="3529"/>
      <c r="Y56" s="3529"/>
      <c r="Z56" s="3529"/>
      <c r="AA56" s="3529"/>
      <c r="AB56" s="3529"/>
      <c r="AC56" s="3529"/>
    </row>
    <row r="57" spans="1:29" ht="21.75" thickBot="1">
      <c r="A57" s="3556" t="s">
        <v>3505</v>
      </c>
      <c r="B57" s="3530"/>
      <c r="C57" s="3557"/>
      <c r="D57" s="3557"/>
      <c r="E57" s="3557"/>
      <c r="F57" s="3558"/>
      <c r="G57" s="3558"/>
      <c r="H57" s="3557"/>
      <c r="I57" s="3557"/>
      <c r="J57" s="3557"/>
      <c r="K57" s="3559"/>
      <c r="L57" s="3560"/>
      <c r="M57" s="3557"/>
      <c r="N57" s="3557"/>
      <c r="O57" s="3557"/>
      <c r="P57" s="3561"/>
      <c r="Q57" s="3562"/>
      <c r="R57" s="3529"/>
      <c r="S57" s="3529"/>
      <c r="T57" s="3529"/>
      <c r="U57" s="3529"/>
      <c r="V57" s="3529"/>
      <c r="W57" s="3529"/>
      <c r="X57" s="3529"/>
      <c r="Y57" s="3529"/>
      <c r="Z57" s="3529"/>
      <c r="AA57" s="3529"/>
      <c r="AB57" s="3529"/>
      <c r="AC57" s="3529"/>
    </row>
    <row r="58" spans="1:29" s="3568" customFormat="1" ht="15">
      <c r="A58" s="3563" t="s">
        <v>3506</v>
      </c>
      <c r="B58" s="3564"/>
      <c r="C58" s="3565" t="str">
        <f>YEAR(C7)&amp;"-"&amp;MONTH(C7)</f>
        <v>2019-7</v>
      </c>
      <c r="D58" s="3565">
        <f>EDATE(C58,-1)</f>
        <v>43617</v>
      </c>
      <c r="E58" s="3565">
        <f t="shared" ref="E58:O58" si="16">EDATE(D58,-1)</f>
        <v>43586</v>
      </c>
      <c r="F58" s="3565">
        <f t="shared" si="16"/>
        <v>43556</v>
      </c>
      <c r="G58" s="3565">
        <f t="shared" si="16"/>
        <v>43525</v>
      </c>
      <c r="H58" s="3565">
        <f t="shared" si="16"/>
        <v>43497</v>
      </c>
      <c r="I58" s="3565">
        <f t="shared" si="16"/>
        <v>43466</v>
      </c>
      <c r="J58" s="3565">
        <f t="shared" si="16"/>
        <v>43435</v>
      </c>
      <c r="K58" s="3565">
        <f t="shared" si="16"/>
        <v>43405</v>
      </c>
      <c r="L58" s="3565">
        <f t="shared" si="16"/>
        <v>43374</v>
      </c>
      <c r="M58" s="3565">
        <f t="shared" si="16"/>
        <v>43344</v>
      </c>
      <c r="N58" s="3565">
        <f t="shared" si="16"/>
        <v>43313</v>
      </c>
      <c r="O58" s="3565">
        <f t="shared" si="16"/>
        <v>43282</v>
      </c>
      <c r="P58" s="3566"/>
      <c r="Q58" s="3567"/>
      <c r="R58" s="3567"/>
      <c r="S58" s="3567"/>
      <c r="T58" s="3567"/>
      <c r="U58" s="3567"/>
      <c r="V58" s="3567"/>
      <c r="W58" s="3567"/>
      <c r="X58" s="3567"/>
      <c r="Y58" s="3567"/>
      <c r="Z58" s="3567"/>
      <c r="AA58" s="3567"/>
      <c r="AB58" s="3567"/>
      <c r="AC58" s="3567"/>
    </row>
    <row r="59" spans="1:29" s="3390" customFormat="1" ht="15">
      <c r="A59" s="3569"/>
      <c r="B59" s="3570"/>
      <c r="C59" s="3571">
        <v>100</v>
      </c>
      <c r="D59" s="3572"/>
      <c r="E59" s="3572"/>
      <c r="F59" s="3572"/>
      <c r="G59" s="3572"/>
      <c r="H59" s="3572"/>
      <c r="I59" s="3572"/>
      <c r="J59" s="3572"/>
      <c r="K59" s="3572"/>
      <c r="L59" s="3572"/>
      <c r="M59" s="3572"/>
      <c r="N59" s="3572"/>
      <c r="O59" s="3572"/>
      <c r="P59" s="3562"/>
      <c r="Q59" s="3573"/>
      <c r="R59" s="3573"/>
      <c r="S59" s="3573"/>
      <c r="T59" s="3573"/>
      <c r="U59" s="3573"/>
      <c r="V59" s="3573"/>
      <c r="W59" s="3573"/>
      <c r="X59" s="3573"/>
      <c r="Y59" s="3573"/>
      <c r="Z59" s="3573"/>
      <c r="AA59" s="3573"/>
      <c r="AB59" s="3573"/>
      <c r="AC59" s="3573"/>
    </row>
    <row r="60" spans="1:29" s="3390" customFormat="1" ht="15.75" thickBot="1">
      <c r="A60" s="3574" t="s">
        <v>3507</v>
      </c>
      <c r="B60" s="3575"/>
      <c r="C60" s="3576"/>
      <c r="D60" s="3577"/>
      <c r="E60" s="3577"/>
      <c r="F60" s="3577"/>
      <c r="G60" s="3577"/>
      <c r="H60" s="3577"/>
      <c r="I60" s="3577"/>
      <c r="J60" s="3577"/>
      <c r="K60" s="3577"/>
      <c r="L60" s="3577"/>
      <c r="M60" s="3578"/>
      <c r="N60" s="3577"/>
      <c r="O60" s="3579"/>
      <c r="P60" s="3562"/>
      <c r="Q60" s="3562"/>
      <c r="R60" s="3573"/>
      <c r="S60" s="3573"/>
      <c r="T60" s="3573"/>
      <c r="U60" s="3573"/>
      <c r="V60" s="3573"/>
      <c r="W60" s="3573"/>
      <c r="X60" s="3573"/>
      <c r="Y60" s="3573"/>
      <c r="Z60" s="3573"/>
      <c r="AA60" s="3573"/>
      <c r="AB60" s="3573"/>
      <c r="AC60" s="3573"/>
    </row>
    <row r="61" spans="1:29" s="3390" customFormat="1" ht="15">
      <c r="A61" s="3580" t="s">
        <v>3508</v>
      </c>
      <c r="B61" s="3570"/>
      <c r="C61" s="3581" t="s">
        <v>3509</v>
      </c>
      <c r="D61" s="3582"/>
      <c r="E61" s="3582"/>
      <c r="F61" s="3582"/>
      <c r="G61" s="3582"/>
      <c r="H61" s="3582"/>
      <c r="I61" s="3582"/>
      <c r="J61" s="3582"/>
      <c r="K61" s="3582"/>
      <c r="L61" s="3583"/>
      <c r="M61" s="3584"/>
      <c r="N61" s="3585"/>
      <c r="O61" s="3585"/>
      <c r="P61" s="3586"/>
      <c r="Q61" s="3562"/>
      <c r="R61" s="3573"/>
      <c r="S61" s="3573"/>
      <c r="T61" s="3573"/>
      <c r="U61" s="3573"/>
      <c r="V61" s="3573"/>
      <c r="W61" s="3573"/>
      <c r="X61" s="3573"/>
      <c r="Y61" s="3573"/>
      <c r="Z61" s="3573"/>
      <c r="AA61" s="3573"/>
      <c r="AB61" s="3573"/>
      <c r="AC61" s="3573"/>
    </row>
    <row r="62" spans="1:29" s="3390" customFormat="1" ht="15.75" thickBot="1">
      <c r="A62" s="3580"/>
      <c r="B62" s="3570"/>
      <c r="C62" s="3587">
        <v>100</v>
      </c>
      <c r="D62" s="3572"/>
      <c r="E62" s="3572"/>
      <c r="F62" s="3572"/>
      <c r="G62" s="3572"/>
      <c r="H62" s="3572"/>
      <c r="I62" s="3572"/>
      <c r="J62" s="3572"/>
      <c r="K62" s="3572"/>
      <c r="L62" s="3572"/>
      <c r="M62" s="3588"/>
      <c r="N62" s="3585"/>
      <c r="O62" s="3585"/>
      <c r="P62" s="3562"/>
      <c r="Q62" s="3562"/>
      <c r="R62" s="3573"/>
      <c r="S62" s="3573"/>
      <c r="T62" s="3573"/>
      <c r="U62" s="3573"/>
      <c r="V62" s="3573"/>
      <c r="W62" s="3573"/>
      <c r="X62" s="3573"/>
      <c r="Y62" s="3573"/>
      <c r="Z62" s="3573"/>
      <c r="AA62" s="3573"/>
      <c r="AB62" s="3573"/>
      <c r="AC62" s="3573"/>
    </row>
    <row r="63" spans="1:29">
      <c r="A63" s="3589" t="s">
        <v>3510</v>
      </c>
      <c r="B63" s="3590" t="s">
        <v>3511</v>
      </c>
      <c r="C63" s="3591" t="str">
        <f>C9</f>
        <v>住宅</v>
      </c>
      <c r="D63" s="3592"/>
      <c r="E63" s="3592"/>
      <c r="F63" s="3592"/>
      <c r="G63" s="3592"/>
      <c r="H63" s="3592"/>
      <c r="I63" s="3592"/>
      <c r="J63" s="3592"/>
      <c r="K63" s="3593"/>
      <c r="L63" s="3594"/>
      <c r="M63" s="3595"/>
      <c r="N63" s="3596"/>
      <c r="O63" s="3596"/>
      <c r="P63" s="3597"/>
      <c r="Q63" s="3562"/>
      <c r="R63" s="3529"/>
      <c r="S63" s="3529"/>
      <c r="T63" s="3529"/>
      <c r="U63" s="3529"/>
      <c r="V63" s="3529"/>
      <c r="W63" s="3529"/>
      <c r="X63" s="3529"/>
      <c r="Y63" s="3529"/>
      <c r="Z63" s="3529"/>
      <c r="AA63" s="3529"/>
      <c r="AB63" s="3529"/>
      <c r="AC63" s="3529"/>
    </row>
    <row r="64" spans="1:29" ht="15.75" thickBot="1">
      <c r="A64" s="3598"/>
      <c r="B64" s="3599"/>
      <c r="C64" s="3600">
        <v>100</v>
      </c>
      <c r="D64" s="3600"/>
      <c r="E64" s="3601"/>
      <c r="F64" s="3601"/>
      <c r="G64" s="3601"/>
      <c r="H64" s="3601"/>
      <c r="I64" s="3601"/>
      <c r="J64" s="3601"/>
      <c r="K64" s="3601"/>
      <c r="L64" s="3601"/>
      <c r="M64" s="3602"/>
      <c r="N64" s="3603"/>
      <c r="O64" s="3603"/>
      <c r="P64" s="3597"/>
      <c r="Q64" s="3562"/>
      <c r="R64" s="3529"/>
      <c r="S64" s="3529"/>
      <c r="T64" s="3529"/>
      <c r="U64" s="3529"/>
      <c r="V64" s="3529"/>
      <c r="W64" s="3529"/>
      <c r="X64" s="3529"/>
      <c r="Y64" s="3529"/>
      <c r="Z64" s="3529"/>
      <c r="AA64" s="3529"/>
      <c r="AB64" s="3529"/>
      <c r="AC64" s="3529"/>
    </row>
    <row r="65" spans="1:29" ht="27.75" thickTop="1">
      <c r="A65" s="3598"/>
      <c r="B65" s="3604" t="s">
        <v>3512</v>
      </c>
      <c r="C65" s="3605" t="s">
        <v>3513</v>
      </c>
      <c r="D65" s="3605" t="s">
        <v>3514</v>
      </c>
      <c r="E65" s="3605" t="s">
        <v>3515</v>
      </c>
      <c r="F65" s="3605" t="s">
        <v>3516</v>
      </c>
      <c r="G65" s="3605" t="s">
        <v>3517</v>
      </c>
      <c r="H65" s="3605" t="s">
        <v>3518</v>
      </c>
      <c r="I65" s="3605" t="s">
        <v>3519</v>
      </c>
      <c r="J65" s="3605"/>
      <c r="K65" s="3606"/>
      <c r="L65" s="3607"/>
      <c r="M65" s="3608"/>
      <c r="N65" s="3596"/>
      <c r="O65" s="3596"/>
      <c r="P65" s="3597"/>
      <c r="Q65" s="3562"/>
      <c r="R65" s="3529"/>
      <c r="S65" s="3529"/>
      <c r="T65" s="3529"/>
      <c r="U65" s="3529"/>
      <c r="V65" s="3529"/>
      <c r="W65" s="3529"/>
      <c r="X65" s="3529"/>
      <c r="Y65" s="3529"/>
      <c r="Z65" s="3529"/>
      <c r="AA65" s="3529"/>
      <c r="AB65" s="3529"/>
      <c r="AC65" s="3529"/>
    </row>
    <row r="66" spans="1:29" ht="15.75" thickBot="1">
      <c r="A66" s="3598"/>
      <c r="B66" s="3609"/>
      <c r="C66" s="3610">
        <v>100</v>
      </c>
      <c r="D66" s="3610">
        <f t="shared" ref="D66:I66" si="17">C66-$K10</f>
        <v>98</v>
      </c>
      <c r="E66" s="3610">
        <f t="shared" si="17"/>
        <v>96</v>
      </c>
      <c r="F66" s="3610">
        <f t="shared" si="17"/>
        <v>94</v>
      </c>
      <c r="G66" s="3610">
        <f t="shared" si="17"/>
        <v>92</v>
      </c>
      <c r="H66" s="3610">
        <f t="shared" si="17"/>
        <v>90</v>
      </c>
      <c r="I66" s="3610">
        <f t="shared" si="17"/>
        <v>88</v>
      </c>
      <c r="J66" s="3610"/>
      <c r="K66" s="3610"/>
      <c r="L66" s="3610"/>
      <c r="M66" s="3611"/>
      <c r="N66" s="3603"/>
      <c r="O66" s="3603"/>
      <c r="P66" s="3597"/>
      <c r="Q66" s="3562"/>
      <c r="R66" s="3529"/>
      <c r="S66" s="3529"/>
      <c r="T66" s="3529"/>
      <c r="U66" s="3529"/>
      <c r="V66" s="3529"/>
      <c r="W66" s="3529"/>
      <c r="X66" s="3529"/>
      <c r="Y66" s="3529"/>
      <c r="Z66" s="3529"/>
      <c r="AA66" s="3529"/>
      <c r="AB66" s="3529"/>
      <c r="AC66" s="3529"/>
    </row>
    <row r="67" spans="1:29" ht="15.75" thickTop="1">
      <c r="A67" s="3598"/>
      <c r="B67" s="3612" t="s">
        <v>3520</v>
      </c>
      <c r="C67" s="3613" t="str">
        <f>C68&amp;"（含）"&amp;"-"&amp;D68</f>
        <v>0（含）-1</v>
      </c>
      <c r="D67" s="3613" t="str">
        <f t="shared" ref="D67:L67" si="18">D68&amp;"（含）"&amp;"-"&amp;E68</f>
        <v>1（含）-2</v>
      </c>
      <c r="E67" s="3613" t="str">
        <f t="shared" si="18"/>
        <v>2（含）-3</v>
      </c>
      <c r="F67" s="3613" t="str">
        <f t="shared" si="18"/>
        <v>3（含）-4</v>
      </c>
      <c r="G67" s="3613" t="str">
        <f t="shared" si="18"/>
        <v>4（含）-5</v>
      </c>
      <c r="H67" s="3613" t="str">
        <f t="shared" si="18"/>
        <v>5（含）-</v>
      </c>
      <c r="I67" s="3613" t="str">
        <f t="shared" si="18"/>
        <v>（含）-</v>
      </c>
      <c r="J67" s="3613" t="str">
        <f t="shared" si="18"/>
        <v>（含）-</v>
      </c>
      <c r="K67" s="3613" t="str">
        <f t="shared" si="18"/>
        <v>（含）-</v>
      </c>
      <c r="L67" s="3613" t="str">
        <f t="shared" si="18"/>
        <v>（含）-</v>
      </c>
      <c r="M67" s="3450" t="str">
        <f>M68&amp;"（含）"&amp;"-"&amp;P68</f>
        <v>（含）-</v>
      </c>
      <c r="N67" s="3603"/>
      <c r="O67" s="3603"/>
      <c r="P67" s="3597"/>
      <c r="Q67" s="3562"/>
      <c r="R67" s="3529"/>
      <c r="S67" s="3529"/>
      <c r="T67" s="3529"/>
      <c r="U67" s="3529"/>
      <c r="V67" s="3529"/>
      <c r="W67" s="3529"/>
      <c r="X67" s="3529"/>
      <c r="Y67" s="3529"/>
      <c r="Z67" s="3529"/>
      <c r="AA67" s="3529"/>
      <c r="AB67" s="3529"/>
      <c r="AC67" s="3529"/>
    </row>
    <row r="68" spans="1:29" ht="15">
      <c r="A68" s="3598"/>
      <c r="B68" s="3614"/>
      <c r="C68" s="3615">
        <v>0</v>
      </c>
      <c r="D68" s="3615">
        <v>1</v>
      </c>
      <c r="E68" s="3615">
        <v>2</v>
      </c>
      <c r="F68" s="3615">
        <v>3</v>
      </c>
      <c r="G68" s="3615">
        <v>4</v>
      </c>
      <c r="H68" s="3615">
        <v>5</v>
      </c>
      <c r="I68" s="3615"/>
      <c r="J68" s="3615"/>
      <c r="K68" s="3616"/>
      <c r="L68" s="3617"/>
      <c r="M68" s="3618"/>
      <c r="N68" s="3596"/>
      <c r="O68" s="3596"/>
      <c r="P68" s="3597"/>
      <c r="Q68" s="3562"/>
      <c r="R68" s="3529"/>
      <c r="S68" s="3529"/>
      <c r="T68" s="3529"/>
      <c r="U68" s="3529"/>
      <c r="V68" s="3529"/>
      <c r="W68" s="3529"/>
      <c r="X68" s="3529"/>
      <c r="Y68" s="3529"/>
      <c r="Z68" s="3529"/>
      <c r="AA68" s="3529"/>
      <c r="AB68" s="3529"/>
      <c r="AC68" s="3529"/>
    </row>
    <row r="69" spans="1:29" ht="15.75" thickBot="1">
      <c r="A69" s="3598"/>
      <c r="B69" s="3599"/>
      <c r="C69" s="3610">
        <v>100</v>
      </c>
      <c r="D69" s="3610">
        <f t="shared" ref="D69:M69" si="19">C69-$K11</f>
        <v>99</v>
      </c>
      <c r="E69" s="3610">
        <f t="shared" si="19"/>
        <v>98</v>
      </c>
      <c r="F69" s="3610">
        <f t="shared" si="19"/>
        <v>97</v>
      </c>
      <c r="G69" s="3610">
        <f t="shared" si="19"/>
        <v>96</v>
      </c>
      <c r="H69" s="3610">
        <f t="shared" si="19"/>
        <v>95</v>
      </c>
      <c r="I69" s="3610">
        <f t="shared" si="19"/>
        <v>94</v>
      </c>
      <c r="J69" s="3610">
        <f t="shared" si="19"/>
        <v>93</v>
      </c>
      <c r="K69" s="3610">
        <f t="shared" si="19"/>
        <v>92</v>
      </c>
      <c r="L69" s="3610">
        <f t="shared" si="19"/>
        <v>91</v>
      </c>
      <c r="M69" s="3611">
        <f t="shared" si="19"/>
        <v>90</v>
      </c>
      <c r="N69" s="3603"/>
      <c r="O69" s="3603"/>
      <c r="P69" s="3597"/>
      <c r="Q69" s="3562"/>
      <c r="R69" s="3529"/>
      <c r="S69" s="3529"/>
      <c r="T69" s="3529"/>
      <c r="U69" s="3529"/>
      <c r="V69" s="3529"/>
      <c r="W69" s="3529"/>
      <c r="X69" s="3529"/>
      <c r="Y69" s="3529"/>
      <c r="Z69" s="3529"/>
      <c r="AA69" s="3529"/>
      <c r="AB69" s="3529"/>
      <c r="AC69" s="3529"/>
    </row>
    <row r="70" spans="1:29" s="3507" customFormat="1" ht="15.75" thickTop="1">
      <c r="A70" s="3619"/>
      <c r="B70" s="3604">
        <f>B12</f>
        <v>111</v>
      </c>
      <c r="C70" s="3620"/>
      <c r="D70" s="3620"/>
      <c r="E70" s="3620"/>
      <c r="F70" s="3620"/>
      <c r="G70" s="3620"/>
      <c r="H70" s="3621"/>
      <c r="I70" s="3621"/>
      <c r="J70" s="3621"/>
      <c r="K70" s="3621"/>
      <c r="L70" s="3622"/>
      <c r="M70" s="3623"/>
      <c r="N70" s="3624"/>
      <c r="O70" s="3624"/>
      <c r="P70" s="3625"/>
      <c r="Q70" s="3626"/>
      <c r="R70" s="3627"/>
      <c r="S70" s="3627"/>
      <c r="T70" s="3627"/>
      <c r="U70" s="3627"/>
      <c r="V70" s="3627"/>
      <c r="W70" s="3627"/>
      <c r="X70" s="3627"/>
      <c r="Y70" s="3627"/>
      <c r="Z70" s="3627"/>
      <c r="AA70" s="3627"/>
      <c r="AB70" s="3627"/>
      <c r="AC70" s="3627"/>
    </row>
    <row r="71" spans="1:29" s="3507" customFormat="1" ht="15.75" thickBot="1">
      <c r="A71" s="3619"/>
      <c r="B71" s="3609"/>
      <c r="C71" s="3628"/>
      <c r="D71" s="3600"/>
      <c r="E71" s="3600"/>
      <c r="F71" s="3600"/>
      <c r="G71" s="3600"/>
      <c r="H71" s="3600"/>
      <c r="I71" s="3600"/>
      <c r="J71" s="3600"/>
      <c r="K71" s="3600"/>
      <c r="L71" s="3600"/>
      <c r="M71" s="3629"/>
      <c r="N71" s="3603"/>
      <c r="O71" s="3603"/>
      <c r="P71" s="3625"/>
      <c r="Q71" s="3626"/>
      <c r="R71" s="3627"/>
      <c r="S71" s="3627"/>
      <c r="T71" s="3627"/>
      <c r="U71" s="3627"/>
      <c r="V71" s="3627"/>
      <c r="W71" s="3627"/>
      <c r="X71" s="3627"/>
      <c r="Y71" s="3627"/>
      <c r="Z71" s="3627"/>
      <c r="AA71" s="3627"/>
      <c r="AB71" s="3627"/>
      <c r="AC71" s="3627"/>
    </row>
    <row r="72" spans="1:29" s="3507" customFormat="1" ht="15.75" thickTop="1">
      <c r="A72" s="3619"/>
      <c r="B72" s="3604">
        <f>B13</f>
        <v>111</v>
      </c>
      <c r="C72" s="3620"/>
      <c r="D72" s="3620"/>
      <c r="E72" s="3620"/>
      <c r="F72" s="3620"/>
      <c r="G72" s="3620"/>
      <c r="H72" s="3621"/>
      <c r="I72" s="3621"/>
      <c r="J72" s="3621"/>
      <c r="K72" s="3621"/>
      <c r="L72" s="3622"/>
      <c r="M72" s="3623"/>
      <c r="N72" s="3624"/>
      <c r="O72" s="3624"/>
      <c r="P72" s="3500"/>
      <c r="Q72" s="3630"/>
      <c r="R72" s="3627"/>
      <c r="S72" s="3627"/>
      <c r="T72" s="3627"/>
      <c r="U72" s="3627"/>
      <c r="V72" s="3627"/>
      <c r="W72" s="3627"/>
      <c r="X72" s="3627"/>
      <c r="Y72" s="3627"/>
      <c r="Z72" s="3627"/>
      <c r="AA72" s="3627"/>
      <c r="AB72" s="3627"/>
      <c r="AC72" s="3627"/>
    </row>
    <row r="73" spans="1:29" s="3507" customFormat="1" ht="15.75" thickBot="1">
      <c r="A73" s="3619"/>
      <c r="B73" s="3609"/>
      <c r="C73" s="3628"/>
      <c r="D73" s="3628"/>
      <c r="E73" s="3628"/>
      <c r="F73" s="3628"/>
      <c r="G73" s="3628"/>
      <c r="H73" s="3631"/>
      <c r="I73" s="3631"/>
      <c r="J73" s="3631"/>
      <c r="K73" s="3631"/>
      <c r="L73" s="3631"/>
      <c r="M73" s="3632"/>
      <c r="N73" s="3624"/>
      <c r="O73" s="3624"/>
      <c r="P73" s="3625"/>
      <c r="Q73" s="3626"/>
      <c r="R73" s="3627"/>
      <c r="S73" s="3627"/>
      <c r="T73" s="3627"/>
      <c r="U73" s="3627"/>
      <c r="V73" s="3627"/>
      <c r="W73" s="3627"/>
      <c r="X73" s="3627"/>
      <c r="Y73" s="3627"/>
      <c r="Z73" s="3627"/>
      <c r="AA73" s="3627"/>
      <c r="AB73" s="3627"/>
      <c r="AC73" s="3627"/>
    </row>
    <row r="74" spans="1:29" s="3507" customFormat="1" ht="15.75" thickTop="1">
      <c r="A74" s="3619"/>
      <c r="B74" s="3612">
        <f>B14</f>
        <v>111</v>
      </c>
      <c r="C74" s="3620"/>
      <c r="D74" s="3620"/>
      <c r="E74" s="3620"/>
      <c r="F74" s="3620"/>
      <c r="G74" s="3582"/>
      <c r="H74" s="3633"/>
      <c r="I74" s="3633"/>
      <c r="J74" s="3633"/>
      <c r="K74" s="3633"/>
      <c r="L74" s="3634"/>
      <c r="M74" s="3635"/>
      <c r="N74" s="3624"/>
      <c r="O74" s="3624"/>
      <c r="P74" s="3636"/>
      <c r="Q74" s="3626"/>
      <c r="R74" s="3627"/>
      <c r="S74" s="3627"/>
      <c r="T74" s="3627"/>
      <c r="U74" s="3627"/>
      <c r="V74" s="3627"/>
      <c r="W74" s="3627"/>
      <c r="X74" s="3627"/>
      <c r="Y74" s="3627"/>
      <c r="Z74" s="3627"/>
      <c r="AA74" s="3627"/>
      <c r="AB74" s="3627"/>
      <c r="AC74" s="3627"/>
    </row>
    <row r="75" spans="1:29" s="3507" customFormat="1" ht="15.75" thickBot="1">
      <c r="A75" s="3637"/>
      <c r="B75" s="3638"/>
      <c r="C75" s="3639"/>
      <c r="D75" s="3639"/>
      <c r="E75" s="3639"/>
      <c r="F75" s="3639"/>
      <c r="G75" s="3639"/>
      <c r="H75" s="3640"/>
      <c r="I75" s="3640"/>
      <c r="J75" s="3640"/>
      <c r="K75" s="3640"/>
      <c r="L75" s="3640"/>
      <c r="M75" s="3641"/>
      <c r="N75" s="3624"/>
      <c r="O75" s="3624"/>
      <c r="P75" s="3625"/>
      <c r="Q75" s="3626"/>
      <c r="R75" s="3627"/>
      <c r="S75" s="3627"/>
      <c r="T75" s="3627"/>
      <c r="U75" s="3627"/>
      <c r="V75" s="3627"/>
      <c r="W75" s="3627"/>
      <c r="X75" s="3627"/>
      <c r="Y75" s="3627"/>
      <c r="Z75" s="3627"/>
      <c r="AA75" s="3627"/>
      <c r="AB75" s="3627"/>
      <c r="AC75" s="3627"/>
    </row>
    <row r="76" spans="1:29">
      <c r="A76" s="3589" t="s">
        <v>3521</v>
      </c>
      <c r="B76" s="3590" t="s">
        <v>3522</v>
      </c>
      <c r="C76" s="3642" t="s">
        <v>579</v>
      </c>
      <c r="D76" s="3642" t="s">
        <v>580</v>
      </c>
      <c r="E76" s="3642" t="s">
        <v>3454</v>
      </c>
      <c r="F76" s="3642" t="s">
        <v>582</v>
      </c>
      <c r="G76" s="3642" t="s">
        <v>3455</v>
      </c>
      <c r="H76" s="3591"/>
      <c r="I76" s="3591"/>
      <c r="J76" s="3591"/>
      <c r="K76" s="3643"/>
      <c r="L76" s="3644"/>
      <c r="M76" s="3645"/>
      <c r="N76" s="3596"/>
      <c r="O76" s="3596"/>
      <c r="P76" s="3646"/>
      <c r="Q76" s="3562"/>
      <c r="R76" s="3529"/>
      <c r="S76" s="3529"/>
      <c r="T76" s="3529"/>
      <c r="U76" s="3529"/>
      <c r="V76" s="3529"/>
      <c r="W76" s="3529"/>
      <c r="X76" s="3529"/>
      <c r="Y76" s="3529"/>
      <c r="Z76" s="3529"/>
      <c r="AA76" s="3529"/>
      <c r="AB76" s="3529"/>
      <c r="AC76" s="3529"/>
    </row>
    <row r="77" spans="1:29" ht="15.75" thickBot="1">
      <c r="A77" s="3598"/>
      <c r="B77" s="3609"/>
      <c r="C77" s="3610">
        <v>100</v>
      </c>
      <c r="D77" s="3610">
        <f>C77-$K15</f>
        <v>98</v>
      </c>
      <c r="E77" s="3610">
        <f>D77-$K15</f>
        <v>96</v>
      </c>
      <c r="F77" s="3610">
        <f>E77-$K15</f>
        <v>94</v>
      </c>
      <c r="G77" s="3610">
        <f>F77-$K15</f>
        <v>92</v>
      </c>
      <c r="H77" s="3610"/>
      <c r="I77" s="3610"/>
      <c r="J77" s="3610"/>
      <c r="K77" s="3610"/>
      <c r="L77" s="3610"/>
      <c r="M77" s="3611"/>
      <c r="N77" s="3603"/>
      <c r="O77" s="3603"/>
      <c r="P77" s="3597"/>
      <c r="Q77" s="3562"/>
      <c r="R77" s="3529"/>
      <c r="S77" s="3529"/>
      <c r="T77" s="3529"/>
      <c r="U77" s="3529"/>
      <c r="V77" s="3529"/>
      <c r="W77" s="3529"/>
      <c r="X77" s="3529"/>
      <c r="Y77" s="3529"/>
      <c r="Z77" s="3529"/>
      <c r="AA77" s="3529"/>
      <c r="AB77" s="3529"/>
      <c r="AC77" s="3529"/>
    </row>
    <row r="78" spans="1:29" ht="15.75" thickTop="1">
      <c r="A78" s="3598"/>
      <c r="B78" s="3604" t="s">
        <v>586</v>
      </c>
      <c r="C78" s="3647" t="s">
        <v>579</v>
      </c>
      <c r="D78" s="3647" t="s">
        <v>580</v>
      </c>
      <c r="E78" s="3647" t="s">
        <v>3454</v>
      </c>
      <c r="F78" s="3647" t="s">
        <v>582</v>
      </c>
      <c r="G78" s="3647" t="s">
        <v>3455</v>
      </c>
      <c r="H78" s="3605"/>
      <c r="I78" s="3605"/>
      <c r="J78" s="3605"/>
      <c r="K78" s="3606"/>
      <c r="L78" s="3607"/>
      <c r="M78" s="3608"/>
      <c r="N78" s="3596"/>
      <c r="O78" s="3596"/>
      <c r="P78" s="3597"/>
      <c r="Q78" s="3562"/>
      <c r="R78" s="3529"/>
      <c r="S78" s="3529"/>
      <c r="T78" s="3529"/>
      <c r="U78" s="3529"/>
      <c r="V78" s="3529"/>
      <c r="W78" s="3529"/>
      <c r="X78" s="3529"/>
      <c r="Y78" s="3529"/>
      <c r="Z78" s="3529"/>
      <c r="AA78" s="3529"/>
      <c r="AB78" s="3529"/>
      <c r="AC78" s="3529"/>
    </row>
    <row r="79" spans="1:29" ht="15.75" thickBot="1">
      <c r="A79" s="3598"/>
      <c r="B79" s="3609"/>
      <c r="C79" s="3610">
        <v>100</v>
      </c>
      <c r="D79" s="3610">
        <f>C79-$K17</f>
        <v>98</v>
      </c>
      <c r="E79" s="3610">
        <f>D79-$K17</f>
        <v>96</v>
      </c>
      <c r="F79" s="3610">
        <f>E79-$K17</f>
        <v>94</v>
      </c>
      <c r="G79" s="3610">
        <f>F79-$K17</f>
        <v>92</v>
      </c>
      <c r="H79" s="3610"/>
      <c r="I79" s="3610"/>
      <c r="J79" s="3610"/>
      <c r="K79" s="3610"/>
      <c r="L79" s="3610"/>
      <c r="M79" s="3611"/>
      <c r="N79" s="3603"/>
      <c r="O79" s="3603"/>
      <c r="P79" s="3597"/>
      <c r="Q79" s="3562"/>
      <c r="R79" s="3529"/>
      <c r="S79" s="3529"/>
      <c r="T79" s="3529"/>
      <c r="U79" s="3529"/>
      <c r="V79" s="3529"/>
      <c r="W79" s="3529"/>
      <c r="X79" s="3529"/>
      <c r="Y79" s="3529"/>
      <c r="Z79" s="3529"/>
      <c r="AA79" s="3529"/>
      <c r="AB79" s="3529"/>
      <c r="AC79" s="3529"/>
    </row>
    <row r="80" spans="1:29" ht="15.75" thickTop="1">
      <c r="A80" s="3598"/>
      <c r="B80" s="3648" t="s">
        <v>2317</v>
      </c>
      <c r="C80" s="3647" t="s">
        <v>579</v>
      </c>
      <c r="D80" s="3647" t="s">
        <v>580</v>
      </c>
      <c r="E80" s="3647" t="s">
        <v>3454</v>
      </c>
      <c r="F80" s="3647" t="s">
        <v>582</v>
      </c>
      <c r="G80" s="3647" t="s">
        <v>3455</v>
      </c>
      <c r="H80" s="3605"/>
      <c r="I80" s="3605"/>
      <c r="J80" s="3605"/>
      <c r="K80" s="3606"/>
      <c r="L80" s="3607"/>
      <c r="M80" s="3608"/>
      <c r="N80" s="3596"/>
      <c r="O80" s="3596"/>
      <c r="P80" s="3597"/>
      <c r="Q80" s="3562"/>
      <c r="R80" s="3529"/>
      <c r="S80" s="3529"/>
      <c r="T80" s="3529"/>
      <c r="U80" s="3529"/>
      <c r="V80" s="3529"/>
      <c r="W80" s="3529"/>
      <c r="X80" s="3529"/>
      <c r="Y80" s="3529"/>
      <c r="Z80" s="3529"/>
      <c r="AA80" s="3529"/>
      <c r="AB80" s="3529"/>
      <c r="AC80" s="3529"/>
    </row>
    <row r="81" spans="1:29" ht="15.75" thickBot="1">
      <c r="A81" s="3598"/>
      <c r="B81" s="3609"/>
      <c r="C81" s="3610">
        <v>100</v>
      </c>
      <c r="D81" s="3610">
        <f>C81-$K19</f>
        <v>98</v>
      </c>
      <c r="E81" s="3610">
        <f>D81-$K19</f>
        <v>96</v>
      </c>
      <c r="F81" s="3610">
        <f>E81-$K19</f>
        <v>94</v>
      </c>
      <c r="G81" s="3610">
        <f>F81-$K19</f>
        <v>92</v>
      </c>
      <c r="H81" s="3610"/>
      <c r="I81" s="3610"/>
      <c r="J81" s="3610"/>
      <c r="K81" s="3610"/>
      <c r="L81" s="3610"/>
      <c r="M81" s="3611"/>
      <c r="N81" s="3603"/>
      <c r="O81" s="3603"/>
      <c r="P81" s="3597"/>
      <c r="Q81" s="3562"/>
      <c r="R81" s="3529"/>
      <c r="S81" s="3529"/>
      <c r="T81" s="3529"/>
      <c r="U81" s="3529"/>
      <c r="V81" s="3529"/>
      <c r="W81" s="3529"/>
      <c r="X81" s="3529"/>
      <c r="Y81" s="3529"/>
      <c r="Z81" s="3529"/>
      <c r="AA81" s="3529"/>
      <c r="AB81" s="3529"/>
      <c r="AC81" s="3529"/>
    </row>
    <row r="82" spans="1:29" ht="15.75" thickTop="1">
      <c r="A82" s="3598"/>
      <c r="B82" s="3649" t="s">
        <v>3469</v>
      </c>
      <c r="C82" s="3650" t="s">
        <v>1984</v>
      </c>
      <c r="D82" s="3650" t="s">
        <v>1983</v>
      </c>
      <c r="E82" s="3650" t="s">
        <v>1982</v>
      </c>
      <c r="F82" s="3650" t="s">
        <v>1981</v>
      </c>
      <c r="G82" s="3650" t="s">
        <v>1980</v>
      </c>
      <c r="H82" s="3605"/>
      <c r="I82" s="3605"/>
      <c r="J82" s="3605"/>
      <c r="K82" s="3605"/>
      <c r="L82" s="3605"/>
      <c r="M82" s="3651"/>
      <c r="N82" s="3603"/>
      <c r="O82" s="3603"/>
      <c r="P82" s="3597"/>
      <c r="Q82" s="3562"/>
      <c r="R82" s="3529"/>
      <c r="S82" s="3529"/>
      <c r="T82" s="3529"/>
      <c r="U82" s="3529"/>
      <c r="V82" s="3529"/>
      <c r="W82" s="3529"/>
      <c r="X82" s="3529"/>
      <c r="Y82" s="3529"/>
      <c r="Z82" s="3529"/>
      <c r="AA82" s="3529"/>
      <c r="AB82" s="3529"/>
      <c r="AC82" s="3529"/>
    </row>
    <row r="83" spans="1:29" ht="15.75" thickBot="1">
      <c r="A83" s="3598"/>
      <c r="B83" s="3612"/>
      <c r="C83" s="3610">
        <v>100</v>
      </c>
      <c r="D83" s="3610">
        <f>C83-$K21</f>
        <v>99</v>
      </c>
      <c r="E83" s="3610">
        <f>D83-$K21</f>
        <v>98</v>
      </c>
      <c r="F83" s="3610">
        <f>E83-$K21</f>
        <v>97</v>
      </c>
      <c r="G83" s="3610">
        <f>F83-$K21</f>
        <v>96</v>
      </c>
      <c r="H83" s="3652"/>
      <c r="I83" s="3652"/>
      <c r="J83" s="3652"/>
      <c r="K83" s="3652"/>
      <c r="L83" s="3652"/>
      <c r="M83" s="3454"/>
      <c r="N83" s="3603"/>
      <c r="O83" s="3603"/>
      <c r="P83" s="3597"/>
      <c r="Q83" s="3562"/>
      <c r="R83" s="3529"/>
      <c r="S83" s="3529"/>
      <c r="T83" s="3529"/>
      <c r="U83" s="3529"/>
      <c r="V83" s="3529"/>
      <c r="W83" s="3529"/>
      <c r="X83" s="3529"/>
      <c r="Y83" s="3529"/>
      <c r="Z83" s="3529"/>
      <c r="AA83" s="3529"/>
      <c r="AB83" s="3529"/>
      <c r="AC83" s="3529"/>
    </row>
    <row r="84" spans="1:29" ht="15.75" thickTop="1">
      <c r="A84" s="3598"/>
      <c r="B84" s="3604" t="s">
        <v>744</v>
      </c>
      <c r="C84" s="3647" t="s">
        <v>579</v>
      </c>
      <c r="D84" s="3647" t="s">
        <v>580</v>
      </c>
      <c r="E84" s="3647" t="s">
        <v>3454</v>
      </c>
      <c r="F84" s="3647" t="s">
        <v>582</v>
      </c>
      <c r="G84" s="3647" t="s">
        <v>3455</v>
      </c>
      <c r="H84" s="3605"/>
      <c r="I84" s="3605"/>
      <c r="J84" s="3605"/>
      <c r="K84" s="3606"/>
      <c r="L84" s="3607"/>
      <c r="M84" s="3608"/>
      <c r="N84" s="3596"/>
      <c r="O84" s="3596"/>
      <c r="P84" s="3597"/>
      <c r="Q84" s="3562"/>
      <c r="R84" s="3529"/>
      <c r="S84" s="3529"/>
      <c r="T84" s="3529"/>
      <c r="U84" s="3529"/>
      <c r="V84" s="3529"/>
      <c r="W84" s="3529"/>
      <c r="X84" s="3529"/>
      <c r="Y84" s="3529"/>
      <c r="Z84" s="3529"/>
      <c r="AA84" s="3529"/>
      <c r="AB84" s="3529"/>
      <c r="AC84" s="3529"/>
    </row>
    <row r="85" spans="1:29" ht="15.75" thickBot="1">
      <c r="A85" s="3598"/>
      <c r="B85" s="3609"/>
      <c r="C85" s="3610">
        <v>100</v>
      </c>
      <c r="D85" s="3610">
        <f>C85-$K23</f>
        <v>98</v>
      </c>
      <c r="E85" s="3610">
        <f>D85-$K23</f>
        <v>96</v>
      </c>
      <c r="F85" s="3610">
        <f>E85-$K23</f>
        <v>94</v>
      </c>
      <c r="G85" s="3610">
        <f>F85-$K23</f>
        <v>92</v>
      </c>
      <c r="H85" s="3610"/>
      <c r="I85" s="3610"/>
      <c r="J85" s="3610"/>
      <c r="K85" s="3610"/>
      <c r="L85" s="3610"/>
      <c r="M85" s="3611"/>
      <c r="N85" s="3603"/>
      <c r="O85" s="3603"/>
      <c r="P85" s="3597"/>
      <c r="Q85" s="3562"/>
      <c r="R85" s="3529"/>
      <c r="S85" s="3529"/>
      <c r="T85" s="3529"/>
      <c r="U85" s="3529"/>
      <c r="V85" s="3529"/>
      <c r="W85" s="3529"/>
      <c r="X85" s="3529"/>
      <c r="Y85" s="3529"/>
      <c r="Z85" s="3529"/>
      <c r="AA85" s="3529"/>
      <c r="AB85" s="3529"/>
      <c r="AC85" s="3529"/>
    </row>
    <row r="86" spans="1:29" s="3390" customFormat="1" ht="15.75" thickTop="1">
      <c r="A86" s="3653"/>
      <c r="B86" s="3648" t="s">
        <v>2257</v>
      </c>
      <c r="C86" s="3620"/>
      <c r="D86" s="3620"/>
      <c r="E86" s="3620"/>
      <c r="F86" s="3620"/>
      <c r="G86" s="3620"/>
      <c r="H86" s="3620"/>
      <c r="I86" s="3620"/>
      <c r="J86" s="3620"/>
      <c r="K86" s="3620"/>
      <c r="L86" s="3654"/>
      <c r="M86" s="3655"/>
      <c r="N86" s="3585"/>
      <c r="O86" s="3585"/>
      <c r="P86" s="3597"/>
      <c r="Q86" s="3562"/>
      <c r="R86" s="3573"/>
      <c r="S86" s="3573"/>
      <c r="T86" s="3573"/>
      <c r="U86" s="3573"/>
      <c r="V86" s="3573"/>
      <c r="W86" s="3573"/>
      <c r="X86" s="3573"/>
      <c r="Y86" s="3573"/>
      <c r="Z86" s="3573"/>
      <c r="AA86" s="3573"/>
      <c r="AB86" s="3573"/>
      <c r="AC86" s="3573"/>
    </row>
    <row r="87" spans="1:29" s="3390" customFormat="1" ht="15.75" thickBot="1">
      <c r="A87" s="3653"/>
      <c r="B87" s="3609"/>
      <c r="C87" s="3656">
        <v>100</v>
      </c>
      <c r="D87" s="3610">
        <f>$C$87-($C$86-D86)*$K$25</f>
        <v>100</v>
      </c>
      <c r="E87" s="3610">
        <f t="shared" ref="E87:M87" si="20">$C$87-($C$86-E86)*$K$25</f>
        <v>100</v>
      </c>
      <c r="F87" s="3610">
        <f t="shared" si="20"/>
        <v>100</v>
      </c>
      <c r="G87" s="3610">
        <f t="shared" si="20"/>
        <v>100</v>
      </c>
      <c r="H87" s="3610">
        <f t="shared" si="20"/>
        <v>100</v>
      </c>
      <c r="I87" s="3610">
        <f t="shared" si="20"/>
        <v>100</v>
      </c>
      <c r="J87" s="3610">
        <f t="shared" si="20"/>
        <v>100</v>
      </c>
      <c r="K87" s="3610">
        <f t="shared" si="20"/>
        <v>100</v>
      </c>
      <c r="L87" s="3610">
        <f t="shared" si="20"/>
        <v>100</v>
      </c>
      <c r="M87" s="3610">
        <f t="shared" si="20"/>
        <v>100</v>
      </c>
      <c r="N87" s="3603"/>
      <c r="O87" s="3603"/>
      <c r="P87" s="3597"/>
      <c r="Q87" s="3562"/>
      <c r="R87" s="3573"/>
      <c r="S87" s="3573"/>
      <c r="T87" s="3573"/>
      <c r="U87" s="3573"/>
      <c r="V87" s="3573"/>
      <c r="W87" s="3573"/>
      <c r="X87" s="3573"/>
      <c r="Y87" s="3573"/>
      <c r="Z87" s="3573"/>
      <c r="AA87" s="3573"/>
      <c r="AB87" s="3573"/>
      <c r="AC87" s="3573"/>
    </row>
    <row r="88" spans="1:29" s="3390" customFormat="1" ht="15.75" thickTop="1">
      <c r="A88" s="3653"/>
      <c r="B88" s="3604" t="s">
        <v>746</v>
      </c>
      <c r="C88" s="3620"/>
      <c r="D88" s="3620"/>
      <c r="E88" s="3620"/>
      <c r="F88" s="3657"/>
      <c r="G88" s="3620"/>
      <c r="H88" s="3620"/>
      <c r="I88" s="3620"/>
      <c r="J88" s="3620"/>
      <c r="K88" s="3620"/>
      <c r="L88" s="3620"/>
      <c r="M88" s="3655"/>
      <c r="N88" s="3585"/>
      <c r="O88" s="3585"/>
      <c r="P88" s="3597"/>
      <c r="Q88" s="3562"/>
      <c r="R88" s="3573"/>
      <c r="S88" s="3573"/>
      <c r="T88" s="3573"/>
      <c r="U88" s="3573"/>
      <c r="V88" s="3573"/>
      <c r="W88" s="3573"/>
      <c r="X88" s="3573"/>
      <c r="Y88" s="3573"/>
      <c r="Z88" s="3573"/>
      <c r="AA88" s="3573"/>
      <c r="AB88" s="3573"/>
      <c r="AC88" s="3573"/>
    </row>
    <row r="89" spans="1:29" s="3390" customFormat="1" ht="15.75" thickBot="1">
      <c r="A89" s="3653"/>
      <c r="B89" s="3609"/>
      <c r="C89" s="3656">
        <v>100</v>
      </c>
      <c r="D89" s="3610">
        <f t="shared" ref="D89:M89" si="21">C89-$K26</f>
        <v>100</v>
      </c>
      <c r="E89" s="3610">
        <f t="shared" si="21"/>
        <v>100</v>
      </c>
      <c r="F89" s="3610">
        <f t="shared" si="21"/>
        <v>100</v>
      </c>
      <c r="G89" s="3610">
        <f t="shared" si="21"/>
        <v>100</v>
      </c>
      <c r="H89" s="3610">
        <f t="shared" si="21"/>
        <v>100</v>
      </c>
      <c r="I89" s="3610">
        <f t="shared" si="21"/>
        <v>100</v>
      </c>
      <c r="J89" s="3610">
        <f t="shared" si="21"/>
        <v>100</v>
      </c>
      <c r="K89" s="3610">
        <f t="shared" si="21"/>
        <v>100</v>
      </c>
      <c r="L89" s="3610">
        <f t="shared" si="21"/>
        <v>100</v>
      </c>
      <c r="M89" s="3610">
        <f t="shared" si="21"/>
        <v>100</v>
      </c>
      <c r="N89" s="3603"/>
      <c r="O89" s="3603"/>
      <c r="P89" s="3597"/>
      <c r="Q89" s="3562"/>
      <c r="R89" s="3573"/>
      <c r="S89" s="3573"/>
      <c r="T89" s="3573"/>
      <c r="U89" s="3573"/>
      <c r="V89" s="3573"/>
      <c r="W89" s="3573"/>
      <c r="X89" s="3573"/>
      <c r="Y89" s="3573"/>
      <c r="Z89" s="3573"/>
      <c r="AA89" s="3573"/>
      <c r="AB89" s="3573"/>
      <c r="AC89" s="3573"/>
    </row>
    <row r="90" spans="1:29" s="3507" customFormat="1" ht="15.75" thickTop="1">
      <c r="A90" s="3619"/>
      <c r="B90" s="3604" t="str">
        <f>B27</f>
        <v>道路级别</v>
      </c>
      <c r="C90" s="3658" t="s">
        <v>3434</v>
      </c>
      <c r="D90" s="3658" t="s">
        <v>3435</v>
      </c>
      <c r="E90" s="3658" t="s">
        <v>3175</v>
      </c>
      <c r="F90" s="3658" t="s">
        <v>3471</v>
      </c>
      <c r="G90" s="3658" t="s">
        <v>3472</v>
      </c>
      <c r="H90" s="3621"/>
      <c r="I90" s="3621"/>
      <c r="J90" s="3621"/>
      <c r="K90" s="3621"/>
      <c r="L90" s="3622"/>
      <c r="M90" s="3623"/>
      <c r="N90" s="3624"/>
      <c r="O90" s="3624"/>
      <c r="P90" s="3625"/>
      <c r="Q90" s="3626"/>
      <c r="R90" s="3627"/>
      <c r="S90" s="3627"/>
      <c r="T90" s="3627"/>
      <c r="U90" s="3627"/>
      <c r="V90" s="3627"/>
      <c r="W90" s="3627"/>
      <c r="X90" s="3627"/>
      <c r="Y90" s="3627"/>
      <c r="Z90" s="3627"/>
      <c r="AA90" s="3627"/>
      <c r="AB90" s="3627"/>
      <c r="AC90" s="3627"/>
    </row>
    <row r="91" spans="1:29" s="3507" customFormat="1" ht="15.75" thickBot="1">
      <c r="A91" s="3619"/>
      <c r="B91" s="3609"/>
      <c r="C91" s="3628">
        <v>100</v>
      </c>
      <c r="D91" s="3628">
        <v>99</v>
      </c>
      <c r="E91" s="3628">
        <v>98</v>
      </c>
      <c r="F91" s="3628">
        <v>97</v>
      </c>
      <c r="G91" s="3628">
        <v>96</v>
      </c>
      <c r="H91" s="3631"/>
      <c r="I91" s="3631"/>
      <c r="J91" s="3631"/>
      <c r="K91" s="3631"/>
      <c r="L91" s="3631"/>
      <c r="M91" s="3632"/>
      <c r="N91" s="3624"/>
      <c r="O91" s="3624"/>
      <c r="P91" s="3625"/>
      <c r="Q91" s="3626"/>
      <c r="R91" s="3627"/>
      <c r="S91" s="3627"/>
      <c r="T91" s="3627"/>
      <c r="U91" s="3627"/>
      <c r="V91" s="3627"/>
      <c r="W91" s="3627"/>
      <c r="X91" s="3627"/>
      <c r="Y91" s="3627"/>
      <c r="Z91" s="3627"/>
      <c r="AA91" s="3627"/>
      <c r="AB91" s="3627"/>
      <c r="AC91" s="3627"/>
    </row>
    <row r="92" spans="1:29" ht="15.75" thickTop="1">
      <c r="A92" s="3598"/>
      <c r="B92" s="3604">
        <f>B28</f>
        <v>111</v>
      </c>
      <c r="C92" s="3620"/>
      <c r="D92" s="3620"/>
      <c r="E92" s="3620"/>
      <c r="F92" s="3620"/>
      <c r="G92" s="3659"/>
      <c r="H92" s="3659"/>
      <c r="I92" s="3659"/>
      <c r="J92" s="3659"/>
      <c r="K92" s="3660"/>
      <c r="L92" s="3661"/>
      <c r="M92" s="3662"/>
      <c r="N92" s="3596"/>
      <c r="O92" s="3596"/>
      <c r="P92" s="3597"/>
      <c r="Q92" s="3562"/>
      <c r="R92" s="3529"/>
      <c r="S92" s="3529"/>
      <c r="T92" s="3529"/>
      <c r="U92" s="3529"/>
      <c r="V92" s="3529"/>
      <c r="W92" s="3529"/>
      <c r="X92" s="3529"/>
      <c r="Y92" s="3529"/>
      <c r="Z92" s="3529"/>
      <c r="AA92" s="3529"/>
      <c r="AB92" s="3529"/>
      <c r="AC92" s="3529"/>
    </row>
    <row r="93" spans="1:29" ht="15.75" thickBot="1">
      <c r="A93" s="3598"/>
      <c r="B93" s="3609"/>
      <c r="C93" s="3628"/>
      <c r="D93" s="3600"/>
      <c r="E93" s="3600"/>
      <c r="F93" s="3600"/>
      <c r="G93" s="3600"/>
      <c r="H93" s="3600"/>
      <c r="I93" s="3600"/>
      <c r="J93" s="3600"/>
      <c r="K93" s="3600"/>
      <c r="L93" s="3600"/>
      <c r="M93" s="3629"/>
      <c r="N93" s="3603"/>
      <c r="O93" s="3603"/>
      <c r="P93" s="3597"/>
      <c r="Q93" s="3562"/>
      <c r="R93" s="3529"/>
      <c r="S93" s="3529"/>
      <c r="T93" s="3529"/>
      <c r="U93" s="3529"/>
      <c r="V93" s="3529"/>
      <c r="W93" s="3529"/>
      <c r="X93" s="3529"/>
      <c r="Y93" s="3529"/>
      <c r="Z93" s="3529"/>
      <c r="AA93" s="3529"/>
      <c r="AB93" s="3529"/>
      <c r="AC93" s="3529"/>
    </row>
    <row r="94" spans="1:29" ht="15.75" thickTop="1">
      <c r="A94" s="3598"/>
      <c r="B94" s="3604">
        <f>B29</f>
        <v>111</v>
      </c>
      <c r="C94" s="3620"/>
      <c r="D94" s="3620"/>
      <c r="E94" s="3620"/>
      <c r="F94" s="3620"/>
      <c r="G94" s="3659"/>
      <c r="H94" s="3659"/>
      <c r="I94" s="3659"/>
      <c r="J94" s="3659"/>
      <c r="K94" s="3660"/>
      <c r="L94" s="3661"/>
      <c r="M94" s="3662"/>
      <c r="N94" s="3596"/>
      <c r="O94" s="3596"/>
      <c r="P94" s="3597"/>
      <c r="Q94" s="3562"/>
      <c r="R94" s="3529"/>
      <c r="S94" s="3529"/>
      <c r="T94" s="3529"/>
      <c r="U94" s="3529"/>
      <c r="V94" s="3529"/>
      <c r="W94" s="3529"/>
      <c r="X94" s="3529"/>
      <c r="Y94" s="3529"/>
      <c r="Z94" s="3529"/>
      <c r="AA94" s="3529"/>
      <c r="AB94" s="3529"/>
      <c r="AC94" s="3529"/>
    </row>
    <row r="95" spans="1:29" ht="15.75" thickBot="1">
      <c r="A95" s="3598"/>
      <c r="B95" s="3609"/>
      <c r="C95" s="3628"/>
      <c r="D95" s="3628"/>
      <c r="E95" s="3628"/>
      <c r="F95" s="3628"/>
      <c r="G95" s="3600"/>
      <c r="H95" s="3600"/>
      <c r="I95" s="3600"/>
      <c r="J95" s="3600"/>
      <c r="K95" s="3600"/>
      <c r="L95" s="3600"/>
      <c r="M95" s="3629"/>
      <c r="N95" s="3603"/>
      <c r="O95" s="3603"/>
      <c r="P95" s="3597"/>
      <c r="Q95" s="3562"/>
      <c r="R95" s="3529"/>
      <c r="S95" s="3529"/>
      <c r="T95" s="3529"/>
      <c r="U95" s="3529"/>
      <c r="V95" s="3529"/>
      <c r="W95" s="3529"/>
      <c r="X95" s="3529"/>
      <c r="Y95" s="3529"/>
      <c r="Z95" s="3529"/>
      <c r="AA95" s="3529"/>
      <c r="AB95" s="3529"/>
      <c r="AC95" s="3529"/>
    </row>
    <row r="96" spans="1:29" ht="15.75" thickTop="1">
      <c r="A96" s="3598"/>
      <c r="B96" s="3604">
        <f>B30</f>
        <v>111</v>
      </c>
      <c r="C96" s="3620"/>
      <c r="D96" s="3620"/>
      <c r="E96" s="3620"/>
      <c r="F96" s="3620"/>
      <c r="G96" s="3659"/>
      <c r="H96" s="3659"/>
      <c r="I96" s="3659"/>
      <c r="J96" s="3659"/>
      <c r="K96" s="3660"/>
      <c r="L96" s="3661"/>
      <c r="M96" s="3662"/>
      <c r="N96" s="3596"/>
      <c r="O96" s="3596"/>
      <c r="P96" s="3597"/>
      <c r="Q96" s="3562"/>
      <c r="R96" s="3529"/>
      <c r="S96" s="3529"/>
      <c r="T96" s="3529"/>
      <c r="U96" s="3529"/>
      <c r="V96" s="3529"/>
      <c r="W96" s="3529"/>
      <c r="X96" s="3529"/>
      <c r="Y96" s="3529"/>
      <c r="Z96" s="3529"/>
      <c r="AA96" s="3529"/>
      <c r="AB96" s="3529"/>
      <c r="AC96" s="3529"/>
    </row>
    <row r="97" spans="1:29" ht="15.75" thickBot="1">
      <c r="A97" s="3598"/>
      <c r="B97" s="3609"/>
      <c r="C97" s="3639"/>
      <c r="D97" s="3639"/>
      <c r="E97" s="3639"/>
      <c r="F97" s="3639"/>
      <c r="G97" s="3600"/>
      <c r="H97" s="3600"/>
      <c r="I97" s="3600"/>
      <c r="J97" s="3600"/>
      <c r="K97" s="3600"/>
      <c r="L97" s="3600"/>
      <c r="M97" s="3629"/>
      <c r="N97" s="3603"/>
      <c r="O97" s="3603"/>
      <c r="P97" s="3597"/>
      <c r="Q97" s="3562"/>
      <c r="R97" s="3529"/>
      <c r="S97" s="3529"/>
      <c r="T97" s="3529"/>
      <c r="U97" s="3529"/>
      <c r="V97" s="3529"/>
      <c r="W97" s="3529"/>
      <c r="X97" s="3529"/>
      <c r="Y97" s="3529"/>
      <c r="Z97" s="3529"/>
      <c r="AA97" s="3529"/>
      <c r="AB97" s="3529"/>
      <c r="AC97" s="3529"/>
    </row>
    <row r="98" spans="1:29" ht="15.75" thickTop="1">
      <c r="A98" s="3598"/>
      <c r="B98" s="3612">
        <f>B31</f>
        <v>111</v>
      </c>
      <c r="C98" s="3663"/>
      <c r="D98" s="3663"/>
      <c r="E98" s="3663"/>
      <c r="F98" s="3663"/>
      <c r="G98" s="3663"/>
      <c r="H98" s="3663"/>
      <c r="I98" s="3663"/>
      <c r="J98" s="3663"/>
      <c r="K98" s="3664"/>
      <c r="L98" s="3665"/>
      <c r="M98" s="3666"/>
      <c r="N98" s="3596"/>
      <c r="O98" s="3596"/>
      <c r="P98" s="3597"/>
      <c r="Q98" s="3562"/>
      <c r="R98" s="3529"/>
      <c r="S98" s="3529"/>
      <c r="T98" s="3529"/>
      <c r="U98" s="3529"/>
      <c r="V98" s="3529"/>
      <c r="W98" s="3529"/>
      <c r="X98" s="3529"/>
      <c r="Y98" s="3529"/>
      <c r="Z98" s="3529"/>
      <c r="AA98" s="3529"/>
      <c r="AB98" s="3529"/>
      <c r="AC98" s="3529"/>
    </row>
    <row r="99" spans="1:29" ht="15.75" thickBot="1">
      <c r="A99" s="3667"/>
      <c r="B99" s="3638"/>
      <c r="C99" s="3668"/>
      <c r="D99" s="3668"/>
      <c r="E99" s="3668"/>
      <c r="F99" s="3668"/>
      <c r="G99" s="3668"/>
      <c r="H99" s="3668"/>
      <c r="I99" s="3668"/>
      <c r="J99" s="3668"/>
      <c r="K99" s="3668"/>
      <c r="L99" s="3668"/>
      <c r="M99" s="3669"/>
      <c r="N99" s="3603"/>
      <c r="O99" s="3603"/>
      <c r="P99" s="3597"/>
      <c r="Q99" s="3562"/>
      <c r="R99" s="3529"/>
      <c r="S99" s="3529"/>
      <c r="T99" s="3529"/>
      <c r="U99" s="3529"/>
      <c r="V99" s="3529"/>
      <c r="W99" s="3529"/>
      <c r="X99" s="3529"/>
      <c r="Y99" s="3529"/>
      <c r="Z99" s="3529"/>
      <c r="AA99" s="3529"/>
      <c r="AB99" s="3529"/>
      <c r="AC99" s="3529"/>
    </row>
    <row r="100" spans="1:29">
      <c r="A100" s="3589" t="s">
        <v>3523</v>
      </c>
      <c r="B100" s="3590" t="s">
        <v>3524</v>
      </c>
      <c r="C100" s="3670" t="s">
        <v>3525</v>
      </c>
      <c r="D100" s="3670" t="s">
        <v>3526</v>
      </c>
      <c r="E100" s="3670" t="s">
        <v>3527</v>
      </c>
      <c r="F100" s="3670"/>
      <c r="G100" s="3592"/>
      <c r="H100" s="3592"/>
      <c r="I100" s="3592"/>
      <c r="J100" s="3592"/>
      <c r="K100" s="3593"/>
      <c r="L100" s="3594"/>
      <c r="M100" s="3595"/>
      <c r="N100" s="3596"/>
      <c r="O100" s="3596"/>
      <c r="P100" s="3597"/>
      <c r="Q100" s="3562"/>
      <c r="R100" s="3529"/>
      <c r="S100" s="3529"/>
      <c r="T100" s="3529"/>
      <c r="U100" s="3529"/>
      <c r="V100" s="3529"/>
      <c r="W100" s="3529"/>
      <c r="X100" s="3529"/>
      <c r="Y100" s="3529"/>
      <c r="Z100" s="3529"/>
      <c r="AA100" s="3529"/>
      <c r="AB100" s="3529"/>
      <c r="AC100" s="3529"/>
    </row>
    <row r="101" spans="1:29" ht="15.75" thickBot="1">
      <c r="A101" s="3598"/>
      <c r="B101" s="3609"/>
      <c r="C101" s="3610">
        <v>100</v>
      </c>
      <c r="D101" s="3610">
        <f t="shared" ref="D101:M101" si="22">C101-$K32</f>
        <v>95</v>
      </c>
      <c r="E101" s="3610">
        <f t="shared" si="22"/>
        <v>90</v>
      </c>
      <c r="F101" s="3610">
        <f t="shared" si="22"/>
        <v>85</v>
      </c>
      <c r="G101" s="3610">
        <f t="shared" si="22"/>
        <v>80</v>
      </c>
      <c r="H101" s="3610">
        <f t="shared" si="22"/>
        <v>75</v>
      </c>
      <c r="I101" s="3610">
        <f t="shared" si="22"/>
        <v>70</v>
      </c>
      <c r="J101" s="3610">
        <f t="shared" si="22"/>
        <v>65</v>
      </c>
      <c r="K101" s="3610">
        <f t="shared" si="22"/>
        <v>60</v>
      </c>
      <c r="L101" s="3610">
        <f t="shared" si="22"/>
        <v>55</v>
      </c>
      <c r="M101" s="3610">
        <f t="shared" si="22"/>
        <v>50</v>
      </c>
      <c r="N101" s="3603"/>
      <c r="O101" s="3603"/>
      <c r="P101" s="3597"/>
      <c r="Q101" s="3562"/>
      <c r="R101" s="3529"/>
      <c r="S101" s="3529"/>
      <c r="T101" s="3529"/>
      <c r="U101" s="3529"/>
      <c r="V101" s="3529"/>
      <c r="W101" s="3529"/>
      <c r="X101" s="3529"/>
      <c r="Y101" s="3529"/>
      <c r="Z101" s="3529"/>
      <c r="AA101" s="3529"/>
      <c r="AB101" s="3529"/>
      <c r="AC101" s="3529"/>
    </row>
    <row r="102" spans="1:29" ht="15.75" thickTop="1">
      <c r="A102" s="3598"/>
      <c r="B102" s="3604" t="s">
        <v>3528</v>
      </c>
      <c r="C102" s="3647" t="str">
        <f>C103&amp;"(含)"&amp;"-"&amp;D103</f>
        <v>1(含)-1</v>
      </c>
      <c r="D102" s="3647" t="str">
        <f t="shared" ref="D102:L102" si="23">D103&amp;"(含)"&amp;"-"&amp;E103</f>
        <v>1(含)-1</v>
      </c>
      <c r="E102" s="3647" t="str">
        <f t="shared" si="23"/>
        <v>1(含)-</v>
      </c>
      <c r="F102" s="3647" t="str">
        <f t="shared" si="23"/>
        <v>(含)-</v>
      </c>
      <c r="G102" s="3647" t="str">
        <f t="shared" si="23"/>
        <v>(含)-</v>
      </c>
      <c r="H102" s="3647" t="str">
        <f t="shared" si="23"/>
        <v>(含)-</v>
      </c>
      <c r="I102" s="3647" t="str">
        <f t="shared" si="23"/>
        <v>(含)-</v>
      </c>
      <c r="J102" s="3647" t="str">
        <f t="shared" si="23"/>
        <v>(含)-</v>
      </c>
      <c r="K102" s="3647" t="str">
        <f t="shared" si="23"/>
        <v>(含)-</v>
      </c>
      <c r="L102" s="3647" t="str">
        <f t="shared" si="23"/>
        <v>(含)-</v>
      </c>
      <c r="M102" s="3647" t="str">
        <f>M103&amp;"(含)"&amp;"-"&amp;P103</f>
        <v>(含)-</v>
      </c>
      <c r="N102" s="3585"/>
      <c r="O102" s="3585"/>
      <c r="P102" s="3597"/>
      <c r="Q102" s="3562"/>
      <c r="R102" s="3529"/>
      <c r="S102" s="3529"/>
      <c r="T102" s="3529"/>
      <c r="U102" s="3529"/>
      <c r="V102" s="3529"/>
      <c r="W102" s="3529"/>
      <c r="X102" s="3529"/>
      <c r="Y102" s="3529"/>
      <c r="Z102" s="3529"/>
      <c r="AA102" s="3529"/>
      <c r="AB102" s="3529"/>
      <c r="AC102" s="3529"/>
    </row>
    <row r="103" spans="1:29" s="3507" customFormat="1">
      <c r="A103" s="3671"/>
      <c r="B103" s="3672"/>
      <c r="C103" s="3673">
        <v>1</v>
      </c>
      <c r="D103" s="3673">
        <v>1</v>
      </c>
      <c r="E103" s="3673">
        <v>1</v>
      </c>
      <c r="F103" s="3674"/>
      <c r="G103" s="3674"/>
      <c r="H103" s="3674"/>
      <c r="I103" s="3674"/>
      <c r="J103" s="3675"/>
      <c r="K103" s="3675"/>
      <c r="L103" s="3676"/>
      <c r="M103" s="3677"/>
      <c r="N103" s="3624"/>
      <c r="O103" s="3624"/>
      <c r="P103" s="3625"/>
      <c r="Q103" s="3626"/>
      <c r="R103" s="3627"/>
      <c r="S103" s="3627"/>
      <c r="T103" s="3627"/>
      <c r="U103" s="3627"/>
      <c r="V103" s="3627"/>
      <c r="W103" s="3627"/>
      <c r="X103" s="3627"/>
      <c r="Y103" s="3627"/>
      <c r="Z103" s="3627"/>
      <c r="AA103" s="3627"/>
      <c r="AB103" s="3627"/>
      <c r="AC103" s="3627"/>
    </row>
    <row r="104" spans="1:29" s="3507" customFormat="1" ht="15.75" thickBot="1">
      <c r="A104" s="3619"/>
      <c r="B104" s="3609"/>
      <c r="C104" s="3628">
        <v>100</v>
      </c>
      <c r="D104" s="3600">
        <v>97</v>
      </c>
      <c r="E104" s="3600">
        <v>94</v>
      </c>
      <c r="F104" s="3600"/>
      <c r="G104" s="3600"/>
      <c r="H104" s="3600"/>
      <c r="I104" s="3600"/>
      <c r="J104" s="3600"/>
      <c r="K104" s="3600"/>
      <c r="L104" s="3600"/>
      <c r="M104" s="3600"/>
      <c r="N104" s="3603"/>
      <c r="O104" s="3603"/>
      <c r="P104" s="3625"/>
      <c r="Q104" s="3626"/>
      <c r="R104" s="3627"/>
      <c r="S104" s="3627"/>
      <c r="T104" s="3627"/>
      <c r="U104" s="3627"/>
      <c r="V104" s="3627"/>
      <c r="W104" s="3627"/>
      <c r="X104" s="3627"/>
      <c r="Y104" s="3627"/>
      <c r="Z104" s="3627"/>
      <c r="AA104" s="3627"/>
      <c r="AB104" s="3627"/>
      <c r="AC104" s="3627"/>
    </row>
    <row r="105" spans="1:29" ht="15" thickTop="1">
      <c r="A105" s="3678"/>
      <c r="B105" s="3604" t="s">
        <v>749</v>
      </c>
      <c r="C105" s="3658" t="s">
        <v>2371</v>
      </c>
      <c r="D105" s="3620"/>
      <c r="E105" s="3659"/>
      <c r="F105" s="3659"/>
      <c r="G105" s="3659"/>
      <c r="H105" s="3659"/>
      <c r="I105" s="3659"/>
      <c r="J105" s="3659"/>
      <c r="K105" s="3660"/>
      <c r="L105" s="3661"/>
      <c r="M105" s="3662"/>
      <c r="N105" s="3596"/>
      <c r="O105" s="3596"/>
      <c r="P105" s="3597"/>
      <c r="Q105" s="3562"/>
      <c r="R105" s="3529"/>
      <c r="S105" s="3529"/>
      <c r="T105" s="3529"/>
      <c r="U105" s="3529"/>
      <c r="V105" s="3529"/>
      <c r="W105" s="3529"/>
      <c r="X105" s="3529"/>
      <c r="Y105" s="3529"/>
      <c r="Z105" s="3529"/>
      <c r="AA105" s="3529"/>
      <c r="AB105" s="3529"/>
      <c r="AC105" s="3529"/>
    </row>
    <row r="106" spans="1:29" ht="15.75" thickBot="1">
      <c r="A106" s="3598"/>
      <c r="B106" s="3609"/>
      <c r="C106" s="3610">
        <v>100</v>
      </c>
      <c r="D106" s="3610">
        <f t="shared" ref="D106:M106" si="24">C106-$K34</f>
        <v>98</v>
      </c>
      <c r="E106" s="3610">
        <f t="shared" si="24"/>
        <v>96</v>
      </c>
      <c r="F106" s="3610">
        <f t="shared" si="24"/>
        <v>94</v>
      </c>
      <c r="G106" s="3610">
        <f t="shared" si="24"/>
        <v>92</v>
      </c>
      <c r="H106" s="3610">
        <f t="shared" si="24"/>
        <v>90</v>
      </c>
      <c r="I106" s="3610">
        <f t="shared" si="24"/>
        <v>88</v>
      </c>
      <c r="J106" s="3610">
        <f t="shared" si="24"/>
        <v>86</v>
      </c>
      <c r="K106" s="3610">
        <f t="shared" si="24"/>
        <v>84</v>
      </c>
      <c r="L106" s="3610">
        <f t="shared" si="24"/>
        <v>82</v>
      </c>
      <c r="M106" s="3610">
        <f t="shared" si="24"/>
        <v>80</v>
      </c>
      <c r="N106" s="3603"/>
      <c r="O106" s="3603"/>
      <c r="P106" s="3597"/>
      <c r="Q106" s="3562"/>
      <c r="R106" s="3529"/>
      <c r="S106" s="3529"/>
      <c r="T106" s="3529"/>
      <c r="U106" s="3529"/>
      <c r="V106" s="3529"/>
      <c r="W106" s="3529"/>
      <c r="X106" s="3529"/>
      <c r="Y106" s="3529"/>
      <c r="Z106" s="3529"/>
      <c r="AA106" s="3529"/>
      <c r="AB106" s="3529"/>
      <c r="AC106" s="3529"/>
    </row>
    <row r="107" spans="1:29" ht="15" thickTop="1">
      <c r="A107" s="3678"/>
      <c r="B107" s="3604" t="s">
        <v>750</v>
      </c>
      <c r="C107" s="3679" t="s">
        <v>3446</v>
      </c>
      <c r="D107" s="3679" t="s">
        <v>3447</v>
      </c>
      <c r="E107" s="3679" t="s">
        <v>3448</v>
      </c>
      <c r="F107" s="3659"/>
      <c r="G107" s="3659"/>
      <c r="H107" s="3659"/>
      <c r="I107" s="3659"/>
      <c r="J107" s="3659"/>
      <c r="K107" s="3660"/>
      <c r="L107" s="3661"/>
      <c r="M107" s="3662"/>
      <c r="N107" s="3596"/>
      <c r="O107" s="3596"/>
      <c r="P107" s="3597"/>
      <c r="Q107" s="3562"/>
      <c r="R107" s="3529"/>
      <c r="S107" s="3529"/>
      <c r="T107" s="3529"/>
      <c r="U107" s="3529"/>
      <c r="V107" s="3529"/>
      <c r="W107" s="3529"/>
      <c r="X107" s="3529"/>
      <c r="Y107" s="3529"/>
      <c r="Z107" s="3529"/>
      <c r="AA107" s="3529"/>
      <c r="AB107" s="3529"/>
      <c r="AC107" s="3529"/>
    </row>
    <row r="108" spans="1:29" ht="15.75" thickBot="1">
      <c r="A108" s="3598"/>
      <c r="B108" s="3609"/>
      <c r="C108" s="3610">
        <v>100</v>
      </c>
      <c r="D108" s="3610">
        <f t="shared" ref="D108:M108" si="25">C108-$K35</f>
        <v>95</v>
      </c>
      <c r="E108" s="3610">
        <f t="shared" si="25"/>
        <v>90</v>
      </c>
      <c r="F108" s="3610">
        <f t="shared" si="25"/>
        <v>85</v>
      </c>
      <c r="G108" s="3610">
        <f t="shared" si="25"/>
        <v>80</v>
      </c>
      <c r="H108" s="3610">
        <f t="shared" si="25"/>
        <v>75</v>
      </c>
      <c r="I108" s="3610">
        <f t="shared" si="25"/>
        <v>70</v>
      </c>
      <c r="J108" s="3610">
        <f t="shared" si="25"/>
        <v>65</v>
      </c>
      <c r="K108" s="3610">
        <f t="shared" si="25"/>
        <v>60</v>
      </c>
      <c r="L108" s="3610">
        <f t="shared" si="25"/>
        <v>55</v>
      </c>
      <c r="M108" s="3610">
        <f t="shared" si="25"/>
        <v>50</v>
      </c>
      <c r="N108" s="3603"/>
      <c r="O108" s="3603"/>
      <c r="P108" s="3597"/>
      <c r="Q108" s="3562"/>
      <c r="R108" s="3529"/>
      <c r="S108" s="3529"/>
      <c r="T108" s="3529"/>
      <c r="U108" s="3529"/>
      <c r="V108" s="3529"/>
      <c r="W108" s="3529"/>
      <c r="X108" s="3529"/>
      <c r="Y108" s="3529"/>
      <c r="Z108" s="3529"/>
      <c r="AA108" s="3529"/>
      <c r="AB108" s="3529"/>
      <c r="AC108" s="3529"/>
    </row>
    <row r="109" spans="1:29" ht="15" thickTop="1">
      <c r="A109" s="3678"/>
      <c r="B109" s="3604" t="s">
        <v>751</v>
      </c>
      <c r="C109" s="3658" t="s">
        <v>3449</v>
      </c>
      <c r="D109" s="3620"/>
      <c r="E109" s="3620"/>
      <c r="F109" s="3659"/>
      <c r="G109" s="3659"/>
      <c r="H109" s="3659"/>
      <c r="I109" s="3659"/>
      <c r="J109" s="3659"/>
      <c r="K109" s="3660"/>
      <c r="L109" s="3661"/>
      <c r="M109" s="3662"/>
      <c r="N109" s="3596"/>
      <c r="O109" s="3596"/>
      <c r="P109" s="3597"/>
      <c r="Q109" s="3562"/>
      <c r="R109" s="3529"/>
      <c r="S109" s="3529"/>
      <c r="T109" s="3529"/>
      <c r="U109" s="3529"/>
      <c r="V109" s="3529"/>
      <c r="W109" s="3529"/>
      <c r="X109" s="3529"/>
      <c r="Y109" s="3529"/>
      <c r="Z109" s="3529"/>
      <c r="AA109" s="3529"/>
      <c r="AB109" s="3529"/>
      <c r="AC109" s="3529"/>
    </row>
    <row r="110" spans="1:29" ht="15.75" thickBot="1">
      <c r="A110" s="3598"/>
      <c r="B110" s="3609"/>
      <c r="C110" s="3610">
        <v>100</v>
      </c>
      <c r="D110" s="3610">
        <f t="shared" ref="D110:M110" si="26">C110-$K36</f>
        <v>99</v>
      </c>
      <c r="E110" s="3610">
        <f t="shared" si="26"/>
        <v>98</v>
      </c>
      <c r="F110" s="3610">
        <f t="shared" si="26"/>
        <v>97</v>
      </c>
      <c r="G110" s="3610">
        <f t="shared" si="26"/>
        <v>96</v>
      </c>
      <c r="H110" s="3610">
        <f t="shared" si="26"/>
        <v>95</v>
      </c>
      <c r="I110" s="3610">
        <f t="shared" si="26"/>
        <v>94</v>
      </c>
      <c r="J110" s="3610">
        <f t="shared" si="26"/>
        <v>93</v>
      </c>
      <c r="K110" s="3610">
        <f t="shared" si="26"/>
        <v>92</v>
      </c>
      <c r="L110" s="3610">
        <f t="shared" si="26"/>
        <v>91</v>
      </c>
      <c r="M110" s="3610">
        <f t="shared" si="26"/>
        <v>90</v>
      </c>
      <c r="N110" s="3603"/>
      <c r="O110" s="3603"/>
      <c r="P110" s="3597"/>
      <c r="Q110" s="3562"/>
      <c r="R110" s="3529"/>
      <c r="S110" s="3529"/>
      <c r="T110" s="3529"/>
      <c r="U110" s="3529"/>
      <c r="V110" s="3529"/>
      <c r="W110" s="3529"/>
      <c r="X110" s="3529"/>
      <c r="Y110" s="3529"/>
      <c r="Z110" s="3529"/>
      <c r="AA110" s="3529"/>
      <c r="AB110" s="3529"/>
      <c r="AC110" s="3529"/>
    </row>
    <row r="111" spans="1:29" s="3507" customFormat="1" ht="15" thickTop="1">
      <c r="A111" s="3671"/>
      <c r="B111" s="3604" t="s">
        <v>752</v>
      </c>
      <c r="C111" s="3647" t="str">
        <f>C112&amp;"(含)"&amp;"-"&amp;D112</f>
        <v>0.5(含)-0.6</v>
      </c>
      <c r="D111" s="3647" t="str">
        <f>D112&amp;"(含)"&amp;"-"&amp;E112</f>
        <v>0.6(含)-0.7</v>
      </c>
      <c r="E111" s="3647" t="str">
        <f>E112&amp;"(含)"&amp;"-"&amp;F112</f>
        <v>0.7(含)-0.8</v>
      </c>
      <c r="F111" s="3647" t="str">
        <f>F112&amp;"(含)"&amp;"-"&amp;G112</f>
        <v>0.8(含)-0.9</v>
      </c>
      <c r="G111" s="3647" t="str">
        <f>G112&amp;"(含)"&amp;"-"&amp;ROUND(H112,0)</f>
        <v>0.9(含)-1</v>
      </c>
      <c r="H111" s="3647" t="str">
        <f>ROUND(H112,0)&amp;"(含)"&amp;"-"&amp;I112</f>
        <v>1(含)-</v>
      </c>
      <c r="I111" s="3647"/>
      <c r="J111" s="3680"/>
      <c r="K111" s="3680"/>
      <c r="L111" s="3681"/>
      <c r="M111" s="3682"/>
      <c r="N111" s="3624"/>
      <c r="O111" s="3624"/>
      <c r="P111" s="3625"/>
      <c r="Q111" s="3626"/>
      <c r="R111" s="3627"/>
      <c r="S111" s="3627"/>
      <c r="T111" s="3627"/>
      <c r="U111" s="3627"/>
      <c r="V111" s="3627"/>
      <c r="W111" s="3627"/>
      <c r="X111" s="3627"/>
      <c r="Y111" s="3627"/>
      <c r="Z111" s="3627"/>
      <c r="AA111" s="3627"/>
      <c r="AB111" s="3627"/>
      <c r="AC111" s="3627"/>
    </row>
    <row r="112" spans="1:29" s="3507" customFormat="1">
      <c r="A112" s="3671"/>
      <c r="B112" s="3612"/>
      <c r="C112" s="3683">
        <v>0.5</v>
      </c>
      <c r="D112" s="3683">
        <v>0.6</v>
      </c>
      <c r="E112" s="3683">
        <v>0.7</v>
      </c>
      <c r="F112" s="3683">
        <v>0.8</v>
      </c>
      <c r="G112" s="3683">
        <v>0.9</v>
      </c>
      <c r="H112" s="3683">
        <v>1.0001</v>
      </c>
      <c r="I112" s="3683"/>
      <c r="J112" s="3684"/>
      <c r="K112" s="3684"/>
      <c r="L112" s="3685"/>
      <c r="M112" s="3686"/>
      <c r="N112" s="3624"/>
      <c r="O112" s="3624"/>
      <c r="P112" s="3625"/>
      <c r="Q112" s="3626"/>
      <c r="R112" s="3627"/>
      <c r="S112" s="3627"/>
      <c r="T112" s="3627"/>
      <c r="U112" s="3627"/>
      <c r="V112" s="3627"/>
      <c r="W112" s="3627"/>
      <c r="X112" s="3627"/>
      <c r="Y112" s="3627"/>
      <c r="Z112" s="3627"/>
      <c r="AA112" s="3627"/>
      <c r="AB112" s="3627"/>
      <c r="AC112" s="3627"/>
    </row>
    <row r="113" spans="1:29" s="3507" customFormat="1" ht="15.75" thickBot="1">
      <c r="A113" s="3619"/>
      <c r="B113" s="3609"/>
      <c r="C113" s="3656">
        <v>100</v>
      </c>
      <c r="D113" s="3610">
        <f>C113+$K37</f>
        <v>101</v>
      </c>
      <c r="E113" s="3610">
        <f>D113+$K37</f>
        <v>102</v>
      </c>
      <c r="F113" s="3610">
        <f>E113+$K37</f>
        <v>103</v>
      </c>
      <c r="G113" s="3610">
        <f>F113+$K37</f>
        <v>104</v>
      </c>
      <c r="H113" s="3610">
        <f>G113+$K37</f>
        <v>105</v>
      </c>
      <c r="I113" s="3656"/>
      <c r="J113" s="3687"/>
      <c r="K113" s="3687"/>
      <c r="L113" s="3687"/>
      <c r="M113" s="3688"/>
      <c r="N113" s="3624"/>
      <c r="O113" s="3624"/>
      <c r="P113" s="3625"/>
      <c r="Q113" s="3626"/>
      <c r="R113" s="3627"/>
      <c r="S113" s="3627"/>
      <c r="T113" s="3627"/>
      <c r="U113" s="3627"/>
      <c r="V113" s="3627"/>
      <c r="W113" s="3627"/>
      <c r="X113" s="3627"/>
      <c r="Y113" s="3627"/>
      <c r="Z113" s="3627"/>
      <c r="AA113" s="3627"/>
      <c r="AB113" s="3627"/>
      <c r="AC113" s="3627"/>
    </row>
    <row r="114" spans="1:29" ht="15" thickTop="1">
      <c r="A114" s="3678"/>
      <c r="B114" s="3604" t="s">
        <v>753</v>
      </c>
      <c r="C114" s="3658" t="s">
        <v>3450</v>
      </c>
      <c r="D114" s="3620"/>
      <c r="E114" s="3659"/>
      <c r="F114" s="3659"/>
      <c r="G114" s="3659"/>
      <c r="H114" s="3659"/>
      <c r="I114" s="3659"/>
      <c r="J114" s="3659"/>
      <c r="K114" s="3660"/>
      <c r="L114" s="3661"/>
      <c r="M114" s="3662"/>
      <c r="N114" s="3596"/>
      <c r="O114" s="3596"/>
      <c r="P114" s="3597"/>
      <c r="Q114" s="3562"/>
      <c r="R114" s="3529"/>
      <c r="S114" s="3529"/>
      <c r="T114" s="3529"/>
      <c r="U114" s="3529"/>
      <c r="V114" s="3529"/>
      <c r="W114" s="3529"/>
      <c r="X114" s="3529"/>
      <c r="Y114" s="3529"/>
      <c r="Z114" s="3529"/>
      <c r="AA114" s="3529"/>
      <c r="AB114" s="3529"/>
      <c r="AC114" s="3529"/>
    </row>
    <row r="115" spans="1:29" ht="15.75" thickBot="1">
      <c r="A115" s="3598"/>
      <c r="B115" s="3609"/>
      <c r="C115" s="3610">
        <v>100</v>
      </c>
      <c r="D115" s="3610">
        <f t="shared" ref="D115:M115" si="27">C115-$K38</f>
        <v>97</v>
      </c>
      <c r="E115" s="3610">
        <f t="shared" si="27"/>
        <v>94</v>
      </c>
      <c r="F115" s="3610">
        <f t="shared" si="27"/>
        <v>91</v>
      </c>
      <c r="G115" s="3610">
        <f t="shared" si="27"/>
        <v>88</v>
      </c>
      <c r="H115" s="3610">
        <f t="shared" si="27"/>
        <v>85</v>
      </c>
      <c r="I115" s="3610">
        <f t="shared" si="27"/>
        <v>82</v>
      </c>
      <c r="J115" s="3610">
        <f t="shared" si="27"/>
        <v>79</v>
      </c>
      <c r="K115" s="3610">
        <f t="shared" si="27"/>
        <v>76</v>
      </c>
      <c r="L115" s="3610">
        <f t="shared" si="27"/>
        <v>73</v>
      </c>
      <c r="M115" s="3610">
        <f t="shared" si="27"/>
        <v>70</v>
      </c>
      <c r="N115" s="3603"/>
      <c r="O115" s="3603"/>
      <c r="P115" s="3597"/>
      <c r="Q115" s="3562"/>
      <c r="R115" s="3529"/>
      <c r="S115" s="3529"/>
      <c r="T115" s="3529"/>
      <c r="U115" s="3529"/>
      <c r="V115" s="3529"/>
      <c r="W115" s="3529"/>
      <c r="X115" s="3529"/>
      <c r="Y115" s="3529"/>
      <c r="Z115" s="3529"/>
      <c r="AA115" s="3529"/>
      <c r="AB115" s="3529"/>
      <c r="AC115" s="3529"/>
    </row>
    <row r="116" spans="1:29" ht="15" thickTop="1">
      <c r="A116" s="3678"/>
      <c r="B116" s="3648" t="s">
        <v>2555</v>
      </c>
      <c r="C116" s="3658" t="s">
        <v>1984</v>
      </c>
      <c r="D116" s="3658" t="s">
        <v>1983</v>
      </c>
      <c r="E116" s="3658" t="s">
        <v>1982</v>
      </c>
      <c r="F116" s="3620"/>
      <c r="G116" s="3620"/>
      <c r="H116" s="3659"/>
      <c r="I116" s="3659"/>
      <c r="J116" s="3659"/>
      <c r="K116" s="3660"/>
      <c r="L116" s="3661"/>
      <c r="M116" s="3662"/>
      <c r="N116" s="3596"/>
      <c r="O116" s="3596"/>
      <c r="P116" s="3597"/>
      <c r="Q116" s="3562"/>
      <c r="R116" s="3529"/>
      <c r="S116" s="3529"/>
      <c r="T116" s="3529"/>
      <c r="U116" s="3529"/>
      <c r="V116" s="3529"/>
      <c r="W116" s="3529"/>
      <c r="X116" s="3529"/>
      <c r="Y116" s="3529"/>
      <c r="Z116" s="3529"/>
      <c r="AA116" s="3529"/>
      <c r="AB116" s="3529"/>
      <c r="AC116" s="3529"/>
    </row>
    <row r="117" spans="1:29" ht="15.75" thickBot="1">
      <c r="A117" s="3598"/>
      <c r="B117" s="3609"/>
      <c r="C117" s="3610">
        <v>100</v>
      </c>
      <c r="D117" s="3610">
        <f>C117-$K39</f>
        <v>99</v>
      </c>
      <c r="E117" s="3610">
        <f>D117-$K39</f>
        <v>98</v>
      </c>
      <c r="F117" s="3610">
        <f>E117-$K39</f>
        <v>97</v>
      </c>
      <c r="G117" s="3610">
        <f>F117-$K39</f>
        <v>96</v>
      </c>
      <c r="H117" s="3610"/>
      <c r="I117" s="3610"/>
      <c r="J117" s="3610"/>
      <c r="K117" s="3610"/>
      <c r="L117" s="3610"/>
      <c r="M117" s="3611"/>
      <c r="N117" s="3603"/>
      <c r="O117" s="3603"/>
      <c r="P117" s="3597"/>
      <c r="Q117" s="3562"/>
      <c r="R117" s="3529"/>
      <c r="S117" s="3529"/>
      <c r="T117" s="3529"/>
      <c r="U117" s="3529"/>
      <c r="V117" s="3529"/>
      <c r="W117" s="3529"/>
      <c r="X117" s="3529"/>
      <c r="Y117" s="3529"/>
      <c r="Z117" s="3529"/>
      <c r="AA117" s="3529"/>
      <c r="AB117" s="3529"/>
      <c r="AC117" s="3529"/>
    </row>
    <row r="118" spans="1:29" ht="15" thickTop="1">
      <c r="A118" s="3678"/>
      <c r="B118" s="3604" t="s">
        <v>3451</v>
      </c>
      <c r="C118" s="3659"/>
      <c r="D118" s="3659"/>
      <c r="E118" s="3659"/>
      <c r="F118" s="3659"/>
      <c r="G118" s="3659"/>
      <c r="H118" s="3659"/>
      <c r="I118" s="3659"/>
      <c r="J118" s="3659"/>
      <c r="K118" s="3660"/>
      <c r="L118" s="3661"/>
      <c r="M118" s="3662"/>
      <c r="N118" s="3596"/>
      <c r="O118" s="3596"/>
      <c r="P118" s="3597"/>
      <c r="Q118" s="3562"/>
      <c r="R118" s="3529"/>
      <c r="S118" s="3529"/>
      <c r="T118" s="3529"/>
      <c r="U118" s="3529"/>
      <c r="V118" s="3529"/>
      <c r="W118" s="3529"/>
      <c r="X118" s="3529"/>
      <c r="Y118" s="3529"/>
      <c r="Z118" s="3529"/>
      <c r="AA118" s="3529"/>
      <c r="AB118" s="3529"/>
      <c r="AC118" s="3529"/>
    </row>
    <row r="119" spans="1:29" ht="15.75" thickBot="1">
      <c r="A119" s="3598"/>
      <c r="B119" s="3609"/>
      <c r="C119" s="3610">
        <v>100</v>
      </c>
      <c r="D119" s="3610">
        <f t="shared" ref="D119:M119" si="28">C119-$K40</f>
        <v>100</v>
      </c>
      <c r="E119" s="3610">
        <f t="shared" si="28"/>
        <v>100</v>
      </c>
      <c r="F119" s="3610">
        <f t="shared" si="28"/>
        <v>100</v>
      </c>
      <c r="G119" s="3610">
        <f t="shared" si="28"/>
        <v>100</v>
      </c>
      <c r="H119" s="3610">
        <f t="shared" si="28"/>
        <v>100</v>
      </c>
      <c r="I119" s="3610">
        <f t="shared" si="28"/>
        <v>100</v>
      </c>
      <c r="J119" s="3610">
        <f t="shared" si="28"/>
        <v>100</v>
      </c>
      <c r="K119" s="3610">
        <f t="shared" si="28"/>
        <v>100</v>
      </c>
      <c r="L119" s="3610">
        <f t="shared" si="28"/>
        <v>100</v>
      </c>
      <c r="M119" s="3610">
        <f t="shared" si="28"/>
        <v>100</v>
      </c>
      <c r="N119" s="3603"/>
      <c r="O119" s="3603"/>
      <c r="P119" s="3597"/>
      <c r="Q119" s="3562"/>
      <c r="R119" s="3529"/>
      <c r="S119" s="3529"/>
      <c r="T119" s="3529"/>
      <c r="U119" s="3529"/>
      <c r="V119" s="3529"/>
      <c r="W119" s="3529"/>
      <c r="X119" s="3529"/>
      <c r="Y119" s="3529"/>
      <c r="Z119" s="3529"/>
      <c r="AA119" s="3529"/>
      <c r="AB119" s="3529"/>
      <c r="AC119" s="3529"/>
    </row>
    <row r="120" spans="1:29" s="3507" customFormat="1" ht="28.5" thickTop="1">
      <c r="A120" s="3671"/>
      <c r="B120" s="3604" t="s">
        <v>733</v>
      </c>
      <c r="C120" s="3620" t="s">
        <v>3041</v>
      </c>
      <c r="D120" s="3620" t="s">
        <v>3042</v>
      </c>
      <c r="E120" s="3620" t="s">
        <v>3044</v>
      </c>
      <c r="F120" s="3620"/>
      <c r="G120" s="3620"/>
      <c r="H120" s="3620"/>
      <c r="I120" s="3620"/>
      <c r="J120" s="3620"/>
      <c r="K120" s="3620"/>
      <c r="L120" s="3654"/>
      <c r="M120" s="3655"/>
      <c r="N120" s="3624"/>
      <c r="O120" s="3624"/>
      <c r="P120" s="3625"/>
      <c r="Q120" s="3626"/>
      <c r="R120" s="3627"/>
      <c r="S120" s="3627"/>
      <c r="T120" s="3627"/>
      <c r="U120" s="3627"/>
      <c r="V120" s="3627"/>
      <c r="W120" s="3627"/>
      <c r="X120" s="3627"/>
      <c r="Y120" s="3627"/>
      <c r="Z120" s="3627"/>
      <c r="AA120" s="3627"/>
      <c r="AB120" s="3627"/>
      <c r="AC120" s="3627"/>
    </row>
    <row r="121" spans="1:29" s="3507" customFormat="1" ht="15.75" thickBot="1">
      <c r="A121" s="3619"/>
      <c r="B121" s="3599"/>
      <c r="C121" s="3628">
        <v>100</v>
      </c>
      <c r="D121" s="3600">
        <v>98</v>
      </c>
      <c r="E121" s="3600">
        <v>96</v>
      </c>
      <c r="F121" s="3600"/>
      <c r="G121" s="3600"/>
      <c r="H121" s="3600"/>
      <c r="I121" s="3600"/>
      <c r="J121" s="3600"/>
      <c r="K121" s="3600"/>
      <c r="L121" s="3600"/>
      <c r="M121" s="3600"/>
      <c r="N121" s="3624"/>
      <c r="O121" s="3624"/>
      <c r="P121" s="3625"/>
      <c r="Q121" s="3626"/>
      <c r="R121" s="3627"/>
      <c r="S121" s="3627"/>
      <c r="T121" s="3627"/>
      <c r="U121" s="3627"/>
      <c r="V121" s="3627"/>
      <c r="W121" s="3627"/>
      <c r="X121" s="3627"/>
      <c r="Y121" s="3627"/>
      <c r="Z121" s="3627"/>
      <c r="AA121" s="3627"/>
      <c r="AB121" s="3627"/>
      <c r="AC121" s="3627"/>
    </row>
    <row r="122" spans="1:29" ht="15" thickTop="1">
      <c r="A122" s="3678"/>
      <c r="B122" s="3604" t="s">
        <v>755</v>
      </c>
      <c r="C122" s="3658" t="s">
        <v>3452</v>
      </c>
      <c r="D122" s="3620"/>
      <c r="E122" s="3620"/>
      <c r="F122" s="3659"/>
      <c r="G122" s="3659"/>
      <c r="H122" s="3659"/>
      <c r="I122" s="3659"/>
      <c r="J122" s="3659"/>
      <c r="K122" s="3660"/>
      <c r="L122" s="3661"/>
      <c r="M122" s="3662"/>
      <c r="N122" s="3596"/>
      <c r="O122" s="3596"/>
      <c r="P122" s="3597"/>
      <c r="Q122" s="3562"/>
      <c r="R122" s="3529"/>
      <c r="S122" s="3529"/>
      <c r="T122" s="3529"/>
      <c r="U122" s="3529"/>
      <c r="V122" s="3529"/>
      <c r="W122" s="3529"/>
      <c r="X122" s="3529"/>
      <c r="Y122" s="3529"/>
      <c r="Z122" s="3529"/>
      <c r="AA122" s="3529"/>
      <c r="AB122" s="3529"/>
      <c r="AC122" s="3529"/>
    </row>
    <row r="123" spans="1:29" ht="15.75" thickBot="1">
      <c r="A123" s="3598"/>
      <c r="B123" s="3609"/>
      <c r="C123" s="3610">
        <v>100</v>
      </c>
      <c r="D123" s="3610">
        <f t="shared" ref="D123:M123" si="29">C123-$K42</f>
        <v>99</v>
      </c>
      <c r="E123" s="3610">
        <f t="shared" si="29"/>
        <v>98</v>
      </c>
      <c r="F123" s="3610">
        <f t="shared" si="29"/>
        <v>97</v>
      </c>
      <c r="G123" s="3610">
        <f t="shared" si="29"/>
        <v>96</v>
      </c>
      <c r="H123" s="3610">
        <f t="shared" si="29"/>
        <v>95</v>
      </c>
      <c r="I123" s="3610">
        <f t="shared" si="29"/>
        <v>94</v>
      </c>
      <c r="J123" s="3610">
        <f t="shared" si="29"/>
        <v>93</v>
      </c>
      <c r="K123" s="3610">
        <f t="shared" si="29"/>
        <v>92</v>
      </c>
      <c r="L123" s="3610">
        <f t="shared" si="29"/>
        <v>91</v>
      </c>
      <c r="M123" s="3610">
        <f t="shared" si="29"/>
        <v>90</v>
      </c>
      <c r="N123" s="3603"/>
      <c r="O123" s="3603"/>
      <c r="P123" s="3597"/>
      <c r="Q123" s="3562"/>
      <c r="R123" s="3529"/>
      <c r="S123" s="3529"/>
      <c r="T123" s="3529"/>
      <c r="U123" s="3529"/>
      <c r="V123" s="3529"/>
      <c r="W123" s="3529"/>
      <c r="X123" s="3529"/>
      <c r="Y123" s="3529"/>
      <c r="Z123" s="3529"/>
      <c r="AA123" s="3529"/>
      <c r="AB123" s="3529"/>
      <c r="AC123" s="3529"/>
    </row>
    <row r="124" spans="1:29" ht="27.75" thickTop="1">
      <c r="A124" s="3678"/>
      <c r="B124" s="3604" t="s">
        <v>3453</v>
      </c>
      <c r="C124" s="3647" t="s">
        <v>579</v>
      </c>
      <c r="D124" s="3647" t="s">
        <v>580</v>
      </c>
      <c r="E124" s="3647" t="s">
        <v>3454</v>
      </c>
      <c r="F124" s="3647" t="s">
        <v>582</v>
      </c>
      <c r="G124" s="3647" t="s">
        <v>3455</v>
      </c>
      <c r="H124" s="3605"/>
      <c r="I124" s="3605"/>
      <c r="J124" s="3605"/>
      <c r="K124" s="3606"/>
      <c r="L124" s="3607"/>
      <c r="M124" s="3608"/>
      <c r="N124" s="3596"/>
      <c r="O124" s="3596"/>
      <c r="P124" s="3625"/>
      <c r="Q124" s="3562"/>
      <c r="R124" s="3529"/>
      <c r="S124" s="3529"/>
      <c r="T124" s="3529"/>
      <c r="U124" s="3529"/>
      <c r="V124" s="3529"/>
      <c r="W124" s="3529"/>
      <c r="X124" s="3529"/>
      <c r="Y124" s="3529"/>
      <c r="Z124" s="3529"/>
      <c r="AA124" s="3529"/>
      <c r="AB124" s="3529"/>
      <c r="AC124" s="3529"/>
    </row>
    <row r="125" spans="1:29" ht="15.75" thickBot="1">
      <c r="A125" s="3598"/>
      <c r="B125" s="3609"/>
      <c r="C125" s="3610">
        <v>100</v>
      </c>
      <c r="D125" s="3610">
        <f>C125-$K43</f>
        <v>98</v>
      </c>
      <c r="E125" s="3610">
        <f>D125-$K43</f>
        <v>96</v>
      </c>
      <c r="F125" s="3610">
        <f>E125-$K43</f>
        <v>94</v>
      </c>
      <c r="G125" s="3610">
        <f>F125-$K43</f>
        <v>92</v>
      </c>
      <c r="H125" s="3610"/>
      <c r="I125" s="3610"/>
      <c r="J125" s="3610"/>
      <c r="K125" s="3610"/>
      <c r="L125" s="3610"/>
      <c r="M125" s="3611"/>
      <c r="N125" s="3603"/>
      <c r="O125" s="3603"/>
      <c r="P125" s="3597"/>
      <c r="Q125" s="3562"/>
      <c r="R125" s="3529"/>
      <c r="S125" s="3529"/>
      <c r="T125" s="3529"/>
      <c r="U125" s="3529"/>
      <c r="V125" s="3529"/>
      <c r="W125" s="3529"/>
      <c r="X125" s="3529"/>
      <c r="Y125" s="3529"/>
      <c r="Z125" s="3529"/>
      <c r="AA125" s="3529"/>
      <c r="AB125" s="3529"/>
      <c r="AC125" s="3529"/>
    </row>
    <row r="126" spans="1:29" s="3507" customFormat="1" ht="15" thickTop="1">
      <c r="A126" s="3671"/>
      <c r="B126" s="3604">
        <f>B44</f>
        <v>111</v>
      </c>
      <c r="C126" s="3620"/>
      <c r="D126" s="3620"/>
      <c r="E126" s="3620"/>
      <c r="F126" s="3620"/>
      <c r="G126" s="3620"/>
      <c r="H126" s="3621"/>
      <c r="I126" s="3621"/>
      <c r="J126" s="3621"/>
      <c r="K126" s="3621"/>
      <c r="L126" s="3622"/>
      <c r="M126" s="3623"/>
      <c r="N126" s="3624"/>
      <c r="O126" s="3624"/>
      <c r="P126" s="3625"/>
      <c r="Q126" s="3626"/>
      <c r="R126" s="3627"/>
      <c r="S126" s="3627"/>
      <c r="T126" s="3627"/>
      <c r="U126" s="3627"/>
      <c r="V126" s="3627"/>
      <c r="W126" s="3627"/>
      <c r="X126" s="3627"/>
      <c r="Y126" s="3627"/>
      <c r="Z126" s="3627"/>
      <c r="AA126" s="3627"/>
      <c r="AB126" s="3627"/>
      <c r="AC126" s="3627"/>
    </row>
    <row r="127" spans="1:29" s="3507" customFormat="1" ht="15.75" thickBot="1">
      <c r="A127" s="3619"/>
      <c r="B127" s="3609"/>
      <c r="C127" s="3628"/>
      <c r="D127" s="3600"/>
      <c r="E127" s="3600"/>
      <c r="F127" s="3600"/>
      <c r="G127" s="3628"/>
      <c r="H127" s="3631"/>
      <c r="I127" s="3631"/>
      <c r="J127" s="3631"/>
      <c r="K127" s="3631"/>
      <c r="L127" s="3631"/>
      <c r="M127" s="3632"/>
      <c r="N127" s="3624"/>
      <c r="O127" s="3624"/>
      <c r="P127" s="3625"/>
      <c r="Q127" s="3626"/>
      <c r="R127" s="3627"/>
      <c r="S127" s="3627"/>
      <c r="T127" s="3627"/>
      <c r="U127" s="3627"/>
      <c r="V127" s="3627"/>
      <c r="W127" s="3627"/>
      <c r="X127" s="3627"/>
      <c r="Y127" s="3627"/>
      <c r="Z127" s="3627"/>
      <c r="AA127" s="3627"/>
      <c r="AB127" s="3627"/>
      <c r="AC127" s="3627"/>
    </row>
    <row r="128" spans="1:29" ht="15" thickTop="1">
      <c r="A128" s="3678"/>
      <c r="B128" s="3604">
        <f>B45</f>
        <v>111</v>
      </c>
      <c r="C128" s="3620"/>
      <c r="D128" s="3620"/>
      <c r="E128" s="3620"/>
      <c r="F128" s="3620"/>
      <c r="G128" s="3659"/>
      <c r="H128" s="3659"/>
      <c r="I128" s="3659"/>
      <c r="J128" s="3659"/>
      <c r="K128" s="3660"/>
      <c r="L128" s="3661"/>
      <c r="M128" s="3662"/>
      <c r="N128" s="3596"/>
      <c r="O128" s="3596"/>
      <c r="P128" s="3597"/>
      <c r="Q128" s="3562"/>
      <c r="R128" s="3529"/>
      <c r="S128" s="3529"/>
      <c r="T128" s="3529"/>
      <c r="U128" s="3529"/>
      <c r="V128" s="3529"/>
      <c r="W128" s="3529"/>
      <c r="X128" s="3529"/>
      <c r="Y128" s="3529"/>
      <c r="Z128" s="3529"/>
      <c r="AA128" s="3529"/>
      <c r="AB128" s="3529"/>
      <c r="AC128" s="3529"/>
    </row>
    <row r="129" spans="1:29" ht="15.75" thickBot="1">
      <c r="A129" s="3598"/>
      <c r="B129" s="3609"/>
      <c r="C129" s="3628"/>
      <c r="D129" s="3628"/>
      <c r="E129" s="3628"/>
      <c r="F129" s="3628"/>
      <c r="G129" s="3600"/>
      <c r="H129" s="3600"/>
      <c r="I129" s="3600"/>
      <c r="J129" s="3600"/>
      <c r="K129" s="3600"/>
      <c r="L129" s="3600"/>
      <c r="M129" s="3629"/>
      <c r="N129" s="3603"/>
      <c r="O129" s="3603"/>
      <c r="P129" s="3597"/>
      <c r="Q129" s="3562"/>
      <c r="R129" s="3529"/>
      <c r="S129" s="3529"/>
      <c r="T129" s="3529"/>
      <c r="U129" s="3529"/>
      <c r="V129" s="3529"/>
      <c r="W129" s="3529"/>
      <c r="X129" s="3529"/>
      <c r="Y129" s="3529"/>
      <c r="Z129" s="3529"/>
      <c r="AA129" s="3529"/>
      <c r="AB129" s="3529"/>
      <c r="AC129" s="3529"/>
    </row>
    <row r="130" spans="1:29" ht="15" thickTop="1">
      <c r="A130" s="3678"/>
      <c r="B130" s="3612">
        <f>B46</f>
        <v>111</v>
      </c>
      <c r="C130" s="3620"/>
      <c r="D130" s="3620"/>
      <c r="E130" s="3620"/>
      <c r="F130" s="3620"/>
      <c r="G130" s="3663"/>
      <c r="H130" s="3663"/>
      <c r="I130" s="3663"/>
      <c r="J130" s="3663"/>
      <c r="K130" s="3582"/>
      <c r="L130" s="3583"/>
      <c r="M130" s="3666"/>
      <c r="N130" s="3596"/>
      <c r="O130" s="3596"/>
      <c r="P130" s="3597"/>
      <c r="Q130" s="3562"/>
      <c r="R130" s="3529"/>
      <c r="S130" s="3529"/>
      <c r="T130" s="3529"/>
      <c r="U130" s="3529"/>
      <c r="V130" s="3529"/>
      <c r="W130" s="3529"/>
      <c r="X130" s="3529"/>
      <c r="Y130" s="3529"/>
      <c r="Z130" s="3529"/>
      <c r="AA130" s="3529"/>
      <c r="AB130" s="3529"/>
      <c r="AC130" s="3529"/>
    </row>
    <row r="131" spans="1:29" ht="15.75" thickBot="1">
      <c r="A131" s="3667"/>
      <c r="B131" s="3638"/>
      <c r="C131" s="3639"/>
      <c r="D131" s="3639"/>
      <c r="E131" s="3639"/>
      <c r="F131" s="3639"/>
      <c r="G131" s="3668"/>
      <c r="H131" s="3668"/>
      <c r="I131" s="3668"/>
      <c r="J131" s="3668"/>
      <c r="K131" s="3668"/>
      <c r="L131" s="3668"/>
      <c r="M131" s="3669"/>
      <c r="N131" s="3603"/>
      <c r="O131" s="3603"/>
      <c r="P131" s="3597"/>
      <c r="Q131" s="3562"/>
      <c r="R131" s="3529"/>
      <c r="S131" s="3529"/>
      <c r="T131" s="3529"/>
      <c r="U131" s="3529"/>
      <c r="V131" s="3529"/>
      <c r="W131" s="3529"/>
      <c r="X131" s="3529"/>
      <c r="Y131" s="3529"/>
      <c r="Z131" s="3529"/>
      <c r="AA131" s="3529"/>
      <c r="AB131" s="3529"/>
      <c r="AC131" s="3529"/>
    </row>
    <row r="132" spans="1:29">
      <c r="A132" s="3689"/>
      <c r="B132" s="3689"/>
      <c r="C132" s="3689"/>
      <c r="D132" s="3689"/>
      <c r="E132" s="3689"/>
      <c r="F132" s="3689"/>
      <c r="G132" s="3689"/>
      <c r="H132" s="3689"/>
      <c r="I132" s="3689"/>
      <c r="J132" s="3689"/>
      <c r="K132" s="3690"/>
      <c r="L132" s="3691"/>
      <c r="M132" s="3689"/>
      <c r="N132" s="3689"/>
      <c r="O132" s="3689"/>
      <c r="P132" s="3689"/>
      <c r="Q132" s="3689"/>
      <c r="R132" s="3689"/>
      <c r="S132" s="3689"/>
      <c r="T132" s="3689"/>
      <c r="U132" s="3689"/>
      <c r="V132" s="3689"/>
      <c r="W132" s="3689"/>
      <c r="X132" s="3689"/>
      <c r="Y132" s="3689"/>
      <c r="Z132" s="3689"/>
      <c r="AA132" s="3689"/>
      <c r="AB132" s="3689"/>
      <c r="AC132" s="3689"/>
    </row>
    <row r="133" spans="1:29">
      <c r="A133" s="3689"/>
      <c r="B133" s="3689"/>
      <c r="C133" s="3689"/>
      <c r="D133" s="3689"/>
      <c r="E133" s="3689"/>
      <c r="F133" s="3689"/>
      <c r="G133" s="3689"/>
      <c r="H133" s="3689"/>
      <c r="I133" s="3689"/>
      <c r="J133" s="3689"/>
      <c r="K133" s="3690"/>
      <c r="L133" s="3691"/>
      <c r="M133" s="3689"/>
      <c r="N133" s="3689"/>
      <c r="O133" s="3689"/>
      <c r="P133" s="3689"/>
      <c r="Q133" s="3689"/>
      <c r="R133" s="3689"/>
      <c r="S133" s="3689"/>
      <c r="T133" s="3689"/>
      <c r="U133" s="3689"/>
      <c r="V133" s="3689"/>
      <c r="W133" s="3689"/>
      <c r="X133" s="3689"/>
      <c r="Y133" s="3689"/>
      <c r="Z133" s="3689"/>
      <c r="AA133" s="3689"/>
      <c r="AB133" s="3689"/>
      <c r="AC133" s="3689"/>
    </row>
    <row r="134" spans="1:29">
      <c r="A134" s="3689"/>
      <c r="B134" s="3689"/>
      <c r="C134" s="3689"/>
      <c r="D134" s="3689"/>
      <c r="E134" s="3689"/>
      <c r="F134" s="3689"/>
      <c r="G134" s="3689"/>
      <c r="H134" s="3689"/>
      <c r="I134" s="3689"/>
      <c r="J134" s="3689"/>
      <c r="K134" s="3690"/>
      <c r="L134" s="3691"/>
      <c r="M134" s="3689"/>
      <c r="N134" s="3689"/>
      <c r="O134" s="3689"/>
      <c r="P134" s="3689"/>
      <c r="Q134" s="3689"/>
      <c r="R134" s="3689"/>
      <c r="S134" s="3689"/>
      <c r="T134" s="3689"/>
      <c r="U134" s="3689"/>
      <c r="V134" s="3689"/>
      <c r="W134" s="3689"/>
      <c r="X134" s="3689"/>
      <c r="Y134" s="3689"/>
      <c r="Z134" s="3689"/>
      <c r="AA134" s="3689"/>
      <c r="AB134" s="3689"/>
      <c r="AC134" s="3689"/>
    </row>
    <row r="135" spans="1:29">
      <c r="A135" s="3689"/>
      <c r="B135" s="3689"/>
      <c r="C135" s="3689"/>
      <c r="D135" s="3689"/>
      <c r="E135" s="3689"/>
      <c r="F135" s="3689"/>
      <c r="G135" s="3689"/>
      <c r="H135" s="3689"/>
      <c r="I135" s="3689"/>
      <c r="J135" s="3689"/>
      <c r="K135" s="3690"/>
      <c r="L135" s="3691"/>
      <c r="M135" s="3689"/>
      <c r="N135" s="3689"/>
      <c r="O135" s="3689"/>
      <c r="P135" s="3689"/>
      <c r="Q135" s="3689"/>
      <c r="R135" s="3689"/>
      <c r="S135" s="3689"/>
      <c r="T135" s="3689"/>
      <c r="U135" s="3689"/>
      <c r="V135" s="3689"/>
      <c r="W135" s="3689"/>
      <c r="X135" s="3689"/>
      <c r="Y135" s="3689"/>
      <c r="Z135" s="3689"/>
      <c r="AA135" s="3689"/>
      <c r="AB135" s="3689"/>
      <c r="AC135" s="3689"/>
    </row>
    <row r="136" spans="1:29" ht="15" thickBot="1">
      <c r="A136" s="3689"/>
      <c r="B136" s="3692" t="s">
        <v>3529</v>
      </c>
      <c r="C136" s="3693"/>
      <c r="D136" s="3693"/>
      <c r="E136" s="3693"/>
      <c r="F136" s="3693"/>
      <c r="G136" s="3693"/>
      <c r="H136" s="3693"/>
      <c r="I136" s="3693"/>
      <c r="J136" s="3693"/>
      <c r="K136" s="3694"/>
      <c r="L136" s="3691"/>
      <c r="M136" s="3689"/>
      <c r="N136" s="3689"/>
      <c r="O136" s="3689"/>
      <c r="P136" s="3689"/>
      <c r="Q136" s="3689"/>
      <c r="R136" s="3689"/>
      <c r="S136" s="3689"/>
      <c r="T136" s="3689"/>
      <c r="U136" s="3689"/>
      <c r="V136" s="3689"/>
      <c r="W136" s="3689"/>
      <c r="X136" s="3689"/>
      <c r="Y136" s="3689"/>
      <c r="Z136" s="3689"/>
      <c r="AA136" s="3689"/>
      <c r="AB136" s="3689"/>
      <c r="AC136" s="3689"/>
    </row>
    <row r="137" spans="1:29">
      <c r="A137" s="3689"/>
      <c r="B137" s="3695" t="s">
        <v>3530</v>
      </c>
      <c r="C137" s="3696"/>
      <c r="D137" s="3696"/>
      <c r="E137" s="3696"/>
      <c r="F137" s="3696"/>
      <c r="G137" s="3697"/>
      <c r="H137" s="3698"/>
      <c r="I137" s="3699" t="s">
        <v>3531</v>
      </c>
      <c r="J137" s="3696"/>
      <c r="K137" s="3700"/>
      <c r="L137" s="3691"/>
      <c r="M137" s="3689"/>
      <c r="N137" s="3689"/>
      <c r="O137" s="3689"/>
      <c r="P137" s="3689"/>
      <c r="Q137" s="3689"/>
      <c r="R137" s="3689"/>
      <c r="S137" s="3689"/>
      <c r="T137" s="3689"/>
      <c r="U137" s="3689"/>
      <c r="V137" s="3689"/>
      <c r="W137" s="3689"/>
      <c r="X137" s="3689"/>
      <c r="Y137" s="3689"/>
      <c r="Z137" s="3689"/>
      <c r="AA137" s="3689"/>
      <c r="AB137" s="3689"/>
      <c r="AC137" s="3689"/>
    </row>
    <row r="138" spans="1:29">
      <c r="A138" s="3689"/>
      <c r="B138" s="3701"/>
      <c r="C138" s="3702" t="s">
        <v>3532</v>
      </c>
      <c r="D138" s="3702" t="s">
        <v>3533</v>
      </c>
      <c r="E138" s="3703" t="s">
        <v>3534</v>
      </c>
      <c r="F138" s="3704" t="s">
        <v>3535</v>
      </c>
      <c r="G138" s="3702" t="s">
        <v>3536</v>
      </c>
      <c r="H138" s="3705" t="s">
        <v>3537</v>
      </c>
      <c r="I138" s="3706"/>
      <c r="J138" s="3702" t="s">
        <v>3538</v>
      </c>
      <c r="K138" s="3705" t="s">
        <v>3539</v>
      </c>
      <c r="L138" s="3691"/>
      <c r="M138" s="3689"/>
      <c r="N138" s="3689"/>
      <c r="O138" s="3689"/>
      <c r="P138" s="3689"/>
      <c r="Q138" s="3689"/>
      <c r="R138" s="3689"/>
      <c r="S138" s="3689"/>
      <c r="T138" s="3689"/>
      <c r="U138" s="3689"/>
      <c r="V138" s="3689"/>
      <c r="W138" s="3689"/>
      <c r="X138" s="3689"/>
      <c r="Y138" s="3689"/>
      <c r="Z138" s="3689"/>
      <c r="AA138" s="3689"/>
      <c r="AB138" s="3689"/>
      <c r="AC138" s="3689"/>
    </row>
    <row r="139" spans="1:29" ht="15">
      <c r="A139" s="3689"/>
      <c r="B139" s="3707">
        <v>6</v>
      </c>
      <c r="C139" s="3708">
        <v>96</v>
      </c>
      <c r="D139" s="3709" t="s">
        <v>3540</v>
      </c>
      <c r="E139" s="3710">
        <v>100</v>
      </c>
      <c r="F139" s="3711">
        <v>102.5</v>
      </c>
      <c r="G139" s="3709" t="s">
        <v>3540</v>
      </c>
      <c r="H139" s="3712">
        <v>105</v>
      </c>
      <c r="I139" s="3713" t="s">
        <v>3541</v>
      </c>
      <c r="J139" s="3708">
        <v>20</v>
      </c>
      <c r="K139" s="3714">
        <f>C145/(J139-2)</f>
        <v>4.0555555555555553E-3</v>
      </c>
      <c r="L139" s="3691"/>
      <c r="M139" s="3689"/>
      <c r="N139" s="3689"/>
      <c r="O139" s="3689"/>
      <c r="P139" s="3689"/>
      <c r="Q139" s="3689"/>
      <c r="R139" s="3689"/>
      <c r="S139" s="3689"/>
      <c r="T139" s="3689"/>
      <c r="U139" s="3689"/>
      <c r="V139" s="3689"/>
      <c r="W139" s="3689"/>
      <c r="X139" s="3689"/>
      <c r="Y139" s="3689"/>
      <c r="Z139" s="3689"/>
      <c r="AA139" s="3689"/>
      <c r="AB139" s="3689"/>
      <c r="AC139" s="3689"/>
    </row>
    <row r="140" spans="1:29" ht="15">
      <c r="A140" s="3689"/>
      <c r="B140" s="3715">
        <v>5</v>
      </c>
      <c r="C140" s="3716">
        <v>100</v>
      </c>
      <c r="D140" s="3717"/>
      <c r="E140" s="3718"/>
      <c r="F140" s="3719">
        <v>102</v>
      </c>
      <c r="G140" s="3717"/>
      <c r="H140" s="3720"/>
      <c r="I140" s="3721" t="s">
        <v>3542</v>
      </c>
      <c r="J140" s="3722">
        <f>ROUNDUP((J139-1)/2,0)</f>
        <v>10</v>
      </c>
      <c r="K140" s="3723">
        <v>100</v>
      </c>
      <c r="L140" s="3691"/>
      <c r="M140" s="3689"/>
      <c r="N140" s="3689"/>
      <c r="O140" s="3689"/>
      <c r="P140" s="3689"/>
      <c r="Q140" s="3689"/>
      <c r="R140" s="3689"/>
      <c r="S140" s="3689"/>
      <c r="T140" s="3689"/>
      <c r="U140" s="3689"/>
      <c r="V140" s="3689"/>
      <c r="W140" s="3689"/>
      <c r="X140" s="3689"/>
      <c r="Y140" s="3689"/>
      <c r="Z140" s="3689"/>
      <c r="AA140" s="3689"/>
      <c r="AB140" s="3689"/>
      <c r="AC140" s="3689"/>
    </row>
    <row r="141" spans="1:29" ht="15">
      <c r="A141" s="3689"/>
      <c r="B141" s="3715">
        <v>4</v>
      </c>
      <c r="C141" s="3716">
        <v>102</v>
      </c>
      <c r="D141" s="3717"/>
      <c r="E141" s="3718"/>
      <c r="F141" s="3719">
        <v>101.5</v>
      </c>
      <c r="G141" s="3717"/>
      <c r="H141" s="3720"/>
      <c r="I141" s="3721" t="s">
        <v>3543</v>
      </c>
      <c r="J141" s="3722">
        <v>1</v>
      </c>
      <c r="K141" s="3724">
        <f>ROUND(100+(J141-J140)*K139*100,1)</f>
        <v>96.4</v>
      </c>
      <c r="L141" s="3691"/>
      <c r="M141" s="3689"/>
      <c r="N141" s="3689"/>
      <c r="O141" s="3689"/>
      <c r="P141" s="3689"/>
      <c r="Q141" s="3689"/>
      <c r="R141" s="3689"/>
      <c r="S141" s="3689"/>
      <c r="T141" s="3689"/>
      <c r="U141" s="3689"/>
      <c r="V141" s="3689"/>
      <c r="W141" s="3689"/>
      <c r="X141" s="3689"/>
      <c r="Y141" s="3689"/>
      <c r="Z141" s="3689"/>
      <c r="AA141" s="3689"/>
      <c r="AB141" s="3689"/>
      <c r="AC141" s="3689"/>
    </row>
    <row r="142" spans="1:29" ht="15">
      <c r="A142" s="3689"/>
      <c r="B142" s="3715">
        <v>3</v>
      </c>
      <c r="C142" s="3716">
        <v>103</v>
      </c>
      <c r="D142" s="3717"/>
      <c r="E142" s="3718"/>
      <c r="F142" s="3719">
        <v>101</v>
      </c>
      <c r="G142" s="3717"/>
      <c r="H142" s="3720"/>
      <c r="I142" s="3721" t="s">
        <v>3544</v>
      </c>
      <c r="J142" s="3722">
        <f>J139</f>
        <v>20</v>
      </c>
      <c r="K142" s="3725">
        <v>95</v>
      </c>
      <c r="L142" s="3691"/>
      <c r="M142" s="3689"/>
      <c r="N142" s="3689"/>
      <c r="O142" s="3689"/>
      <c r="P142" s="3689"/>
      <c r="Q142" s="3689"/>
      <c r="R142" s="3689"/>
      <c r="S142" s="3689"/>
      <c r="T142" s="3689"/>
      <c r="U142" s="3689"/>
      <c r="V142" s="3689"/>
      <c r="W142" s="3689"/>
      <c r="X142" s="3689"/>
      <c r="Y142" s="3689"/>
      <c r="Z142" s="3689"/>
      <c r="AA142" s="3689"/>
      <c r="AB142" s="3689"/>
      <c r="AC142" s="3689"/>
    </row>
    <row r="143" spans="1:29" ht="15">
      <c r="A143" s="3689"/>
      <c r="B143" s="3715">
        <v>2</v>
      </c>
      <c r="C143" s="3716">
        <v>100</v>
      </c>
      <c r="D143" s="3717"/>
      <c r="E143" s="3718"/>
      <c r="F143" s="3719">
        <v>100.5</v>
      </c>
      <c r="G143" s="3717"/>
      <c r="H143" s="3720"/>
      <c r="I143" s="3721" t="s">
        <v>3545</v>
      </c>
      <c r="J143" s="3716">
        <v>15</v>
      </c>
      <c r="K143" s="3724">
        <f>ROUND(100+(J143-J140)*K139*100,1)</f>
        <v>102</v>
      </c>
      <c r="L143" s="3691"/>
      <c r="M143" s="3689"/>
      <c r="N143" s="3689"/>
      <c r="O143" s="3689"/>
      <c r="P143" s="3689"/>
      <c r="Q143" s="3689"/>
      <c r="R143" s="3689"/>
      <c r="S143" s="3689"/>
      <c r="T143" s="3689"/>
      <c r="U143" s="3689"/>
      <c r="V143" s="3689"/>
      <c r="W143" s="3689"/>
      <c r="X143" s="3689"/>
      <c r="Y143" s="3689"/>
      <c r="Z143" s="3689"/>
      <c r="AA143" s="3689"/>
      <c r="AB143" s="3689"/>
      <c r="AC143" s="3689"/>
    </row>
    <row r="144" spans="1:29" ht="15">
      <c r="A144" s="3689"/>
      <c r="B144" s="3715">
        <v>1</v>
      </c>
      <c r="C144" s="3716">
        <v>98</v>
      </c>
      <c r="D144" s="3726" t="s">
        <v>3546</v>
      </c>
      <c r="E144" s="3718">
        <v>102</v>
      </c>
      <c r="F144" s="3727">
        <v>100</v>
      </c>
      <c r="G144" s="3726" t="s">
        <v>3546</v>
      </c>
      <c r="H144" s="3720">
        <v>105</v>
      </c>
      <c r="I144" s="3721" t="s">
        <v>3545</v>
      </c>
      <c r="J144" s="3716">
        <v>18</v>
      </c>
      <c r="K144" s="3724">
        <f>ROUND(100+(J144-J140)*K139*100,1)</f>
        <v>103.2</v>
      </c>
      <c r="L144" s="3691"/>
      <c r="M144" s="3689"/>
      <c r="N144" s="3689"/>
      <c r="O144" s="3689"/>
      <c r="P144" s="3689"/>
      <c r="Q144" s="3689"/>
      <c r="R144" s="3689"/>
      <c r="S144" s="3689"/>
      <c r="T144" s="3689"/>
      <c r="U144" s="3689"/>
      <c r="V144" s="3689"/>
      <c r="W144" s="3689"/>
      <c r="X144" s="3689"/>
      <c r="Y144" s="3689"/>
      <c r="Z144" s="3689"/>
      <c r="AA144" s="3689"/>
      <c r="AB144" s="3689"/>
      <c r="AC144" s="3689"/>
    </row>
    <row r="145" spans="1:29" ht="15.75" thickBot="1">
      <c r="A145" s="3689"/>
      <c r="B145" s="3728" t="s">
        <v>3547</v>
      </c>
      <c r="C145" s="3729">
        <f>ROUND(MAX(C139:C144)/MIN(C139:C144)-1,3)</f>
        <v>7.2999999999999995E-2</v>
      </c>
      <c r="D145" s="3730"/>
      <c r="E145" s="3730"/>
      <c r="F145" s="3731" t="s">
        <v>3548</v>
      </c>
      <c r="G145" s="3732"/>
      <c r="H145" s="3733"/>
      <c r="I145" s="3734" t="s">
        <v>3545</v>
      </c>
      <c r="J145" s="3735">
        <v>8</v>
      </c>
      <c r="K145" s="3736">
        <f>ROUND(100+(J145-J140)*K139*100,1)</f>
        <v>99.2</v>
      </c>
      <c r="L145" s="3691"/>
      <c r="M145" s="3689"/>
      <c r="N145" s="3689"/>
      <c r="O145" s="3689"/>
      <c r="P145" s="3689"/>
      <c r="Q145" s="3689"/>
      <c r="R145" s="3689"/>
      <c r="S145" s="3689"/>
      <c r="T145" s="3689"/>
      <c r="U145" s="3689"/>
      <c r="V145" s="3689"/>
      <c r="W145" s="3689"/>
      <c r="X145" s="3689"/>
      <c r="Y145" s="3689"/>
      <c r="Z145" s="3689"/>
      <c r="AA145" s="3689"/>
      <c r="AB145" s="3689"/>
      <c r="AC145" s="3689"/>
    </row>
    <row r="146" spans="1:29">
      <c r="A146" s="3689"/>
      <c r="B146" s="3689"/>
      <c r="C146" s="3689"/>
      <c r="D146" s="3689"/>
      <c r="E146" s="3689"/>
      <c r="F146" s="3689"/>
      <c r="G146" s="3689"/>
      <c r="H146" s="3689"/>
      <c r="I146" s="3689"/>
      <c r="J146" s="3689"/>
      <c r="K146" s="3690"/>
      <c r="L146" s="3691"/>
      <c r="M146" s="3689"/>
      <c r="N146" s="3689"/>
      <c r="O146" s="3689"/>
      <c r="P146" s="3689"/>
      <c r="Q146" s="3689"/>
      <c r="R146" s="3689"/>
      <c r="S146" s="3689"/>
      <c r="T146" s="3689"/>
      <c r="U146" s="3689"/>
      <c r="V146" s="3689"/>
      <c r="W146" s="3689"/>
      <c r="X146" s="3689"/>
      <c r="Y146" s="3689"/>
      <c r="Z146" s="3689"/>
      <c r="AA146" s="3689"/>
      <c r="AB146" s="3689"/>
      <c r="AC146" s="3689"/>
    </row>
    <row r="147" spans="1:29">
      <c r="A147" s="3689"/>
      <c r="B147" s="3737" t="s">
        <v>3549</v>
      </c>
      <c r="L147" s="3691"/>
      <c r="M147" s="3689"/>
      <c r="N147" s="3689"/>
      <c r="O147" s="3689"/>
      <c r="P147" s="3689"/>
      <c r="Q147" s="3689"/>
      <c r="R147" s="3689"/>
      <c r="S147" s="3689"/>
      <c r="T147" s="3689"/>
      <c r="U147" s="3689"/>
      <c r="V147" s="3689"/>
      <c r="W147" s="3689"/>
      <c r="X147" s="3689"/>
      <c r="Y147" s="3689"/>
      <c r="Z147" s="3689"/>
      <c r="AA147" s="3689"/>
      <c r="AB147" s="3689"/>
      <c r="AC147" s="3689"/>
    </row>
    <row r="148" spans="1:29">
      <c r="A148" s="3689"/>
      <c r="B148" s="3737" t="s">
        <v>3550</v>
      </c>
      <c r="L148" s="3691"/>
      <c r="M148" s="3689"/>
      <c r="N148" s="3689"/>
      <c r="O148" s="3689"/>
      <c r="P148" s="3689"/>
      <c r="Q148" s="3689"/>
      <c r="R148" s="3689"/>
      <c r="S148" s="3689"/>
      <c r="T148" s="3689"/>
      <c r="U148" s="3689"/>
      <c r="V148" s="3689"/>
      <c r="W148" s="3689"/>
      <c r="X148" s="3689"/>
      <c r="Y148" s="3689"/>
      <c r="Z148" s="3689"/>
      <c r="AA148" s="3689"/>
      <c r="AB148" s="3689"/>
      <c r="AC148" s="3689"/>
    </row>
    <row r="149" spans="1:29">
      <c r="A149" s="3689"/>
      <c r="B149" s="3689"/>
      <c r="C149" s="3689"/>
      <c r="D149" s="3689"/>
      <c r="E149" s="3689"/>
      <c r="F149" s="3689"/>
      <c r="G149" s="3689"/>
      <c r="H149" s="3689"/>
      <c r="I149" s="3689"/>
      <c r="J149" s="3689"/>
      <c r="K149" s="3690"/>
      <c r="L149" s="3691"/>
      <c r="M149" s="3689"/>
      <c r="N149" s="3689"/>
      <c r="O149" s="3689"/>
      <c r="P149" s="3689"/>
      <c r="Q149" s="3689"/>
      <c r="R149" s="3689"/>
      <c r="S149" s="3689"/>
      <c r="T149" s="3689"/>
      <c r="U149" s="3689"/>
      <c r="V149" s="3689"/>
      <c r="W149" s="3689"/>
      <c r="X149" s="3689"/>
      <c r="Y149" s="3689"/>
      <c r="Z149" s="3689"/>
      <c r="AA149" s="3689"/>
      <c r="AB149" s="3689"/>
      <c r="AC149" s="3689"/>
    </row>
    <row r="150" spans="1:29">
      <c r="A150" s="3689"/>
      <c r="B150" s="3689"/>
      <c r="C150" s="3689"/>
      <c r="D150" s="3689"/>
      <c r="E150" s="3689"/>
      <c r="F150" s="3689"/>
      <c r="G150" s="3689"/>
      <c r="H150" s="3689"/>
      <c r="I150" s="3689"/>
      <c r="J150" s="3689"/>
      <c r="K150" s="3690"/>
      <c r="L150" s="3691"/>
      <c r="M150" s="3689"/>
      <c r="N150" s="3689"/>
      <c r="O150" s="3689"/>
      <c r="P150" s="3689"/>
      <c r="Q150" s="3689"/>
      <c r="R150" s="3689"/>
      <c r="S150" s="3689"/>
      <c r="T150" s="3689"/>
      <c r="U150" s="3689"/>
      <c r="V150" s="3689"/>
      <c r="W150" s="3689"/>
      <c r="X150" s="3689"/>
      <c r="Y150" s="3689"/>
      <c r="Z150" s="3689"/>
      <c r="AA150" s="3689"/>
      <c r="AB150" s="3689"/>
      <c r="AC150" s="3689"/>
    </row>
    <row r="151" spans="1:29">
      <c r="A151" s="3689"/>
      <c r="B151" s="3689"/>
      <c r="C151" s="3689"/>
      <c r="D151" s="3689"/>
      <c r="E151" s="3689"/>
      <c r="F151" s="3689"/>
      <c r="G151" s="3689"/>
      <c r="H151" s="3689"/>
      <c r="I151" s="3689"/>
      <c r="J151" s="3689"/>
      <c r="K151" s="3690"/>
      <c r="L151" s="3691"/>
      <c r="M151" s="3689"/>
      <c r="N151" s="3689"/>
      <c r="O151" s="3689"/>
      <c r="P151" s="3689"/>
      <c r="Q151" s="3689"/>
      <c r="R151" s="3689"/>
      <c r="S151" s="3689"/>
      <c r="T151" s="3689"/>
      <c r="U151" s="3689"/>
      <c r="V151" s="3689"/>
      <c r="W151" s="3689"/>
      <c r="X151" s="3689"/>
      <c r="Y151" s="3689"/>
      <c r="Z151" s="3689"/>
      <c r="AA151" s="3689"/>
      <c r="AB151" s="3689"/>
      <c r="AC151" s="3689"/>
    </row>
    <row r="152" spans="1:29">
      <c r="A152" s="3689"/>
      <c r="B152" s="3689"/>
      <c r="C152" s="3689"/>
      <c r="D152" s="3689"/>
      <c r="E152" s="3689"/>
      <c r="F152" s="3689"/>
      <c r="G152" s="3689"/>
      <c r="H152" s="3689"/>
      <c r="I152" s="3689"/>
      <c r="J152" s="3689"/>
      <c r="K152" s="3690"/>
      <c r="L152" s="3691"/>
      <c r="M152" s="3689"/>
      <c r="N152" s="3689"/>
      <c r="O152" s="3689"/>
      <c r="P152" s="3689"/>
      <c r="Q152" s="3689"/>
      <c r="R152" s="3689"/>
      <c r="S152" s="3689"/>
      <c r="T152" s="3689"/>
      <c r="U152" s="3689"/>
      <c r="V152" s="3689"/>
      <c r="W152" s="3689"/>
      <c r="X152" s="3689"/>
      <c r="Y152" s="3689"/>
      <c r="Z152" s="3689"/>
      <c r="AA152" s="3689"/>
      <c r="AB152" s="3689"/>
      <c r="AC152" s="3689"/>
    </row>
    <row r="153" spans="1:29">
      <c r="A153" s="3689"/>
      <c r="B153" s="3689"/>
      <c r="C153" s="3689"/>
      <c r="D153" s="3689"/>
      <c r="E153" s="3689"/>
      <c r="F153" s="3689"/>
      <c r="G153" s="3689"/>
      <c r="H153" s="3689"/>
      <c r="I153" s="3689"/>
      <c r="J153" s="3689"/>
      <c r="K153" s="3690"/>
      <c r="L153" s="3691"/>
      <c r="M153" s="3689"/>
      <c r="N153" s="3689"/>
      <c r="O153" s="3689"/>
      <c r="P153" s="3689"/>
      <c r="Q153" s="3689"/>
      <c r="R153" s="3689"/>
      <c r="S153" s="3689"/>
      <c r="T153" s="3689"/>
      <c r="U153" s="3689"/>
      <c r="V153" s="3689"/>
      <c r="W153" s="3689"/>
      <c r="X153" s="3689"/>
      <c r="Y153" s="3689"/>
      <c r="Z153" s="3689"/>
      <c r="AA153" s="3689"/>
      <c r="AB153" s="3689"/>
      <c r="AC153" s="3689"/>
    </row>
    <row r="154" spans="1:29">
      <c r="A154" s="3689"/>
      <c r="B154" s="3689"/>
      <c r="C154" s="3689"/>
      <c r="D154" s="3689"/>
      <c r="E154" s="3689"/>
      <c r="F154" s="3689"/>
      <c r="G154" s="3689"/>
      <c r="H154" s="3689"/>
      <c r="I154" s="3689"/>
      <c r="J154" s="3689"/>
      <c r="K154" s="3690"/>
      <c r="L154" s="3691"/>
      <c r="M154" s="3689"/>
      <c r="N154" s="3689"/>
      <c r="O154" s="3689"/>
      <c r="P154" s="3689"/>
      <c r="Q154" s="3689"/>
      <c r="R154" s="3689"/>
      <c r="S154" s="3689"/>
      <c r="T154" s="3689"/>
      <c r="U154" s="3689"/>
      <c r="V154" s="3689"/>
      <c r="W154" s="3689"/>
      <c r="X154" s="3689"/>
      <c r="Y154" s="3689"/>
      <c r="Z154" s="3689"/>
      <c r="AA154" s="3689"/>
      <c r="AB154" s="3689"/>
      <c r="AC154" s="3689"/>
    </row>
    <row r="155" spans="1:29">
      <c r="A155" s="3689"/>
      <c r="B155" s="3689"/>
      <c r="C155" s="3689"/>
      <c r="D155" s="3689"/>
      <c r="E155" s="3689"/>
      <c r="F155" s="3689"/>
      <c r="G155" s="3689"/>
      <c r="H155" s="3689"/>
      <c r="I155" s="3689"/>
      <c r="J155" s="3689"/>
      <c r="K155" s="3690"/>
      <c r="L155" s="3691"/>
      <c r="M155" s="3689"/>
      <c r="N155" s="3689"/>
      <c r="O155" s="3689"/>
      <c r="P155" s="3689"/>
      <c r="Q155" s="3689"/>
      <c r="R155" s="3689"/>
      <c r="S155" s="3689"/>
      <c r="T155" s="3689"/>
      <c r="U155" s="3689"/>
      <c r="V155" s="3689"/>
      <c r="W155" s="3689"/>
      <c r="X155" s="3689"/>
      <c r="Y155" s="3689"/>
      <c r="Z155" s="3689"/>
      <c r="AA155" s="3689"/>
      <c r="AB155" s="3689"/>
      <c r="AC155" s="3689"/>
    </row>
    <row r="156" spans="1:29">
      <c r="A156" s="3689"/>
      <c r="B156" s="3689"/>
      <c r="C156" s="3689"/>
      <c r="D156" s="3689"/>
      <c r="E156" s="3689"/>
      <c r="F156" s="3689"/>
      <c r="G156" s="3689"/>
      <c r="H156" s="3689"/>
      <c r="I156" s="3689"/>
      <c r="J156" s="3689"/>
      <c r="K156" s="3690"/>
      <c r="L156" s="3691"/>
      <c r="M156" s="3689"/>
      <c r="N156" s="3689"/>
      <c r="O156" s="3689"/>
      <c r="P156" s="3689"/>
      <c r="Q156" s="3689"/>
      <c r="R156" s="3689"/>
      <c r="S156" s="3689"/>
      <c r="T156" s="3689"/>
      <c r="U156" s="3689"/>
      <c r="V156" s="3689"/>
      <c r="W156" s="3689"/>
      <c r="X156" s="3689"/>
      <c r="Y156" s="3689"/>
      <c r="Z156" s="3689"/>
      <c r="AA156" s="3689"/>
      <c r="AB156" s="3689"/>
      <c r="AC156" s="3689"/>
    </row>
    <row r="157" spans="1:29">
      <c r="A157" s="3689"/>
      <c r="B157" s="3689"/>
      <c r="C157" s="3689"/>
      <c r="D157" s="3689"/>
      <c r="E157" s="3689"/>
      <c r="F157" s="3689"/>
      <c r="G157" s="3689"/>
      <c r="H157" s="3689"/>
      <c r="I157" s="3689"/>
      <c r="J157" s="3689"/>
      <c r="K157" s="3690"/>
      <c r="L157" s="3691"/>
      <c r="M157" s="3689"/>
      <c r="N157" s="3689"/>
      <c r="O157" s="3689"/>
      <c r="P157" s="3689"/>
      <c r="Q157" s="3689"/>
      <c r="R157" s="3689"/>
      <c r="S157" s="3689"/>
      <c r="T157" s="3689"/>
      <c r="U157" s="3689"/>
      <c r="V157" s="3689"/>
      <c r="W157" s="3689"/>
      <c r="X157" s="3689"/>
      <c r="Y157" s="3689"/>
      <c r="Z157" s="3689"/>
      <c r="AA157" s="3689"/>
      <c r="AB157" s="3689"/>
      <c r="AC157" s="3689"/>
    </row>
    <row r="158" spans="1:29">
      <c r="A158" s="3689"/>
      <c r="B158" s="3689"/>
      <c r="C158" s="3689"/>
      <c r="D158" s="3689"/>
      <c r="E158" s="3689"/>
      <c r="F158" s="3689"/>
      <c r="G158" s="3689"/>
      <c r="H158" s="3689"/>
      <c r="I158" s="3689"/>
      <c r="J158" s="3689"/>
      <c r="K158" s="3690"/>
      <c r="L158" s="3691"/>
      <c r="M158" s="3689"/>
      <c r="N158" s="3689"/>
      <c r="O158" s="3689"/>
      <c r="P158" s="3689"/>
      <c r="Q158" s="3689"/>
      <c r="R158" s="3689"/>
      <c r="S158" s="3689"/>
      <c r="T158" s="3689"/>
      <c r="U158" s="3689"/>
      <c r="V158" s="3689"/>
      <c r="W158" s="3689"/>
      <c r="X158" s="3689"/>
      <c r="Y158" s="3689"/>
      <c r="Z158" s="3689"/>
      <c r="AA158" s="3689"/>
      <c r="AB158" s="3689"/>
      <c r="AC158" s="3689"/>
    </row>
    <row r="159" spans="1:29">
      <c r="A159" s="3689"/>
      <c r="B159" s="3689"/>
      <c r="C159" s="3689"/>
      <c r="D159" s="3689"/>
      <c r="E159" s="3689"/>
      <c r="F159" s="3689"/>
      <c r="G159" s="3689"/>
      <c r="H159" s="3689"/>
      <c r="I159" s="3689"/>
      <c r="J159" s="3689"/>
      <c r="K159" s="3690"/>
      <c r="L159" s="3691"/>
      <c r="M159" s="3689"/>
      <c r="N159" s="3689"/>
      <c r="O159" s="3689"/>
      <c r="P159" s="3689"/>
      <c r="Q159" s="3689"/>
      <c r="R159" s="3689"/>
      <c r="S159" s="3689"/>
      <c r="T159" s="3689"/>
      <c r="U159" s="3689"/>
      <c r="V159" s="3689"/>
      <c r="W159" s="3689"/>
      <c r="X159" s="3689"/>
      <c r="Y159" s="3689"/>
      <c r="Z159" s="3689"/>
      <c r="AA159" s="3689"/>
      <c r="AB159" s="3689"/>
      <c r="AC159" s="3689"/>
    </row>
    <row r="160" spans="1:29">
      <c r="A160" s="3689"/>
      <c r="B160" s="3689"/>
      <c r="C160" s="3689"/>
      <c r="D160" s="3689"/>
      <c r="E160" s="3689"/>
      <c r="F160" s="3689"/>
      <c r="G160" s="3689"/>
      <c r="H160" s="3689"/>
      <c r="I160" s="3689"/>
      <c r="J160" s="3689"/>
      <c r="K160" s="3690"/>
      <c r="L160" s="3691"/>
      <c r="M160" s="3689"/>
      <c r="N160" s="3689"/>
      <c r="O160" s="3689"/>
      <c r="P160" s="3689"/>
      <c r="Q160" s="3689"/>
      <c r="R160" s="3689"/>
      <c r="S160" s="3689"/>
      <c r="T160" s="3689"/>
      <c r="U160" s="3689"/>
      <c r="V160" s="3689"/>
      <c r="W160" s="3689"/>
      <c r="X160" s="3689"/>
      <c r="Y160" s="3689"/>
      <c r="Z160" s="3689"/>
      <c r="AA160" s="3689"/>
      <c r="AB160" s="3689"/>
      <c r="AC160" s="3689"/>
    </row>
    <row r="161" spans="1:29">
      <c r="A161" s="3689"/>
      <c r="B161" s="3689"/>
      <c r="C161" s="3689"/>
      <c r="D161" s="3689"/>
      <c r="E161" s="3689"/>
      <c r="F161" s="3689"/>
      <c r="G161" s="3689"/>
      <c r="H161" s="3689"/>
      <c r="I161" s="3689"/>
      <c r="J161" s="3689"/>
      <c r="K161" s="3690"/>
      <c r="L161" s="3691"/>
      <c r="M161" s="3689"/>
      <c r="N161" s="3689"/>
      <c r="O161" s="3689"/>
      <c r="P161" s="3689"/>
      <c r="Q161" s="3689"/>
      <c r="R161" s="3689"/>
      <c r="S161" s="3689"/>
      <c r="T161" s="3689"/>
      <c r="U161" s="3689"/>
      <c r="V161" s="3689"/>
      <c r="W161" s="3689"/>
      <c r="X161" s="3689"/>
      <c r="Y161" s="3689"/>
      <c r="Z161" s="3689"/>
      <c r="AA161" s="3689"/>
      <c r="AB161" s="3689"/>
      <c r="AC161" s="3689"/>
    </row>
    <row r="162" spans="1:29">
      <c r="A162" s="3689"/>
      <c r="B162" s="3689"/>
      <c r="C162" s="3689"/>
      <c r="D162" s="3689"/>
      <c r="E162" s="3689"/>
      <c r="F162" s="3689"/>
      <c r="G162" s="3689"/>
      <c r="H162" s="3689"/>
      <c r="I162" s="3689"/>
      <c r="J162" s="3689"/>
      <c r="K162" s="3690"/>
      <c r="L162" s="3691"/>
      <c r="M162" s="3689"/>
      <c r="N162" s="3689"/>
      <c r="O162" s="3689"/>
      <c r="P162" s="3689"/>
      <c r="Q162" s="3689"/>
      <c r="R162" s="3689"/>
      <c r="S162" s="3689"/>
      <c r="T162" s="3689"/>
      <c r="U162" s="3689"/>
      <c r="V162" s="3689"/>
      <c r="W162" s="3689"/>
      <c r="X162" s="3689"/>
      <c r="Y162" s="3689"/>
      <c r="Z162" s="3689"/>
      <c r="AA162" s="3689"/>
      <c r="AB162" s="3689"/>
      <c r="AC162" s="3689"/>
    </row>
    <row r="163" spans="1:29">
      <c r="A163" s="3689"/>
      <c r="B163" s="3689"/>
      <c r="C163" s="3689"/>
      <c r="D163" s="3689"/>
      <c r="E163" s="3689"/>
      <c r="F163" s="3689"/>
      <c r="G163" s="3689"/>
      <c r="H163" s="3689"/>
      <c r="I163" s="3689"/>
      <c r="J163" s="3689"/>
      <c r="K163" s="3690"/>
      <c r="L163" s="3691"/>
      <c r="M163" s="3689"/>
      <c r="N163" s="3689"/>
      <c r="O163" s="3689"/>
      <c r="P163" s="3689"/>
      <c r="Q163" s="3689"/>
      <c r="R163" s="3689"/>
      <c r="S163" s="3689"/>
      <c r="T163" s="3689"/>
      <c r="U163" s="3689"/>
      <c r="V163" s="3689"/>
      <c r="W163" s="3689"/>
      <c r="X163" s="3689"/>
      <c r="Y163" s="3689"/>
      <c r="Z163" s="3689"/>
      <c r="AA163" s="3689"/>
      <c r="AB163" s="3689"/>
      <c r="AC163" s="3689"/>
    </row>
    <row r="164" spans="1:29">
      <c r="A164" s="3689"/>
      <c r="B164" s="3689"/>
      <c r="C164" s="3689"/>
      <c r="D164" s="3689"/>
      <c r="E164" s="3689"/>
      <c r="F164" s="3689"/>
      <c r="G164" s="3689"/>
      <c r="H164" s="3689"/>
      <c r="I164" s="3689"/>
      <c r="J164" s="3689"/>
      <c r="K164" s="3690"/>
      <c r="L164" s="3691"/>
      <c r="M164" s="3689"/>
      <c r="N164" s="3689"/>
      <c r="O164" s="3689"/>
      <c r="P164" s="3689"/>
      <c r="Q164" s="3689"/>
      <c r="R164" s="3689"/>
      <c r="S164" s="3689"/>
      <c r="T164" s="3689"/>
      <c r="U164" s="3689"/>
      <c r="V164" s="3689"/>
      <c r="W164" s="3689"/>
      <c r="X164" s="3689"/>
      <c r="Y164" s="3689"/>
      <c r="Z164" s="3689"/>
      <c r="AA164" s="3689"/>
      <c r="AB164" s="3689"/>
      <c r="AC164" s="3689"/>
    </row>
    <row r="165" spans="1:29">
      <c r="A165" s="3689"/>
      <c r="B165" s="3689"/>
      <c r="C165" s="3689"/>
      <c r="D165" s="3689"/>
      <c r="E165" s="3689"/>
      <c r="F165" s="3689"/>
      <c r="G165" s="3689"/>
      <c r="H165" s="3689"/>
      <c r="I165" s="3689"/>
      <c r="J165" s="3689"/>
      <c r="K165" s="3690"/>
      <c r="L165" s="3691"/>
      <c r="M165" s="3689"/>
      <c r="N165" s="3689"/>
      <c r="O165" s="3689"/>
      <c r="P165" s="3689"/>
      <c r="Q165" s="3689"/>
      <c r="R165" s="3689"/>
      <c r="S165" s="3689"/>
      <c r="T165" s="3689"/>
      <c r="U165" s="3689"/>
      <c r="V165" s="3689"/>
      <c r="W165" s="3689"/>
      <c r="X165" s="3689"/>
      <c r="Y165" s="3689"/>
      <c r="Z165" s="3689"/>
      <c r="AA165" s="3689"/>
      <c r="AB165" s="3689"/>
      <c r="AC165" s="3689"/>
    </row>
    <row r="166" spans="1:29">
      <c r="A166" s="3689"/>
      <c r="B166" s="3689"/>
      <c r="C166" s="3689"/>
      <c r="D166" s="3689"/>
      <c r="E166" s="3689"/>
      <c r="F166" s="3689"/>
      <c r="G166" s="3689"/>
      <c r="H166" s="3689"/>
      <c r="I166" s="3689"/>
      <c r="J166" s="3689"/>
      <c r="K166" s="3690"/>
      <c r="L166" s="3691"/>
      <c r="M166" s="3689"/>
      <c r="N166" s="3689"/>
      <c r="O166" s="3689"/>
      <c r="P166" s="3689"/>
      <c r="Q166" s="3689"/>
      <c r="R166" s="3689"/>
      <c r="S166" s="3689"/>
      <c r="T166" s="3689"/>
      <c r="U166" s="3689"/>
      <c r="V166" s="3689"/>
      <c r="W166" s="3689"/>
      <c r="X166" s="3689"/>
      <c r="Y166" s="3689"/>
      <c r="Z166" s="3689"/>
      <c r="AA166" s="3689"/>
      <c r="AB166" s="3689"/>
      <c r="AC166" s="3689"/>
    </row>
    <row r="167" spans="1:29">
      <c r="A167" s="3689"/>
      <c r="B167" s="3689"/>
      <c r="C167" s="3689"/>
      <c r="D167" s="3689"/>
      <c r="E167" s="3689"/>
      <c r="F167" s="3689"/>
      <c r="G167" s="3689"/>
      <c r="H167" s="3689"/>
      <c r="I167" s="3689"/>
      <c r="J167" s="3689"/>
      <c r="K167" s="3690"/>
      <c r="L167" s="3691"/>
      <c r="M167" s="3689"/>
      <c r="N167" s="3689"/>
      <c r="O167" s="3689"/>
      <c r="P167" s="3689"/>
      <c r="Q167" s="3689"/>
      <c r="R167" s="3689"/>
      <c r="S167" s="3689"/>
      <c r="T167" s="3689"/>
      <c r="U167" s="3689"/>
      <c r="V167" s="3689"/>
      <c r="W167" s="3689"/>
      <c r="X167" s="3689"/>
      <c r="Y167" s="3689"/>
      <c r="Z167" s="3689"/>
      <c r="AA167" s="3689"/>
      <c r="AB167" s="3689"/>
      <c r="AC167" s="3689"/>
    </row>
    <row r="168" spans="1:29">
      <c r="A168" s="3689"/>
      <c r="B168" s="3689"/>
      <c r="C168" s="3689"/>
      <c r="D168" s="3689"/>
      <c r="E168" s="3689"/>
      <c r="F168" s="3689"/>
      <c r="G168" s="3689"/>
      <c r="H168" s="3689"/>
      <c r="I168" s="3689"/>
      <c r="J168" s="3689"/>
      <c r="K168" s="3690"/>
      <c r="L168" s="3691"/>
      <c r="M168" s="3689"/>
      <c r="N168" s="3689"/>
      <c r="O168" s="3689"/>
      <c r="P168" s="3689"/>
      <c r="Q168" s="3689"/>
      <c r="R168" s="3689"/>
      <c r="S168" s="3689"/>
      <c r="T168" s="3689"/>
      <c r="U168" s="3689"/>
      <c r="V168" s="3689"/>
      <c r="W168" s="3689"/>
      <c r="X168" s="3689"/>
      <c r="Y168" s="3689"/>
      <c r="Z168" s="3689"/>
      <c r="AA168" s="3689"/>
      <c r="AB168" s="3689"/>
      <c r="AC168" s="3689"/>
    </row>
    <row r="169" spans="1:29">
      <c r="A169" s="3689"/>
      <c r="B169" s="3689"/>
      <c r="C169" s="3689"/>
      <c r="D169" s="3689"/>
      <c r="E169" s="3689"/>
      <c r="F169" s="3689"/>
      <c r="G169" s="3689"/>
      <c r="H169" s="3689"/>
      <c r="I169" s="3689"/>
      <c r="J169" s="3689"/>
      <c r="K169" s="3690"/>
      <c r="L169" s="3691"/>
      <c r="M169" s="3689"/>
      <c r="N169" s="3689"/>
      <c r="O169" s="3689"/>
      <c r="P169" s="3689"/>
      <c r="Q169" s="3689"/>
      <c r="R169" s="3689"/>
      <c r="S169" s="3689"/>
      <c r="T169" s="3689"/>
      <c r="U169" s="3689"/>
      <c r="V169" s="3689"/>
      <c r="W169" s="3689"/>
      <c r="X169" s="3689"/>
      <c r="Y169" s="3689"/>
      <c r="Z169" s="3689"/>
      <c r="AA169" s="3689"/>
      <c r="AB169" s="3689"/>
      <c r="AC169" s="3689"/>
    </row>
    <row r="170" spans="1:29">
      <c r="A170" s="3689"/>
      <c r="B170" s="3689"/>
      <c r="C170" s="3689"/>
      <c r="D170" s="3689"/>
      <c r="E170" s="3689"/>
      <c r="F170" s="3689"/>
      <c r="G170" s="3689"/>
      <c r="H170" s="3689"/>
      <c r="I170" s="3689"/>
      <c r="J170" s="3689"/>
      <c r="K170" s="3690"/>
      <c r="L170" s="3691"/>
      <c r="M170" s="3689"/>
      <c r="N170" s="3689"/>
      <c r="O170" s="3689"/>
      <c r="P170" s="3689"/>
      <c r="Q170" s="3689"/>
      <c r="R170" s="3689"/>
      <c r="S170" s="3689"/>
      <c r="T170" s="3689"/>
      <c r="U170" s="3689"/>
      <c r="V170" s="3689"/>
      <c r="W170" s="3689"/>
      <c r="X170" s="3689"/>
      <c r="Y170" s="3689"/>
      <c r="Z170" s="3689"/>
      <c r="AA170" s="3689"/>
      <c r="AB170" s="3689"/>
      <c r="AC170" s="3689"/>
    </row>
    <row r="171" spans="1:29">
      <c r="A171" s="3689"/>
      <c r="B171" s="3689"/>
      <c r="C171" s="3689"/>
      <c r="D171" s="3689"/>
      <c r="E171" s="3689"/>
      <c r="F171" s="3689"/>
      <c r="G171" s="3689"/>
      <c r="H171" s="3689"/>
      <c r="I171" s="3689"/>
      <c r="J171" s="3689"/>
      <c r="K171" s="3690"/>
      <c r="L171" s="3691"/>
      <c r="M171" s="3689"/>
      <c r="N171" s="3689"/>
      <c r="O171" s="3689"/>
      <c r="P171" s="3689"/>
      <c r="Q171" s="3689"/>
      <c r="R171" s="3689"/>
      <c r="S171" s="3689"/>
      <c r="T171" s="3689"/>
      <c r="U171" s="3689"/>
      <c r="V171" s="3689"/>
      <c r="W171" s="3689"/>
      <c r="X171" s="3689"/>
      <c r="Y171" s="3689"/>
      <c r="Z171" s="3689"/>
      <c r="AA171" s="3689"/>
      <c r="AB171" s="3689"/>
      <c r="AC171" s="3689"/>
    </row>
    <row r="172" spans="1:29">
      <c r="A172" s="3689"/>
      <c r="B172" s="3689"/>
      <c r="C172" s="3689"/>
      <c r="D172" s="3689"/>
      <c r="E172" s="3689"/>
      <c r="F172" s="3689"/>
      <c r="G172" s="3689"/>
      <c r="H172" s="3689"/>
      <c r="I172" s="3689"/>
      <c r="J172" s="3689"/>
      <c r="K172" s="3690"/>
      <c r="L172" s="3691"/>
      <c r="M172" s="3689"/>
      <c r="N172" s="3689"/>
      <c r="O172" s="3689"/>
      <c r="P172" s="3689"/>
      <c r="Q172" s="3689"/>
      <c r="R172" s="3689"/>
      <c r="S172" s="3689"/>
      <c r="T172" s="3689"/>
      <c r="U172" s="3689"/>
      <c r="V172" s="3689"/>
      <c r="W172" s="3689"/>
      <c r="X172" s="3689"/>
      <c r="Y172" s="3689"/>
      <c r="Z172" s="3689"/>
      <c r="AA172" s="3689"/>
      <c r="AB172" s="3689"/>
      <c r="AC172" s="3689"/>
    </row>
    <row r="173" spans="1:29">
      <c r="A173" s="3689"/>
      <c r="B173" s="3689"/>
      <c r="C173" s="3689"/>
      <c r="D173" s="3689"/>
      <c r="E173" s="3689"/>
      <c r="F173" s="3689"/>
      <c r="G173" s="3689"/>
      <c r="H173" s="3689"/>
      <c r="I173" s="3689"/>
      <c r="J173" s="3689"/>
      <c r="K173" s="3690"/>
      <c r="L173" s="3691"/>
      <c r="M173" s="3689"/>
      <c r="N173" s="3689"/>
      <c r="O173" s="3689"/>
      <c r="P173" s="3689"/>
      <c r="Q173" s="3689"/>
      <c r="R173" s="3689"/>
      <c r="S173" s="3689"/>
      <c r="T173" s="3689"/>
      <c r="U173" s="3689"/>
      <c r="V173" s="3689"/>
      <c r="W173" s="3689"/>
      <c r="X173" s="3689"/>
      <c r="Y173" s="3689"/>
      <c r="Z173" s="3689"/>
      <c r="AA173" s="3689"/>
      <c r="AB173" s="3689"/>
      <c r="AC173" s="3689"/>
    </row>
    <row r="174" spans="1:29">
      <c r="A174" s="3689"/>
      <c r="B174" s="3689"/>
      <c r="C174" s="3689"/>
      <c r="D174" s="3689"/>
      <c r="E174" s="3689"/>
      <c r="F174" s="3689"/>
      <c r="G174" s="3689"/>
      <c r="H174" s="3689"/>
      <c r="I174" s="3689"/>
      <c r="J174" s="3689"/>
      <c r="K174" s="3690"/>
      <c r="L174" s="3691"/>
      <c r="M174" s="3689"/>
      <c r="N174" s="3689"/>
      <c r="O174" s="3689"/>
      <c r="P174" s="3689"/>
      <c r="Q174" s="3689"/>
      <c r="R174" s="3689"/>
      <c r="S174" s="3689"/>
      <c r="T174" s="3689"/>
      <c r="U174" s="3689"/>
      <c r="V174" s="3689"/>
      <c r="W174" s="3689"/>
      <c r="X174" s="3689"/>
      <c r="Y174" s="3689"/>
      <c r="Z174" s="3689"/>
      <c r="AA174" s="3689"/>
      <c r="AB174" s="3689"/>
      <c r="AC174" s="3689"/>
    </row>
    <row r="175" spans="1:29">
      <c r="A175" s="3689"/>
      <c r="B175" s="3689"/>
      <c r="C175" s="3689"/>
      <c r="D175" s="3689"/>
      <c r="E175" s="3689"/>
      <c r="F175" s="3689"/>
      <c r="G175" s="3689"/>
      <c r="H175" s="3689"/>
      <c r="I175" s="3689"/>
      <c r="J175" s="3689"/>
      <c r="K175" s="3690"/>
      <c r="L175" s="3691"/>
      <c r="M175" s="3689"/>
      <c r="N175" s="3689"/>
      <c r="O175" s="3689"/>
      <c r="P175" s="3689"/>
      <c r="Q175" s="3689"/>
      <c r="R175" s="3689"/>
      <c r="S175" s="3689"/>
      <c r="T175" s="3689"/>
      <c r="U175" s="3689"/>
      <c r="V175" s="3689"/>
      <c r="W175" s="3689"/>
      <c r="X175" s="3689"/>
      <c r="Y175" s="3689"/>
      <c r="Z175" s="3689"/>
      <c r="AA175" s="3689"/>
      <c r="AB175" s="3689"/>
      <c r="AC175" s="3689"/>
    </row>
    <row r="176" spans="1:29">
      <c r="A176" s="3689"/>
      <c r="B176" s="3689"/>
      <c r="C176" s="3689"/>
      <c r="D176" s="3689"/>
      <c r="E176" s="3689"/>
      <c r="F176" s="3689"/>
      <c r="G176" s="3689"/>
      <c r="H176" s="3689"/>
      <c r="I176" s="3689"/>
      <c r="J176" s="3689"/>
      <c r="K176" s="3690"/>
      <c r="L176" s="3691"/>
      <c r="M176" s="3689"/>
      <c r="N176" s="3689"/>
      <c r="O176" s="3689"/>
      <c r="P176" s="3689"/>
      <c r="Q176" s="3689"/>
      <c r="R176" s="3689"/>
      <c r="S176" s="3689"/>
      <c r="T176" s="3689"/>
      <c r="U176" s="3689"/>
      <c r="V176" s="3689"/>
      <c r="W176" s="3689"/>
      <c r="X176" s="3689"/>
      <c r="Y176" s="3689"/>
      <c r="Z176" s="3689"/>
      <c r="AA176" s="3689"/>
      <c r="AB176" s="3689"/>
      <c r="AC176" s="3689"/>
    </row>
    <row r="177" spans="1:29">
      <c r="A177" s="3689"/>
      <c r="B177" s="3689"/>
      <c r="C177" s="3689"/>
      <c r="D177" s="3689"/>
      <c r="E177" s="3689"/>
      <c r="F177" s="3689"/>
      <c r="G177" s="3689"/>
      <c r="H177" s="3689"/>
      <c r="I177" s="3689"/>
      <c r="J177" s="3689"/>
      <c r="K177" s="3690"/>
      <c r="L177" s="3691"/>
      <c r="M177" s="3689"/>
      <c r="N177" s="3689"/>
      <c r="O177" s="3689"/>
      <c r="P177" s="3689"/>
      <c r="Q177" s="3689"/>
      <c r="R177" s="3689"/>
      <c r="S177" s="3689"/>
      <c r="T177" s="3689"/>
      <c r="U177" s="3689"/>
      <c r="V177" s="3689"/>
      <c r="W177" s="3689"/>
      <c r="X177" s="3689"/>
      <c r="Y177" s="3689"/>
      <c r="Z177" s="3689"/>
      <c r="AA177" s="3689"/>
      <c r="AB177" s="3689"/>
      <c r="AC177" s="3689"/>
    </row>
    <row r="178" spans="1:29">
      <c r="A178" s="3689"/>
      <c r="B178" s="3689"/>
      <c r="C178" s="3689"/>
      <c r="D178" s="3689"/>
      <c r="E178" s="3689"/>
      <c r="F178" s="3689"/>
      <c r="G178" s="3689"/>
      <c r="H178" s="3689"/>
      <c r="I178" s="3689"/>
      <c r="J178" s="3689"/>
      <c r="K178" s="3690"/>
      <c r="L178" s="3691"/>
      <c r="M178" s="3689"/>
      <c r="N178" s="3689"/>
      <c r="O178" s="3689"/>
      <c r="P178" s="3689"/>
      <c r="Q178" s="3689"/>
      <c r="R178" s="3689"/>
      <c r="S178" s="3689"/>
      <c r="T178" s="3689"/>
      <c r="U178" s="3689"/>
      <c r="V178" s="3689"/>
      <c r="W178" s="3689"/>
      <c r="X178" s="3689"/>
      <c r="Y178" s="3689"/>
      <c r="Z178" s="3689"/>
      <c r="AA178" s="3689"/>
      <c r="AB178" s="3689"/>
      <c r="AC178" s="3689"/>
    </row>
    <row r="179" spans="1:29">
      <c r="A179" s="3689"/>
      <c r="B179" s="3689"/>
      <c r="C179" s="3689"/>
      <c r="D179" s="3689"/>
      <c r="E179" s="3689"/>
      <c r="F179" s="3689"/>
      <c r="G179" s="3689"/>
      <c r="H179" s="3689"/>
      <c r="I179" s="3689"/>
      <c r="J179" s="3689"/>
      <c r="K179" s="3690"/>
      <c r="L179" s="3691"/>
      <c r="M179" s="3689"/>
      <c r="N179" s="3689"/>
      <c r="O179" s="3689"/>
      <c r="P179" s="3689"/>
      <c r="Q179" s="3689"/>
      <c r="R179" s="3689"/>
      <c r="S179" s="3689"/>
      <c r="T179" s="3689"/>
      <c r="U179" s="3689"/>
      <c r="V179" s="3689"/>
      <c r="W179" s="3689"/>
      <c r="X179" s="3689"/>
      <c r="Y179" s="3689"/>
      <c r="Z179" s="3689"/>
      <c r="AA179" s="3689"/>
      <c r="AB179" s="3689"/>
      <c r="AC179" s="3689"/>
    </row>
    <row r="180" spans="1:29">
      <c r="A180" s="3689"/>
      <c r="B180" s="3689"/>
      <c r="C180" s="3689"/>
      <c r="D180" s="3689"/>
      <c r="E180" s="3689"/>
      <c r="F180" s="3689"/>
      <c r="G180" s="3689"/>
      <c r="H180" s="3689"/>
      <c r="I180" s="3689"/>
      <c r="J180" s="3689"/>
      <c r="K180" s="3690"/>
      <c r="L180" s="3691"/>
      <c r="M180" s="3689"/>
      <c r="N180" s="3689"/>
      <c r="O180" s="3689"/>
      <c r="P180" s="3689"/>
      <c r="Q180" s="3689"/>
      <c r="R180" s="3689"/>
      <c r="S180" s="3689"/>
      <c r="T180" s="3689"/>
      <c r="U180" s="3689"/>
      <c r="V180" s="3689"/>
      <c r="W180" s="3689"/>
      <c r="X180" s="3689"/>
      <c r="Y180" s="3689"/>
      <c r="Z180" s="3689"/>
      <c r="AA180" s="3689"/>
      <c r="AB180" s="3689"/>
      <c r="AC180" s="3689"/>
    </row>
    <row r="181" spans="1:29">
      <c r="A181" s="3689"/>
      <c r="B181" s="3689"/>
      <c r="C181" s="3689"/>
      <c r="D181" s="3689"/>
      <c r="E181" s="3689"/>
      <c r="F181" s="3689"/>
      <c r="G181" s="3689"/>
      <c r="H181" s="3689"/>
      <c r="I181" s="3689"/>
      <c r="J181" s="3689"/>
      <c r="K181" s="3690"/>
      <c r="L181" s="3691"/>
      <c r="M181" s="3689"/>
      <c r="N181" s="3689"/>
      <c r="O181" s="3689"/>
      <c r="P181" s="3689"/>
      <c r="Q181" s="3689"/>
      <c r="R181" s="3689"/>
      <c r="S181" s="3689"/>
      <c r="T181" s="3689"/>
      <c r="U181" s="3689"/>
      <c r="V181" s="3689"/>
      <c r="W181" s="3689"/>
      <c r="X181" s="3689"/>
      <c r="Y181" s="3689"/>
      <c r="Z181" s="3689"/>
      <c r="AA181" s="3689"/>
      <c r="AB181" s="3689"/>
      <c r="AC181" s="3689"/>
    </row>
    <row r="182" spans="1:29">
      <c r="A182" s="3689"/>
      <c r="B182" s="3689"/>
      <c r="C182" s="3689"/>
      <c r="D182" s="3689"/>
      <c r="E182" s="3689"/>
      <c r="F182" s="3689"/>
      <c r="G182" s="3689"/>
      <c r="H182" s="3689"/>
      <c r="I182" s="3689"/>
      <c r="J182" s="3689"/>
      <c r="K182" s="3690"/>
      <c r="L182" s="3691"/>
      <c r="M182" s="3689"/>
      <c r="N182" s="3689"/>
      <c r="O182" s="3689"/>
      <c r="P182" s="3689"/>
      <c r="Q182" s="3689"/>
      <c r="R182" s="3689"/>
      <c r="S182" s="3689"/>
      <c r="T182" s="3689"/>
      <c r="U182" s="3689"/>
      <c r="V182" s="3689"/>
      <c r="W182" s="3689"/>
      <c r="X182" s="3689"/>
      <c r="Y182" s="3689"/>
      <c r="Z182" s="3689"/>
      <c r="AA182" s="3689"/>
      <c r="AB182" s="3689"/>
      <c r="AC182" s="3689"/>
    </row>
    <row r="183" spans="1:29">
      <c r="A183" s="3689"/>
      <c r="B183" s="3689"/>
      <c r="C183" s="3689"/>
      <c r="D183" s="3689"/>
      <c r="E183" s="3689"/>
      <c r="F183" s="3689"/>
      <c r="G183" s="3689"/>
      <c r="H183" s="3689"/>
      <c r="I183" s="3689"/>
      <c r="J183" s="3689"/>
      <c r="K183" s="3690"/>
      <c r="L183" s="3691"/>
      <c r="M183" s="3689"/>
      <c r="N183" s="3689"/>
      <c r="O183" s="3689"/>
      <c r="P183" s="3689"/>
      <c r="Q183" s="3689"/>
      <c r="R183" s="3689"/>
      <c r="S183" s="3689"/>
      <c r="T183" s="3689"/>
      <c r="U183" s="3689"/>
      <c r="V183" s="3689"/>
      <c r="W183" s="3689"/>
      <c r="X183" s="3689"/>
      <c r="Y183" s="3689"/>
      <c r="Z183" s="3689"/>
      <c r="AA183" s="3689"/>
      <c r="AB183" s="3689"/>
      <c r="AC183" s="3689"/>
    </row>
    <row r="184" spans="1:29">
      <c r="A184" s="3689"/>
      <c r="B184" s="3689"/>
      <c r="C184" s="3689"/>
      <c r="D184" s="3689"/>
      <c r="E184" s="3689"/>
      <c r="F184" s="3689"/>
      <c r="G184" s="3689"/>
      <c r="H184" s="3689"/>
      <c r="I184" s="3689"/>
      <c r="J184" s="3689"/>
      <c r="K184" s="3690"/>
      <c r="L184" s="3691"/>
      <c r="M184" s="3689"/>
      <c r="N184" s="3689"/>
      <c r="O184" s="3689"/>
      <c r="P184" s="3689"/>
      <c r="Q184" s="3689"/>
      <c r="R184" s="3689"/>
      <c r="S184" s="3689"/>
      <c r="T184" s="3689"/>
      <c r="U184" s="3689"/>
      <c r="V184" s="3689"/>
      <c r="W184" s="3689"/>
      <c r="X184" s="3689"/>
      <c r="Y184" s="3689"/>
      <c r="Z184" s="3689"/>
      <c r="AA184" s="3689"/>
      <c r="AB184" s="3689"/>
      <c r="AC184" s="3689"/>
    </row>
    <row r="185" spans="1:29">
      <c r="A185" s="3689"/>
      <c r="B185" s="3689"/>
      <c r="C185" s="3689"/>
      <c r="D185" s="3689"/>
      <c r="E185" s="3689"/>
      <c r="F185" s="3689"/>
      <c r="G185" s="3689"/>
      <c r="H185" s="3689"/>
      <c r="I185" s="3689"/>
      <c r="J185" s="3689"/>
      <c r="K185" s="3690"/>
      <c r="L185" s="3691"/>
      <c r="M185" s="3689"/>
      <c r="N185" s="3689"/>
      <c r="O185" s="3689"/>
      <c r="P185" s="3689"/>
      <c r="Q185" s="3689"/>
      <c r="R185" s="3689"/>
      <c r="S185" s="3689"/>
      <c r="T185" s="3689"/>
      <c r="U185" s="3689"/>
      <c r="V185" s="3689"/>
      <c r="W185" s="3689"/>
      <c r="X185" s="3689"/>
      <c r="Y185" s="3689"/>
      <c r="Z185" s="3689"/>
      <c r="AA185" s="3689"/>
      <c r="AB185" s="3689"/>
      <c r="AC185" s="3689"/>
    </row>
    <row r="186" spans="1:29">
      <c r="A186" s="3689"/>
      <c r="B186" s="3689"/>
      <c r="C186" s="3689"/>
      <c r="D186" s="3689"/>
      <c r="E186" s="3689"/>
      <c r="F186" s="3689"/>
      <c r="G186" s="3689"/>
      <c r="H186" s="3689"/>
      <c r="I186" s="3689"/>
      <c r="J186" s="3689"/>
      <c r="K186" s="3690"/>
      <c r="L186" s="3691"/>
      <c r="M186" s="3689"/>
      <c r="N186" s="3689"/>
      <c r="O186" s="3689"/>
      <c r="P186" s="3689"/>
      <c r="Q186" s="3689"/>
      <c r="R186" s="3689"/>
      <c r="S186" s="3689"/>
      <c r="T186" s="3689"/>
      <c r="U186" s="3689"/>
      <c r="V186" s="3689"/>
      <c r="W186" s="3689"/>
      <c r="X186" s="3689"/>
      <c r="Y186" s="3689"/>
      <c r="Z186" s="3689"/>
      <c r="AA186" s="3689"/>
      <c r="AB186" s="3689"/>
      <c r="AC186" s="3689"/>
    </row>
    <row r="187" spans="1:29">
      <c r="A187" s="3689"/>
      <c r="B187" s="3689"/>
      <c r="C187" s="3689"/>
      <c r="D187" s="3689"/>
      <c r="E187" s="3689"/>
      <c r="F187" s="3689"/>
      <c r="G187" s="3689"/>
      <c r="H187" s="3689"/>
      <c r="I187" s="3689"/>
      <c r="J187" s="3689"/>
      <c r="K187" s="3690"/>
      <c r="L187" s="3691"/>
      <c r="M187" s="3689"/>
      <c r="N187" s="3689"/>
      <c r="O187" s="3689"/>
      <c r="P187" s="3689"/>
      <c r="Q187" s="3689"/>
      <c r="R187" s="3689"/>
      <c r="S187" s="3689"/>
      <c r="T187" s="3689"/>
      <c r="U187" s="3689"/>
      <c r="V187" s="3689"/>
      <c r="W187" s="3689"/>
      <c r="X187" s="3689"/>
      <c r="Y187" s="3689"/>
      <c r="Z187" s="3689"/>
      <c r="AA187" s="3689"/>
      <c r="AB187" s="3689"/>
      <c r="AC187" s="3689"/>
    </row>
    <row r="188" spans="1:29">
      <c r="A188" s="3689"/>
      <c r="B188" s="3689"/>
      <c r="C188" s="3689"/>
      <c r="D188" s="3689"/>
      <c r="E188" s="3689"/>
      <c r="F188" s="3689"/>
      <c r="G188" s="3689"/>
      <c r="H188" s="3689"/>
      <c r="I188" s="3689"/>
      <c r="J188" s="3689"/>
      <c r="K188" s="3690"/>
      <c r="L188" s="3691"/>
      <c r="M188" s="3689"/>
      <c r="N188" s="3689"/>
      <c r="O188" s="3689"/>
      <c r="P188" s="3689"/>
      <c r="Q188" s="3689"/>
      <c r="R188" s="3689"/>
      <c r="S188" s="3689"/>
      <c r="T188" s="3689"/>
      <c r="U188" s="3689"/>
      <c r="V188" s="3689"/>
      <c r="W188" s="3689"/>
      <c r="X188" s="3689"/>
      <c r="Y188" s="3689"/>
      <c r="Z188" s="3689"/>
      <c r="AA188" s="3689"/>
      <c r="AB188" s="3689"/>
      <c r="AC188" s="3689"/>
    </row>
    <row r="189" spans="1:29">
      <c r="A189" s="3689"/>
      <c r="B189" s="3689"/>
      <c r="C189" s="3689"/>
      <c r="D189" s="3689"/>
      <c r="E189" s="3689"/>
      <c r="F189" s="3689"/>
      <c r="G189" s="3689"/>
      <c r="H189" s="3689"/>
      <c r="I189" s="3689"/>
      <c r="J189" s="3689"/>
      <c r="K189" s="3690"/>
      <c r="L189" s="3691"/>
      <c r="M189" s="3689"/>
      <c r="N189" s="3689"/>
      <c r="O189" s="3689"/>
      <c r="P189" s="3689"/>
      <c r="Q189" s="3689"/>
      <c r="R189" s="3689"/>
      <c r="S189" s="3689"/>
      <c r="T189" s="3689"/>
      <c r="U189" s="3689"/>
      <c r="V189" s="3689"/>
      <c r="W189" s="3689"/>
      <c r="X189" s="3689"/>
      <c r="Y189" s="3689"/>
      <c r="Z189" s="3689"/>
      <c r="AA189" s="3689"/>
      <c r="AB189" s="3689"/>
      <c r="AC189" s="3689"/>
    </row>
    <row r="190" spans="1:29">
      <c r="A190" s="3689"/>
      <c r="B190" s="3689"/>
      <c r="C190" s="3689"/>
      <c r="D190" s="3689"/>
      <c r="E190" s="3689"/>
      <c r="F190" s="3689"/>
      <c r="G190" s="3689"/>
      <c r="H190" s="3689"/>
      <c r="I190" s="3689"/>
      <c r="J190" s="3689"/>
      <c r="K190" s="3690"/>
      <c r="L190" s="3691"/>
      <c r="M190" s="3689"/>
      <c r="N190" s="3689"/>
      <c r="O190" s="3689"/>
      <c r="P190" s="3689"/>
      <c r="Q190" s="3689"/>
      <c r="R190" s="3689"/>
      <c r="S190" s="3689"/>
      <c r="T190" s="3689"/>
      <c r="U190" s="3689"/>
      <c r="V190" s="3689"/>
      <c r="W190" s="3689"/>
      <c r="X190" s="3689"/>
      <c r="Y190" s="3689"/>
      <c r="Z190" s="3689"/>
      <c r="AA190" s="3689"/>
      <c r="AB190" s="3689"/>
      <c r="AC190" s="3689"/>
    </row>
    <row r="191" spans="1:29">
      <c r="A191" s="3689"/>
      <c r="B191" s="3689"/>
      <c r="C191" s="3689"/>
      <c r="D191" s="3689"/>
      <c r="E191" s="3689"/>
      <c r="F191" s="3689"/>
      <c r="G191" s="3689"/>
      <c r="H191" s="3689"/>
      <c r="I191" s="3689"/>
      <c r="J191" s="3689"/>
      <c r="K191" s="3690"/>
      <c r="L191" s="3691"/>
      <c r="M191" s="3689"/>
      <c r="N191" s="3689"/>
      <c r="O191" s="3689"/>
      <c r="P191" s="3689"/>
      <c r="Q191" s="3689"/>
      <c r="R191" s="3689"/>
      <c r="S191" s="3689"/>
      <c r="T191" s="3689"/>
      <c r="U191" s="3689"/>
      <c r="V191" s="3689"/>
      <c r="W191" s="3689"/>
      <c r="X191" s="3689"/>
      <c r="Y191" s="3689"/>
      <c r="Z191" s="3689"/>
      <c r="AA191" s="3689"/>
      <c r="AB191" s="3689"/>
      <c r="AC191" s="3689"/>
    </row>
    <row r="192" spans="1:29">
      <c r="A192" s="3689"/>
      <c r="B192" s="3689"/>
      <c r="C192" s="3689"/>
      <c r="D192" s="3689"/>
      <c r="E192" s="3689"/>
      <c r="F192" s="3689"/>
      <c r="G192" s="3689"/>
      <c r="H192" s="3689"/>
      <c r="I192" s="3689"/>
      <c r="J192" s="3689"/>
      <c r="K192" s="3690"/>
      <c r="L192" s="3691"/>
      <c r="M192" s="3689"/>
      <c r="N192" s="3689"/>
      <c r="O192" s="3689"/>
      <c r="P192" s="3689"/>
      <c r="Q192" s="3689"/>
      <c r="R192" s="3689"/>
      <c r="S192" s="3689"/>
      <c r="T192" s="3689"/>
      <c r="U192" s="3689"/>
      <c r="V192" s="3689"/>
      <c r="W192" s="3689"/>
      <c r="X192" s="3689"/>
      <c r="Y192" s="3689"/>
      <c r="Z192" s="3689"/>
      <c r="AA192" s="3689"/>
      <c r="AB192" s="3689"/>
      <c r="AC192" s="3689"/>
    </row>
    <row r="193" spans="1:29">
      <c r="A193" s="3689"/>
      <c r="B193" s="3689"/>
      <c r="C193" s="3689"/>
      <c r="D193" s="3689"/>
      <c r="E193" s="3689"/>
      <c r="F193" s="3689"/>
      <c r="G193" s="3689"/>
      <c r="H193" s="3689"/>
      <c r="I193" s="3689"/>
      <c r="J193" s="3689"/>
      <c r="K193" s="3690"/>
      <c r="L193" s="3691"/>
      <c r="M193" s="3689"/>
      <c r="N193" s="3689"/>
      <c r="O193" s="3689"/>
      <c r="P193" s="3689"/>
      <c r="Q193" s="3689"/>
      <c r="R193" s="3689"/>
      <c r="S193" s="3689"/>
      <c r="T193" s="3689"/>
      <c r="U193" s="3689"/>
      <c r="V193" s="3689"/>
      <c r="W193" s="3689"/>
      <c r="X193" s="3689"/>
      <c r="Y193" s="3689"/>
      <c r="Z193" s="3689"/>
      <c r="AA193" s="3689"/>
      <c r="AB193" s="3689"/>
      <c r="AC193" s="3689"/>
    </row>
    <row r="194" spans="1:29">
      <c r="A194" s="3689"/>
      <c r="B194" s="3689"/>
      <c r="C194" s="3689"/>
      <c r="D194" s="3689"/>
      <c r="E194" s="3689"/>
      <c r="F194" s="3689"/>
      <c r="G194" s="3689"/>
      <c r="H194" s="3689"/>
      <c r="I194" s="3689"/>
      <c r="J194" s="3689"/>
      <c r="K194" s="3690"/>
      <c r="L194" s="3691"/>
      <c r="M194" s="3689"/>
      <c r="N194" s="3689"/>
      <c r="O194" s="3689"/>
      <c r="P194" s="3689"/>
      <c r="Q194" s="3689"/>
      <c r="R194" s="3689"/>
      <c r="S194" s="3689"/>
      <c r="T194" s="3689"/>
      <c r="U194" s="3689"/>
      <c r="V194" s="3689"/>
      <c r="W194" s="3689"/>
      <c r="X194" s="3689"/>
      <c r="Y194" s="3689"/>
      <c r="Z194" s="3689"/>
      <c r="AA194" s="3689"/>
      <c r="AB194" s="3689"/>
      <c r="AC194" s="3689"/>
    </row>
    <row r="195" spans="1:29">
      <c r="A195" s="3689"/>
      <c r="B195" s="3689"/>
      <c r="C195" s="3689"/>
      <c r="D195" s="3689"/>
      <c r="E195" s="3689"/>
      <c r="F195" s="3689"/>
      <c r="G195" s="3689"/>
      <c r="H195" s="3689"/>
      <c r="I195" s="3689"/>
      <c r="J195" s="3689"/>
      <c r="K195" s="3690"/>
      <c r="L195" s="3691"/>
      <c r="M195" s="3689"/>
      <c r="N195" s="3689"/>
      <c r="O195" s="3689"/>
      <c r="P195" s="3689"/>
      <c r="Q195" s="3689"/>
      <c r="R195" s="3689"/>
      <c r="S195" s="3689"/>
      <c r="T195" s="3689"/>
      <c r="U195" s="3689"/>
      <c r="V195" s="3689"/>
      <c r="W195" s="3689"/>
      <c r="X195" s="3689"/>
      <c r="Y195" s="3689"/>
      <c r="Z195" s="3689"/>
      <c r="AA195" s="3689"/>
      <c r="AB195" s="3689"/>
      <c r="AC195" s="3689"/>
    </row>
    <row r="196" spans="1:29">
      <c r="A196" s="3689"/>
      <c r="B196" s="3689"/>
      <c r="C196" s="3689"/>
      <c r="D196" s="3689"/>
      <c r="E196" s="3689"/>
      <c r="F196" s="3689"/>
      <c r="G196" s="3689"/>
      <c r="H196" s="3689"/>
      <c r="I196" s="3689"/>
      <c r="J196" s="3689"/>
      <c r="K196" s="3690"/>
      <c r="L196" s="3691"/>
      <c r="M196" s="3689"/>
      <c r="N196" s="3689"/>
      <c r="O196" s="3689"/>
      <c r="P196" s="3689"/>
      <c r="Q196" s="3689"/>
      <c r="R196" s="3689"/>
      <c r="S196" s="3689"/>
      <c r="T196" s="3689"/>
      <c r="U196" s="3689"/>
      <c r="V196" s="3689"/>
      <c r="W196" s="3689"/>
      <c r="X196" s="3689"/>
      <c r="Y196" s="3689"/>
      <c r="Z196" s="3689"/>
      <c r="AA196" s="3689"/>
      <c r="AB196" s="3689"/>
      <c r="AC196" s="3689"/>
    </row>
    <row r="197" spans="1:29">
      <c r="A197" s="3689"/>
      <c r="B197" s="3689"/>
      <c r="C197" s="3689"/>
      <c r="D197" s="3689"/>
      <c r="E197" s="3689"/>
      <c r="F197" s="3689"/>
      <c r="G197" s="3689"/>
      <c r="H197" s="3689"/>
      <c r="I197" s="3689"/>
      <c r="J197" s="3689"/>
      <c r="K197" s="3690"/>
      <c r="L197" s="3691"/>
      <c r="M197" s="3689"/>
      <c r="N197" s="3689"/>
      <c r="O197" s="3689"/>
      <c r="P197" s="3689"/>
      <c r="Q197" s="3689"/>
      <c r="R197" s="3689"/>
      <c r="S197" s="3689"/>
      <c r="T197" s="3689"/>
      <c r="U197" s="3689"/>
      <c r="V197" s="3689"/>
      <c r="W197" s="3689"/>
      <c r="X197" s="3689"/>
      <c r="Y197" s="3689"/>
      <c r="Z197" s="3689"/>
      <c r="AA197" s="3689"/>
      <c r="AB197" s="3689"/>
      <c r="AC197" s="3689"/>
    </row>
    <row r="198" spans="1:29">
      <c r="A198" s="3689"/>
      <c r="B198" s="3689"/>
      <c r="C198" s="3689"/>
      <c r="D198" s="3689"/>
      <c r="E198" s="3689"/>
      <c r="F198" s="3689"/>
      <c r="G198" s="3689"/>
      <c r="H198" s="3689"/>
      <c r="I198" s="3689"/>
      <c r="J198" s="3689"/>
      <c r="K198" s="3690"/>
      <c r="L198" s="3691"/>
      <c r="M198" s="3689"/>
      <c r="N198" s="3689"/>
      <c r="O198" s="3689"/>
      <c r="P198" s="3689"/>
      <c r="Q198" s="3689"/>
      <c r="R198" s="3689"/>
      <c r="S198" s="3689"/>
      <c r="T198" s="3689"/>
      <c r="U198" s="3689"/>
      <c r="V198" s="3689"/>
      <c r="W198" s="3689"/>
      <c r="X198" s="3689"/>
      <c r="Y198" s="3689"/>
      <c r="Z198" s="3689"/>
      <c r="AA198" s="3689"/>
      <c r="AB198" s="3689"/>
      <c r="AC198" s="3689"/>
    </row>
    <row r="199" spans="1:29">
      <c r="A199" s="3689"/>
      <c r="B199" s="3689"/>
      <c r="C199" s="3689"/>
      <c r="D199" s="3689"/>
      <c r="E199" s="3689"/>
      <c r="F199" s="3689"/>
      <c r="G199" s="3689"/>
      <c r="H199" s="3689"/>
      <c r="I199" s="3689"/>
      <c r="J199" s="3689"/>
      <c r="K199" s="3690"/>
      <c r="L199" s="3691"/>
      <c r="M199" s="3689"/>
      <c r="N199" s="3689"/>
      <c r="O199" s="3689"/>
      <c r="P199" s="3689"/>
      <c r="Q199" s="3689"/>
      <c r="R199" s="3689"/>
      <c r="S199" s="3689"/>
      <c r="T199" s="3689"/>
      <c r="U199" s="3689"/>
      <c r="V199" s="3689"/>
      <c r="W199" s="3689"/>
      <c r="X199" s="3689"/>
      <c r="Y199" s="3689"/>
      <c r="Z199" s="3689"/>
      <c r="AA199" s="3689"/>
      <c r="AB199" s="3689"/>
      <c r="AC199" s="3689"/>
    </row>
    <row r="200" spans="1:29">
      <c r="A200" s="3689"/>
      <c r="B200" s="3689"/>
      <c r="C200" s="3689"/>
      <c r="D200" s="3689"/>
      <c r="E200" s="3689"/>
      <c r="F200" s="3689"/>
      <c r="G200" s="3689"/>
      <c r="H200" s="3689"/>
      <c r="I200" s="3689"/>
      <c r="J200" s="3689"/>
      <c r="K200" s="3690"/>
      <c r="L200" s="3691"/>
      <c r="M200" s="3689"/>
      <c r="N200" s="3689"/>
      <c r="O200" s="3689"/>
      <c r="P200" s="3689"/>
      <c r="Q200" s="3689"/>
      <c r="R200" s="3689"/>
      <c r="S200" s="3689"/>
      <c r="T200" s="3689"/>
      <c r="U200" s="3689"/>
      <c r="V200" s="3689"/>
      <c r="W200" s="3689"/>
      <c r="X200" s="3689"/>
      <c r="Y200" s="3689"/>
      <c r="Z200" s="3689"/>
      <c r="AA200" s="3689"/>
      <c r="AB200" s="3689"/>
      <c r="AC200" s="3689"/>
    </row>
    <row r="201" spans="1:29">
      <c r="A201" s="3689"/>
      <c r="B201" s="3689"/>
      <c r="C201" s="3689"/>
      <c r="D201" s="3689"/>
      <c r="E201" s="3689"/>
      <c r="F201" s="3689"/>
      <c r="G201" s="3689"/>
      <c r="H201" s="3689"/>
      <c r="I201" s="3689"/>
      <c r="J201" s="3689"/>
      <c r="K201" s="3690"/>
      <c r="L201" s="3691"/>
      <c r="M201" s="3689"/>
      <c r="N201" s="3689"/>
      <c r="O201" s="3689"/>
      <c r="P201" s="3689"/>
      <c r="Q201" s="3689"/>
      <c r="R201" s="3689"/>
      <c r="S201" s="3689"/>
      <c r="T201" s="3689"/>
      <c r="U201" s="3689"/>
      <c r="V201" s="3689"/>
      <c r="W201" s="3689"/>
      <c r="X201" s="3689"/>
      <c r="Y201" s="3689"/>
      <c r="Z201" s="3689"/>
      <c r="AA201" s="3689"/>
      <c r="AB201" s="3689"/>
      <c r="AC201" s="3689"/>
    </row>
    <row r="202" spans="1:29">
      <c r="A202" s="3689"/>
      <c r="B202" s="3689"/>
      <c r="C202" s="3689"/>
      <c r="D202" s="3689"/>
      <c r="E202" s="3689"/>
      <c r="F202" s="3689"/>
      <c r="G202" s="3689"/>
      <c r="H202" s="3689"/>
      <c r="I202" s="3689"/>
      <c r="J202" s="3689"/>
      <c r="K202" s="3690"/>
      <c r="L202" s="3691"/>
      <c r="M202" s="3689"/>
      <c r="N202" s="3689"/>
      <c r="O202" s="3689"/>
      <c r="P202" s="3689"/>
      <c r="Q202" s="3689"/>
      <c r="R202" s="3689"/>
      <c r="S202" s="3689"/>
      <c r="T202" s="3689"/>
      <c r="U202" s="3689"/>
      <c r="V202" s="3689"/>
      <c r="W202" s="3689"/>
      <c r="X202" s="3689"/>
      <c r="Y202" s="3689"/>
      <c r="Z202" s="3689"/>
      <c r="AA202" s="3689"/>
      <c r="AB202" s="3689"/>
      <c r="AC202" s="3689"/>
    </row>
    <row r="203" spans="1:29">
      <c r="A203" s="3689"/>
      <c r="B203" s="3689"/>
      <c r="C203" s="3689"/>
      <c r="D203" s="3689"/>
      <c r="E203" s="3689"/>
      <c r="F203" s="3689"/>
      <c r="G203" s="3689"/>
      <c r="H203" s="3689"/>
      <c r="I203" s="3689"/>
      <c r="J203" s="3689"/>
      <c r="K203" s="3690"/>
      <c r="L203" s="3691"/>
      <c r="M203" s="3689"/>
      <c r="N203" s="3689"/>
      <c r="O203" s="3689"/>
      <c r="P203" s="3689"/>
      <c r="Q203" s="3689"/>
      <c r="R203" s="3689"/>
      <c r="S203" s="3689"/>
      <c r="T203" s="3689"/>
      <c r="U203" s="3689"/>
      <c r="V203" s="3689"/>
      <c r="W203" s="3689"/>
      <c r="X203" s="3689"/>
      <c r="Y203" s="3689"/>
      <c r="Z203" s="3689"/>
      <c r="AA203" s="3689"/>
      <c r="AB203" s="3689"/>
      <c r="AC203" s="3689"/>
    </row>
    <row r="204" spans="1:29">
      <c r="A204" s="3689"/>
      <c r="B204" s="3689"/>
      <c r="C204" s="3689"/>
      <c r="D204" s="3689"/>
      <c r="E204" s="3689"/>
      <c r="F204" s="3689"/>
      <c r="G204" s="3689"/>
      <c r="H204" s="3689"/>
      <c r="I204" s="3689"/>
      <c r="J204" s="3689"/>
      <c r="K204" s="3690"/>
      <c r="L204" s="3691"/>
      <c r="M204" s="3689"/>
      <c r="N204" s="3689"/>
      <c r="O204" s="3689"/>
      <c r="P204" s="3689"/>
      <c r="Q204" s="3689"/>
      <c r="R204" s="3689"/>
      <c r="S204" s="3689"/>
      <c r="T204" s="3689"/>
      <c r="U204" s="3689"/>
      <c r="V204" s="3689"/>
      <c r="W204" s="3689"/>
      <c r="X204" s="3689"/>
      <c r="Y204" s="3689"/>
      <c r="Z204" s="3689"/>
      <c r="AA204" s="3689"/>
      <c r="AB204" s="3689"/>
      <c r="AC204" s="3689"/>
    </row>
    <row r="205" spans="1:29">
      <c r="A205" s="3689"/>
      <c r="B205" s="3689"/>
      <c r="C205" s="3689"/>
      <c r="D205" s="3689"/>
      <c r="E205" s="3689"/>
      <c r="F205" s="3689"/>
      <c r="G205" s="3689"/>
      <c r="H205" s="3689"/>
      <c r="I205" s="3689"/>
      <c r="J205" s="3689"/>
      <c r="K205" s="3690"/>
      <c r="L205" s="3691"/>
      <c r="M205" s="3689"/>
      <c r="N205" s="3689"/>
      <c r="O205" s="3689"/>
      <c r="P205" s="3689"/>
      <c r="Q205" s="3689"/>
      <c r="R205" s="3689"/>
      <c r="S205" s="3689"/>
      <c r="T205" s="3689"/>
      <c r="U205" s="3689"/>
      <c r="V205" s="3689"/>
      <c r="W205" s="3689"/>
      <c r="X205" s="3689"/>
      <c r="Y205" s="3689"/>
      <c r="Z205" s="3689"/>
      <c r="AA205" s="3689"/>
      <c r="AB205" s="3689"/>
      <c r="AC205" s="3689"/>
    </row>
    <row r="206" spans="1:29">
      <c r="A206" s="3689"/>
      <c r="B206" s="3689"/>
      <c r="C206" s="3689"/>
      <c r="D206" s="3689"/>
      <c r="E206" s="3689"/>
      <c r="F206" s="3689"/>
      <c r="G206" s="3689"/>
      <c r="H206" s="3689"/>
      <c r="I206" s="3689"/>
      <c r="J206" s="3689"/>
      <c r="K206" s="3690"/>
      <c r="L206" s="3691"/>
      <c r="M206" s="3689"/>
      <c r="N206" s="3689"/>
      <c r="O206" s="3689"/>
      <c r="P206" s="3689"/>
      <c r="Q206" s="3689"/>
      <c r="R206" s="3689"/>
      <c r="S206" s="3689"/>
      <c r="T206" s="3689"/>
      <c r="U206" s="3689"/>
      <c r="V206" s="3689"/>
      <c r="W206" s="3689"/>
      <c r="X206" s="3689"/>
      <c r="Y206" s="3689"/>
      <c r="Z206" s="3689"/>
      <c r="AA206" s="3689"/>
      <c r="AB206" s="3689"/>
      <c r="AC206" s="3689"/>
    </row>
    <row r="207" spans="1:29">
      <c r="A207" s="3689"/>
      <c r="B207" s="3689"/>
      <c r="C207" s="3689"/>
      <c r="D207" s="3689"/>
      <c r="E207" s="3689"/>
      <c r="F207" s="3689"/>
      <c r="G207" s="3689"/>
      <c r="H207" s="3689"/>
      <c r="I207" s="3689"/>
      <c r="J207" s="3689"/>
      <c r="K207" s="3690"/>
      <c r="L207" s="3691"/>
      <c r="M207" s="3689"/>
      <c r="N207" s="3689"/>
      <c r="O207" s="3689"/>
      <c r="P207" s="3689"/>
      <c r="Q207" s="3689"/>
      <c r="R207" s="3689"/>
      <c r="S207" s="3689"/>
      <c r="T207" s="3689"/>
      <c r="U207" s="3689"/>
      <c r="V207" s="3689"/>
      <c r="W207" s="3689"/>
      <c r="X207" s="3689"/>
      <c r="Y207" s="3689"/>
      <c r="Z207" s="3689"/>
      <c r="AA207" s="3689"/>
      <c r="AB207" s="3689"/>
      <c r="AC207" s="3689"/>
    </row>
    <row r="208" spans="1:29">
      <c r="A208" s="3689"/>
      <c r="B208" s="3689"/>
      <c r="C208" s="3689"/>
      <c r="D208" s="3689"/>
      <c r="E208" s="3689"/>
      <c r="F208" s="3689"/>
      <c r="G208" s="3689"/>
      <c r="H208" s="3689"/>
      <c r="I208" s="3689"/>
      <c r="J208" s="3689"/>
      <c r="K208" s="3690"/>
      <c r="L208" s="3691"/>
      <c r="M208" s="3689"/>
      <c r="N208" s="3689"/>
      <c r="O208" s="3689"/>
      <c r="P208" s="3689"/>
      <c r="Q208" s="3689"/>
      <c r="R208" s="3689"/>
      <c r="S208" s="3689"/>
      <c r="T208" s="3689"/>
      <c r="U208" s="3689"/>
      <c r="V208" s="3689"/>
      <c r="W208" s="3689"/>
      <c r="X208" s="3689"/>
      <c r="Y208" s="3689"/>
      <c r="Z208" s="3689"/>
      <c r="AA208" s="3689"/>
      <c r="AB208" s="3689"/>
      <c r="AC208" s="3689"/>
    </row>
    <row r="209" spans="1:29">
      <c r="A209" s="3689"/>
      <c r="B209" s="3689"/>
      <c r="C209" s="3689"/>
      <c r="D209" s="3689"/>
      <c r="E209" s="3689"/>
      <c r="F209" s="3689"/>
      <c r="G209" s="3689"/>
      <c r="H209" s="3689"/>
      <c r="I209" s="3689"/>
      <c r="J209" s="3689"/>
      <c r="K209" s="3690"/>
      <c r="L209" s="3691"/>
      <c r="M209" s="3689"/>
      <c r="N209" s="3689"/>
      <c r="O209" s="3689"/>
      <c r="P209" s="3689"/>
      <c r="Q209" s="3689"/>
      <c r="R209" s="3689"/>
      <c r="S209" s="3689"/>
      <c r="T209" s="3689"/>
      <c r="U209" s="3689"/>
      <c r="V209" s="3689"/>
      <c r="W209" s="3689"/>
      <c r="X209" s="3689"/>
      <c r="Y209" s="3689"/>
      <c r="Z209" s="3689"/>
      <c r="AA209" s="3689"/>
      <c r="AB209" s="3689"/>
      <c r="AC209" s="3689"/>
    </row>
    <row r="210" spans="1:29">
      <c r="A210" s="3689"/>
      <c r="B210" s="3689"/>
      <c r="C210" s="3689"/>
      <c r="D210" s="3689"/>
      <c r="E210" s="3689"/>
      <c r="F210" s="3689"/>
      <c r="G210" s="3689"/>
      <c r="H210" s="3689"/>
      <c r="I210" s="3689"/>
      <c r="J210" s="3689"/>
      <c r="K210" s="3690"/>
      <c r="L210" s="3691"/>
      <c r="M210" s="3689"/>
      <c r="N210" s="3689"/>
      <c r="O210" s="3689"/>
      <c r="P210" s="3689"/>
      <c r="Q210" s="3689"/>
      <c r="R210" s="3689"/>
      <c r="S210" s="3689"/>
      <c r="T210" s="3689"/>
      <c r="U210" s="3689"/>
      <c r="V210" s="3689"/>
      <c r="W210" s="3689"/>
      <c r="X210" s="3689"/>
      <c r="Y210" s="3689"/>
      <c r="Z210" s="3689"/>
      <c r="AA210" s="3689"/>
      <c r="AB210" s="3689"/>
      <c r="AC210" s="3689"/>
    </row>
    <row r="211" spans="1:29">
      <c r="A211" s="3689"/>
      <c r="B211" s="3689"/>
      <c r="C211" s="3689"/>
      <c r="D211" s="3689"/>
      <c r="E211" s="3689"/>
      <c r="F211" s="3689"/>
      <c r="G211" s="3689"/>
      <c r="H211" s="3689"/>
      <c r="I211" s="3689"/>
      <c r="J211" s="3689"/>
      <c r="K211" s="3690"/>
      <c r="L211" s="3691"/>
      <c r="M211" s="3689"/>
      <c r="N211" s="3689"/>
      <c r="O211" s="3689"/>
      <c r="P211" s="3689"/>
      <c r="Q211" s="3689"/>
      <c r="R211" s="3689"/>
      <c r="S211" s="3689"/>
      <c r="T211" s="3689"/>
      <c r="U211" s="3689"/>
      <c r="V211" s="3689"/>
      <c r="W211" s="3689"/>
      <c r="X211" s="3689"/>
      <c r="Y211" s="3689"/>
      <c r="Z211" s="3689"/>
      <c r="AA211" s="3689"/>
      <c r="AB211" s="3689"/>
      <c r="AC211" s="3689"/>
    </row>
    <row r="212" spans="1:29">
      <c r="A212" s="3689"/>
      <c r="B212" s="3689"/>
      <c r="C212" s="3689"/>
      <c r="D212" s="3689"/>
      <c r="E212" s="3689"/>
      <c r="F212" s="3689"/>
      <c r="G212" s="3689"/>
      <c r="H212" s="3689"/>
      <c r="I212" s="3689"/>
      <c r="J212" s="3689"/>
      <c r="K212" s="3690"/>
      <c r="L212" s="3691"/>
      <c r="M212" s="3689"/>
      <c r="N212" s="3689"/>
      <c r="O212" s="3689"/>
      <c r="P212" s="3689"/>
      <c r="Q212" s="3689"/>
      <c r="R212" s="3689"/>
      <c r="S212" s="3689"/>
      <c r="T212" s="3689"/>
      <c r="U212" s="3689"/>
      <c r="V212" s="3689"/>
      <c r="W212" s="3689"/>
      <c r="X212" s="3689"/>
      <c r="Y212" s="3689"/>
      <c r="Z212" s="3689"/>
      <c r="AA212" s="3689"/>
      <c r="AB212" s="3689"/>
      <c r="AC212" s="3689"/>
    </row>
    <row r="213" spans="1:29">
      <c r="A213" s="3689"/>
      <c r="B213" s="3689"/>
      <c r="C213" s="3689"/>
      <c r="D213" s="3689"/>
      <c r="E213" s="3689"/>
      <c r="F213" s="3689"/>
      <c r="G213" s="3689"/>
      <c r="H213" s="3689"/>
      <c r="I213" s="3689"/>
      <c r="J213" s="3689"/>
      <c r="K213" s="3690"/>
      <c r="L213" s="3691"/>
      <c r="M213" s="3689"/>
      <c r="N213" s="3689"/>
      <c r="O213" s="3689"/>
      <c r="P213" s="3689"/>
      <c r="Q213" s="3689"/>
      <c r="R213" s="3689"/>
      <c r="S213" s="3689"/>
      <c r="T213" s="3689"/>
      <c r="U213" s="3689"/>
      <c r="V213" s="3689"/>
      <c r="W213" s="3689"/>
      <c r="X213" s="3689"/>
      <c r="Y213" s="3689"/>
      <c r="Z213" s="3689"/>
      <c r="AA213" s="3689"/>
      <c r="AB213" s="3689"/>
      <c r="AC213" s="3689"/>
    </row>
    <row r="214" spans="1:29">
      <c r="A214" s="3689"/>
      <c r="B214" s="3689"/>
      <c r="C214" s="3689"/>
      <c r="D214" s="3689"/>
      <c r="E214" s="3689"/>
      <c r="F214" s="3689"/>
      <c r="G214" s="3689"/>
      <c r="H214" s="3689"/>
      <c r="I214" s="3689"/>
      <c r="J214" s="3689"/>
      <c r="K214" s="3690"/>
      <c r="L214" s="3691"/>
      <c r="M214" s="3689"/>
      <c r="N214" s="3689"/>
      <c r="O214" s="3689"/>
      <c r="P214" s="3689"/>
      <c r="Q214" s="3689"/>
      <c r="R214" s="3689"/>
      <c r="S214" s="3689"/>
      <c r="T214" s="3689"/>
      <c r="U214" s="3689"/>
      <c r="V214" s="3689"/>
      <c r="W214" s="3689"/>
      <c r="X214" s="3689"/>
      <c r="Y214" s="3689"/>
      <c r="Z214" s="3689"/>
      <c r="AA214" s="3689"/>
      <c r="AB214" s="3689"/>
      <c r="AC214" s="3689"/>
    </row>
    <row r="215" spans="1:29">
      <c r="A215" s="3689"/>
      <c r="B215" s="3689"/>
      <c r="C215" s="3689"/>
      <c r="D215" s="3689"/>
      <c r="E215" s="3689"/>
      <c r="F215" s="3689"/>
      <c r="G215" s="3689"/>
      <c r="H215" s="3689"/>
      <c r="I215" s="3689"/>
      <c r="J215" s="3689"/>
      <c r="K215" s="3690"/>
      <c r="L215" s="3691"/>
      <c r="M215" s="3689"/>
      <c r="N215" s="3689"/>
      <c r="O215" s="3689"/>
      <c r="P215" s="3689"/>
      <c r="Q215" s="3689"/>
      <c r="R215" s="3689"/>
      <c r="S215" s="3689"/>
      <c r="T215" s="3689"/>
      <c r="U215" s="3689"/>
      <c r="V215" s="3689"/>
      <c r="W215" s="3689"/>
      <c r="X215" s="3689"/>
      <c r="Y215" s="3689"/>
      <c r="Z215" s="3689"/>
      <c r="AA215" s="3689"/>
      <c r="AB215" s="3689"/>
      <c r="AC215" s="3689"/>
    </row>
    <row r="216" spans="1:29">
      <c r="A216" s="3689"/>
      <c r="B216" s="3689"/>
      <c r="C216" s="3689"/>
      <c r="D216" s="3689"/>
      <c r="E216" s="3689"/>
      <c r="F216" s="3689"/>
      <c r="G216" s="3689"/>
      <c r="H216" s="3689"/>
      <c r="I216" s="3689"/>
      <c r="J216" s="3689"/>
      <c r="K216" s="3690"/>
      <c r="L216" s="3691"/>
      <c r="M216" s="3689"/>
      <c r="N216" s="3689"/>
      <c r="O216" s="3689"/>
      <c r="P216" s="3689"/>
      <c r="Q216" s="3689"/>
      <c r="R216" s="3689"/>
      <c r="S216" s="3689"/>
      <c r="T216" s="3689"/>
      <c r="U216" s="3689"/>
      <c r="V216" s="3689"/>
      <c r="W216" s="3689"/>
      <c r="X216" s="3689"/>
      <c r="Y216" s="3689"/>
      <c r="Z216" s="3689"/>
      <c r="AA216" s="3689"/>
      <c r="AB216" s="3689"/>
      <c r="AC216" s="3689"/>
    </row>
    <row r="217" spans="1:29">
      <c r="A217" s="3689"/>
      <c r="B217" s="3689"/>
      <c r="C217" s="3689"/>
      <c r="D217" s="3689"/>
      <c r="E217" s="3689"/>
      <c r="F217" s="3689"/>
      <c r="G217" s="3689"/>
      <c r="H217" s="3689"/>
      <c r="I217" s="3689"/>
      <c r="J217" s="3689"/>
      <c r="K217" s="3690"/>
      <c r="L217" s="3691"/>
      <c r="M217" s="3689"/>
      <c r="N217" s="3689"/>
      <c r="O217" s="3689"/>
      <c r="P217" s="3689"/>
      <c r="Q217" s="3689"/>
      <c r="R217" s="3689"/>
      <c r="S217" s="3689"/>
      <c r="T217" s="3689"/>
      <c r="U217" s="3689"/>
      <c r="V217" s="3689"/>
      <c r="W217" s="3689"/>
      <c r="X217" s="3689"/>
      <c r="Y217" s="3689"/>
      <c r="Z217" s="3689"/>
      <c r="AA217" s="3689"/>
      <c r="AB217" s="3689"/>
      <c r="AC217" s="3689"/>
    </row>
    <row r="218" spans="1:29">
      <c r="A218" s="3689"/>
      <c r="B218" s="3689"/>
      <c r="C218" s="3689"/>
      <c r="D218" s="3689"/>
      <c r="E218" s="3689"/>
      <c r="F218" s="3689"/>
      <c r="G218" s="3689"/>
      <c r="H218" s="3689"/>
      <c r="I218" s="3689"/>
      <c r="J218" s="3689"/>
      <c r="K218" s="3690"/>
      <c r="L218" s="3691"/>
      <c r="M218" s="3689"/>
      <c r="N218" s="3689"/>
      <c r="O218" s="3689"/>
      <c r="P218" s="3689"/>
      <c r="Q218" s="3689"/>
      <c r="R218" s="3689"/>
      <c r="S218" s="3689"/>
      <c r="T218" s="3689"/>
      <c r="U218" s="3689"/>
      <c r="V218" s="3689"/>
      <c r="W218" s="3689"/>
      <c r="X218" s="3689"/>
      <c r="Y218" s="3689"/>
      <c r="Z218" s="3689"/>
      <c r="AA218" s="3689"/>
      <c r="AB218" s="3689"/>
      <c r="AC218" s="3689"/>
    </row>
    <row r="219" spans="1:29">
      <c r="A219" s="3689"/>
      <c r="B219" s="3689"/>
      <c r="C219" s="3689"/>
      <c r="D219" s="3689"/>
      <c r="E219" s="3689"/>
      <c r="F219" s="3689"/>
      <c r="G219" s="3689"/>
      <c r="H219" s="3689"/>
      <c r="I219" s="3689"/>
      <c r="J219" s="3689"/>
      <c r="K219" s="3690"/>
      <c r="L219" s="3691"/>
      <c r="M219" s="3689"/>
      <c r="N219" s="3689"/>
      <c r="O219" s="3689"/>
      <c r="P219" s="3689"/>
      <c r="Q219" s="3689"/>
      <c r="R219" s="3689"/>
      <c r="S219" s="3689"/>
      <c r="T219" s="3689"/>
      <c r="U219" s="3689"/>
      <c r="V219" s="3689"/>
      <c r="W219" s="3689"/>
      <c r="X219" s="3689"/>
      <c r="Y219" s="3689"/>
      <c r="Z219" s="3689"/>
      <c r="AA219" s="3689"/>
      <c r="AB219" s="3689"/>
      <c r="AC219" s="3689"/>
    </row>
    <row r="220" spans="1:29">
      <c r="A220" s="3689"/>
      <c r="B220" s="3689"/>
      <c r="C220" s="3689"/>
      <c r="D220" s="3689"/>
      <c r="E220" s="3689"/>
      <c r="F220" s="3689"/>
      <c r="G220" s="3689"/>
      <c r="H220" s="3689"/>
      <c r="I220" s="3689"/>
      <c r="J220" s="3689"/>
      <c r="K220" s="3690"/>
      <c r="L220" s="3691"/>
      <c r="M220" s="3689"/>
      <c r="N220" s="3689"/>
      <c r="O220" s="3689"/>
      <c r="P220" s="3689"/>
      <c r="Q220" s="3689"/>
      <c r="R220" s="3689"/>
      <c r="S220" s="3689"/>
      <c r="T220" s="3689"/>
      <c r="U220" s="3689"/>
      <c r="V220" s="3689"/>
      <c r="W220" s="3689"/>
      <c r="X220" s="3689"/>
      <c r="Y220" s="3689"/>
      <c r="Z220" s="3689"/>
      <c r="AA220" s="3689"/>
      <c r="AB220" s="3689"/>
      <c r="AC220" s="3689"/>
    </row>
    <row r="221" spans="1:29">
      <c r="A221" s="3689"/>
      <c r="B221" s="3689"/>
      <c r="C221" s="3689"/>
      <c r="D221" s="3689"/>
      <c r="E221" s="3689"/>
      <c r="F221" s="3689"/>
      <c r="G221" s="3689"/>
      <c r="H221" s="3689"/>
      <c r="I221" s="3689"/>
      <c r="J221" s="3689"/>
      <c r="K221" s="3690"/>
      <c r="L221" s="3691"/>
      <c r="M221" s="3689"/>
      <c r="N221" s="3689"/>
      <c r="O221" s="3689"/>
      <c r="P221" s="3689"/>
      <c r="Q221" s="3689"/>
      <c r="R221" s="3689"/>
      <c r="S221" s="3689"/>
      <c r="T221" s="3689"/>
      <c r="U221" s="3689"/>
      <c r="V221" s="3689"/>
      <c r="W221" s="3689"/>
      <c r="X221" s="3689"/>
      <c r="Y221" s="3689"/>
      <c r="Z221" s="3689"/>
      <c r="AA221" s="3689"/>
      <c r="AB221" s="3689"/>
      <c r="AC221" s="3689"/>
    </row>
    <row r="222" spans="1:29">
      <c r="A222" s="3689"/>
      <c r="B222" s="3689"/>
      <c r="C222" s="3689"/>
      <c r="D222" s="3689"/>
      <c r="E222" s="3689"/>
      <c r="F222" s="3689"/>
      <c r="G222" s="3689"/>
      <c r="H222" s="3689"/>
      <c r="I222" s="3689"/>
      <c r="J222" s="3689"/>
      <c r="K222" s="3690"/>
      <c r="L222" s="3691"/>
      <c r="M222" s="3689"/>
      <c r="N222" s="3689"/>
      <c r="O222" s="3689"/>
      <c r="P222" s="3689"/>
      <c r="Q222" s="3689"/>
      <c r="R222" s="3689"/>
      <c r="S222" s="3689"/>
      <c r="T222" s="3689"/>
      <c r="U222" s="3689"/>
      <c r="V222" s="3689"/>
      <c r="W222" s="3689"/>
      <c r="X222" s="3689"/>
      <c r="Y222" s="3689"/>
      <c r="Z222" s="3689"/>
      <c r="AA222" s="3689"/>
      <c r="AB222" s="3689"/>
      <c r="AC222" s="3689"/>
    </row>
    <row r="223" spans="1:29">
      <c r="A223" s="3689"/>
      <c r="B223" s="3689"/>
      <c r="C223" s="3689"/>
      <c r="D223" s="3689"/>
      <c r="E223" s="3689"/>
      <c r="F223" s="3689"/>
      <c r="G223" s="3689"/>
      <c r="H223" s="3689"/>
      <c r="I223" s="3689"/>
      <c r="J223" s="3689"/>
      <c r="K223" s="3690"/>
      <c r="L223" s="3691"/>
      <c r="M223" s="3689"/>
      <c r="N223" s="3689"/>
      <c r="O223" s="3689"/>
      <c r="P223" s="3689"/>
      <c r="Q223" s="3689"/>
      <c r="R223" s="3689"/>
      <c r="S223" s="3689"/>
      <c r="T223" s="3689"/>
      <c r="U223" s="3689"/>
      <c r="V223" s="3689"/>
      <c r="W223" s="3689"/>
      <c r="X223" s="3689"/>
      <c r="Y223" s="3689"/>
      <c r="Z223" s="3689"/>
      <c r="AA223" s="3689"/>
      <c r="AB223" s="3689"/>
      <c r="AC223" s="3689"/>
    </row>
    <row r="224" spans="1:29">
      <c r="A224" s="3689"/>
      <c r="B224" s="3689"/>
      <c r="C224" s="3689"/>
      <c r="D224" s="3689"/>
      <c r="E224" s="3689"/>
      <c r="F224" s="3689"/>
      <c r="G224" s="3689"/>
      <c r="H224" s="3689"/>
      <c r="I224" s="3689"/>
      <c r="J224" s="3689"/>
      <c r="K224" s="3690"/>
      <c r="L224" s="3691"/>
      <c r="M224" s="3689"/>
      <c r="N224" s="3689"/>
      <c r="O224" s="3689"/>
      <c r="P224" s="3689"/>
      <c r="Q224" s="3689"/>
      <c r="R224" s="3689"/>
      <c r="S224" s="3689"/>
      <c r="T224" s="3689"/>
      <c r="U224" s="3689"/>
      <c r="V224" s="3689"/>
      <c r="W224" s="3689"/>
      <c r="X224" s="3689"/>
      <c r="Y224" s="3689"/>
      <c r="Z224" s="3689"/>
      <c r="AA224" s="3689"/>
      <c r="AB224" s="3689"/>
      <c r="AC224" s="3689"/>
    </row>
    <row r="225" spans="1:29">
      <c r="A225" s="3689"/>
      <c r="B225" s="3689"/>
      <c r="C225" s="3689"/>
      <c r="D225" s="3689"/>
      <c r="E225" s="3689"/>
      <c r="F225" s="3689"/>
      <c r="G225" s="3689"/>
      <c r="H225" s="3689"/>
      <c r="I225" s="3689"/>
      <c r="J225" s="3689"/>
      <c r="K225" s="3690"/>
      <c r="L225" s="3691"/>
      <c r="M225" s="3689"/>
      <c r="N225" s="3689"/>
      <c r="O225" s="3689"/>
      <c r="P225" s="3689"/>
      <c r="Q225" s="3689"/>
      <c r="R225" s="3689"/>
      <c r="S225" s="3689"/>
      <c r="T225" s="3689"/>
      <c r="U225" s="3689"/>
      <c r="V225" s="3689"/>
      <c r="W225" s="3689"/>
      <c r="X225" s="3689"/>
      <c r="Y225" s="3689"/>
      <c r="Z225" s="3689"/>
      <c r="AA225" s="3689"/>
      <c r="AB225" s="3689"/>
      <c r="AC225" s="3689"/>
    </row>
    <row r="226" spans="1:29">
      <c r="A226" s="3689"/>
      <c r="B226" s="3689"/>
      <c r="C226" s="3689"/>
      <c r="D226" s="3689"/>
      <c r="E226" s="3689"/>
      <c r="F226" s="3689"/>
      <c r="G226" s="3689"/>
      <c r="H226" s="3689"/>
      <c r="I226" s="3689"/>
      <c r="J226" s="3689"/>
      <c r="K226" s="3690"/>
      <c r="L226" s="3691"/>
      <c r="M226" s="3689"/>
      <c r="N226" s="3689"/>
      <c r="O226" s="3689"/>
      <c r="P226" s="3689"/>
      <c r="Q226" s="3689"/>
      <c r="R226" s="3689"/>
      <c r="S226" s="3689"/>
      <c r="T226" s="3689"/>
      <c r="U226" s="3689"/>
      <c r="V226" s="3689"/>
      <c r="W226" s="3689"/>
      <c r="X226" s="3689"/>
      <c r="Y226" s="3689"/>
      <c r="Z226" s="3689"/>
      <c r="AA226" s="3689"/>
      <c r="AB226" s="3689"/>
      <c r="AC226" s="3689"/>
    </row>
    <row r="227" spans="1:29">
      <c r="A227" s="3689"/>
      <c r="B227" s="3689"/>
      <c r="C227" s="3689"/>
      <c r="D227" s="3689"/>
      <c r="E227" s="3689"/>
      <c r="F227" s="3689"/>
      <c r="G227" s="3689"/>
      <c r="H227" s="3689"/>
      <c r="I227" s="3689"/>
      <c r="J227" s="3689"/>
      <c r="K227" s="3690"/>
      <c r="L227" s="3691"/>
      <c r="M227" s="3689"/>
      <c r="N227" s="3689"/>
      <c r="O227" s="3689"/>
      <c r="P227" s="3689"/>
      <c r="Q227" s="3689"/>
      <c r="R227" s="3689"/>
      <c r="S227" s="3689"/>
      <c r="T227" s="3689"/>
      <c r="U227" s="3689"/>
      <c r="V227" s="3689"/>
      <c r="W227" s="3689"/>
      <c r="X227" s="3689"/>
      <c r="Y227" s="3689"/>
      <c r="Z227" s="3689"/>
      <c r="AA227" s="3689"/>
      <c r="AB227" s="3689"/>
      <c r="AC227" s="3689"/>
    </row>
    <row r="228" spans="1:29">
      <c r="A228" s="3689"/>
      <c r="B228" s="3689"/>
      <c r="C228" s="3689"/>
      <c r="D228" s="3689"/>
      <c r="E228" s="3689"/>
      <c r="F228" s="3689"/>
      <c r="G228" s="3689"/>
      <c r="H228" s="3689"/>
      <c r="I228" s="3689"/>
      <c r="J228" s="3689"/>
      <c r="K228" s="3690"/>
      <c r="L228" s="3691"/>
      <c r="M228" s="3689"/>
      <c r="N228" s="3689"/>
      <c r="O228" s="3689"/>
      <c r="P228" s="3689"/>
      <c r="Q228" s="3689"/>
      <c r="R228" s="3689"/>
      <c r="S228" s="3689"/>
      <c r="T228" s="3689"/>
      <c r="U228" s="3689"/>
      <c r="V228" s="3689"/>
      <c r="W228" s="3689"/>
      <c r="X228" s="3689"/>
      <c r="Y228" s="3689"/>
      <c r="Z228" s="3689"/>
      <c r="AA228" s="3689"/>
      <c r="AB228" s="3689"/>
      <c r="AC228" s="3689"/>
    </row>
    <row r="229" spans="1:29">
      <c r="A229" s="3689"/>
      <c r="B229" s="3689"/>
      <c r="C229" s="3689"/>
      <c r="D229" s="3689"/>
      <c r="E229" s="3689"/>
      <c r="F229" s="3689"/>
      <c r="G229" s="3689"/>
      <c r="H229" s="3689"/>
      <c r="I229" s="3689"/>
      <c r="J229" s="3689"/>
      <c r="K229" s="3690"/>
      <c r="L229" s="3691"/>
      <c r="M229" s="3689"/>
      <c r="N229" s="3689"/>
      <c r="O229" s="3689"/>
      <c r="P229" s="3689"/>
      <c r="Q229" s="3689"/>
      <c r="R229" s="3689"/>
      <c r="S229" s="3689"/>
      <c r="T229" s="3689"/>
      <c r="U229" s="3689"/>
      <c r="V229" s="3689"/>
      <c r="W229" s="3689"/>
      <c r="X229" s="3689"/>
      <c r="Y229" s="3689"/>
      <c r="Z229" s="3689"/>
      <c r="AA229" s="3689"/>
      <c r="AB229" s="3689"/>
      <c r="AC229" s="3689"/>
    </row>
    <row r="230" spans="1:29">
      <c r="A230" s="3689"/>
      <c r="B230" s="3689"/>
      <c r="C230" s="3689"/>
      <c r="D230" s="3689"/>
      <c r="E230" s="3689"/>
      <c r="F230" s="3689"/>
      <c r="G230" s="3689"/>
      <c r="H230" s="3689"/>
      <c r="I230" s="3689"/>
      <c r="J230" s="3689"/>
      <c r="K230" s="3690"/>
      <c r="L230" s="3691"/>
      <c r="M230" s="3689"/>
      <c r="N230" s="3689"/>
      <c r="O230" s="3689"/>
      <c r="P230" s="3689"/>
      <c r="Q230" s="3689"/>
      <c r="R230" s="3689"/>
      <c r="S230" s="3689"/>
      <c r="T230" s="3689"/>
      <c r="U230" s="3689"/>
      <c r="V230" s="3689"/>
      <c r="W230" s="3689"/>
      <c r="X230" s="3689"/>
      <c r="Y230" s="3689"/>
      <c r="Z230" s="3689"/>
      <c r="AA230" s="3689"/>
      <c r="AB230" s="3689"/>
      <c r="AC230" s="3689"/>
    </row>
    <row r="231" spans="1:29">
      <c r="A231" s="3689"/>
      <c r="B231" s="3689"/>
      <c r="C231" s="3689"/>
      <c r="D231" s="3689"/>
      <c r="E231" s="3689"/>
      <c r="F231" s="3689"/>
      <c r="G231" s="3689"/>
      <c r="H231" s="3689"/>
      <c r="I231" s="3689"/>
      <c r="J231" s="3689"/>
      <c r="K231" s="3690"/>
      <c r="L231" s="3691"/>
      <c r="M231" s="3689"/>
      <c r="N231" s="3689"/>
      <c r="O231" s="3689"/>
      <c r="P231" s="3689"/>
      <c r="Q231" s="3689"/>
      <c r="R231" s="3689"/>
      <c r="S231" s="3689"/>
      <c r="T231" s="3689"/>
      <c r="U231" s="3689"/>
      <c r="V231" s="3689"/>
      <c r="W231" s="3689"/>
      <c r="X231" s="3689"/>
      <c r="Y231" s="3689"/>
      <c r="Z231" s="3689"/>
      <c r="AA231" s="3689"/>
      <c r="AB231" s="3689"/>
      <c r="AC231" s="3689"/>
    </row>
    <row r="232" spans="1:29">
      <c r="A232" s="3689"/>
      <c r="B232" s="3689"/>
      <c r="C232" s="3689"/>
      <c r="D232" s="3689"/>
      <c r="E232" s="3689"/>
      <c r="F232" s="3689"/>
      <c r="G232" s="3689"/>
      <c r="H232" s="3689"/>
      <c r="I232" s="3689"/>
      <c r="J232" s="3689"/>
      <c r="K232" s="3690"/>
      <c r="L232" s="3691"/>
      <c r="M232" s="3689"/>
      <c r="N232" s="3689"/>
      <c r="O232" s="3689"/>
      <c r="P232" s="3689"/>
      <c r="Q232" s="3689"/>
      <c r="R232" s="3689"/>
      <c r="S232" s="3689"/>
      <c r="T232" s="3689"/>
      <c r="U232" s="3689"/>
      <c r="V232" s="3689"/>
      <c r="W232" s="3689"/>
      <c r="X232" s="3689"/>
      <c r="Y232" s="3689"/>
      <c r="Z232" s="3689"/>
      <c r="AA232" s="3689"/>
      <c r="AB232" s="3689"/>
      <c r="AC232" s="3689"/>
    </row>
    <row r="233" spans="1:29">
      <c r="A233" s="3689"/>
      <c r="B233" s="3689"/>
      <c r="C233" s="3689"/>
      <c r="D233" s="3689"/>
      <c r="E233" s="3689"/>
      <c r="F233" s="3689"/>
      <c r="G233" s="3689"/>
      <c r="H233" s="3689"/>
      <c r="I233" s="3689"/>
      <c r="J233" s="3689"/>
      <c r="K233" s="3690"/>
      <c r="L233" s="3691"/>
      <c r="M233" s="3689"/>
      <c r="N233" s="3689"/>
      <c r="O233" s="3689"/>
      <c r="P233" s="3689"/>
      <c r="Q233" s="3689"/>
      <c r="R233" s="3689"/>
      <c r="S233" s="3689"/>
      <c r="T233" s="3689"/>
      <c r="U233" s="3689"/>
      <c r="V233" s="3689"/>
      <c r="W233" s="3689"/>
      <c r="X233" s="3689"/>
      <c r="Y233" s="3689"/>
      <c r="Z233" s="3689"/>
      <c r="AA233" s="3689"/>
      <c r="AB233" s="3689"/>
      <c r="AC233" s="3689"/>
    </row>
    <row r="234" spans="1:29">
      <c r="A234" s="3689"/>
      <c r="B234" s="3689"/>
      <c r="C234" s="3689"/>
      <c r="D234" s="3689"/>
      <c r="E234" s="3689"/>
      <c r="F234" s="3689"/>
      <c r="G234" s="3689"/>
      <c r="H234" s="3689"/>
      <c r="I234" s="3689"/>
      <c r="J234" s="3689"/>
      <c r="K234" s="3690"/>
      <c r="L234" s="3691"/>
      <c r="M234" s="3689"/>
      <c r="N234" s="3689"/>
      <c r="O234" s="3689"/>
      <c r="P234" s="3689"/>
      <c r="Q234" s="3689"/>
      <c r="R234" s="3689"/>
      <c r="S234" s="3689"/>
      <c r="T234" s="3689"/>
      <c r="U234" s="3689"/>
      <c r="V234" s="3689"/>
      <c r="W234" s="3689"/>
      <c r="X234" s="3689"/>
      <c r="Y234" s="3689"/>
      <c r="Z234" s="3689"/>
      <c r="AA234" s="3689"/>
      <c r="AB234" s="3689"/>
      <c r="AC234" s="3689"/>
    </row>
    <row r="235" spans="1:29">
      <c r="A235" s="3689"/>
      <c r="B235" s="3689"/>
      <c r="C235" s="3689"/>
      <c r="D235" s="3689"/>
      <c r="E235" s="3689"/>
      <c r="F235" s="3689"/>
      <c r="G235" s="3689"/>
      <c r="H235" s="3689"/>
      <c r="I235" s="3689"/>
      <c r="J235" s="3689"/>
      <c r="K235" s="3690"/>
      <c r="L235" s="3691"/>
      <c r="M235" s="3689"/>
      <c r="N235" s="3689"/>
      <c r="O235" s="3689"/>
      <c r="P235" s="3689"/>
      <c r="Q235" s="3689"/>
      <c r="R235" s="3689"/>
      <c r="S235" s="3689"/>
      <c r="T235" s="3689"/>
      <c r="U235" s="3689"/>
      <c r="V235" s="3689"/>
      <c r="W235" s="3689"/>
      <c r="X235" s="3689"/>
      <c r="Y235" s="3689"/>
      <c r="Z235" s="3689"/>
      <c r="AA235" s="3689"/>
      <c r="AB235" s="3689"/>
      <c r="AC235" s="3689"/>
    </row>
    <row r="236" spans="1:29">
      <c r="A236" s="3689"/>
      <c r="B236" s="3689"/>
      <c r="C236" s="3689"/>
      <c r="D236" s="3689"/>
      <c r="E236" s="3689"/>
      <c r="F236" s="3689"/>
      <c r="G236" s="3689"/>
      <c r="H236" s="3689"/>
      <c r="I236" s="3689"/>
      <c r="J236" s="3689"/>
      <c r="K236" s="3690"/>
      <c r="L236" s="3691"/>
      <c r="M236" s="3689"/>
      <c r="N236" s="3689"/>
      <c r="O236" s="3689"/>
      <c r="P236" s="3689"/>
      <c r="Q236" s="3689"/>
      <c r="R236" s="3689"/>
      <c r="S236" s="3689"/>
      <c r="T236" s="3689"/>
      <c r="U236" s="3689"/>
      <c r="V236" s="3689"/>
      <c r="W236" s="3689"/>
      <c r="X236" s="3689"/>
      <c r="Y236" s="3689"/>
      <c r="Z236" s="3689"/>
      <c r="AA236" s="3689"/>
      <c r="AB236" s="3689"/>
      <c r="AC236" s="3689"/>
    </row>
    <row r="237" spans="1:29">
      <c r="A237" s="3689"/>
      <c r="B237" s="3689"/>
      <c r="C237" s="3689"/>
      <c r="D237" s="3689"/>
      <c r="E237" s="3689"/>
      <c r="F237" s="3689"/>
      <c r="G237" s="3689"/>
      <c r="H237" s="3689"/>
      <c r="I237" s="3689"/>
      <c r="J237" s="3689"/>
      <c r="K237" s="3690"/>
      <c r="L237" s="3691"/>
      <c r="M237" s="3689"/>
      <c r="N237" s="3689"/>
      <c r="O237" s="3689"/>
      <c r="P237" s="3689"/>
      <c r="Q237" s="3689"/>
      <c r="R237" s="3689"/>
      <c r="S237" s="3689"/>
      <c r="T237" s="3689"/>
      <c r="U237" s="3689"/>
      <c r="V237" s="3689"/>
      <c r="W237" s="3689"/>
      <c r="X237" s="3689"/>
      <c r="Y237" s="3689"/>
      <c r="Z237" s="3689"/>
      <c r="AA237" s="3689"/>
      <c r="AB237" s="3689"/>
      <c r="AC237" s="3689"/>
    </row>
    <row r="238" spans="1:29">
      <c r="A238" s="3689"/>
      <c r="B238" s="3689"/>
      <c r="C238" s="3689"/>
      <c r="D238" s="3689"/>
      <c r="E238" s="3689"/>
      <c r="F238" s="3689"/>
      <c r="G238" s="3689"/>
      <c r="H238" s="3689"/>
      <c r="I238" s="3689"/>
      <c r="J238" s="3689"/>
      <c r="K238" s="3690"/>
      <c r="L238" s="3691"/>
      <c r="M238" s="3689"/>
      <c r="N238" s="3689"/>
      <c r="O238" s="3689"/>
      <c r="P238" s="3689"/>
      <c r="Q238" s="3689"/>
      <c r="R238" s="3689"/>
      <c r="S238" s="3689"/>
      <c r="T238" s="3689"/>
      <c r="U238" s="3689"/>
      <c r="V238" s="3689"/>
      <c r="W238" s="3689"/>
      <c r="X238" s="3689"/>
      <c r="Y238" s="3689"/>
      <c r="Z238" s="3689"/>
      <c r="AA238" s="3689"/>
      <c r="AB238" s="3689"/>
      <c r="AC238" s="3689"/>
    </row>
    <row r="239" spans="1:29">
      <c r="A239" s="3689"/>
      <c r="B239" s="3689"/>
      <c r="C239" s="3689"/>
      <c r="D239" s="3689"/>
      <c r="E239" s="3689"/>
      <c r="F239" s="3689"/>
      <c r="G239" s="3689"/>
      <c r="H239" s="3689"/>
      <c r="I239" s="3689"/>
      <c r="J239" s="3689"/>
      <c r="K239" s="3690"/>
      <c r="L239" s="3691"/>
      <c r="M239" s="3689"/>
      <c r="N239" s="3689"/>
      <c r="O239" s="3689"/>
      <c r="P239" s="3689"/>
      <c r="Q239" s="3689"/>
      <c r="R239" s="3689"/>
      <c r="S239" s="3689"/>
      <c r="T239" s="3689"/>
      <c r="U239" s="3689"/>
      <c r="V239" s="3689"/>
      <c r="W239" s="3689"/>
      <c r="X239" s="3689"/>
      <c r="Y239" s="3689"/>
      <c r="Z239" s="3689"/>
      <c r="AA239" s="3689"/>
      <c r="AB239" s="3689"/>
      <c r="AC239" s="3689"/>
    </row>
    <row r="240" spans="1:29">
      <c r="A240" s="3689"/>
      <c r="B240" s="3689"/>
      <c r="C240" s="3689"/>
      <c r="D240" s="3689"/>
      <c r="E240" s="3689"/>
      <c r="F240" s="3689"/>
      <c r="G240" s="3689"/>
      <c r="H240" s="3689"/>
      <c r="I240" s="3689"/>
      <c r="J240" s="3689"/>
      <c r="K240" s="3690"/>
      <c r="L240" s="3691"/>
      <c r="M240" s="3689"/>
      <c r="N240" s="3689"/>
      <c r="O240" s="3689"/>
      <c r="P240" s="3689"/>
      <c r="Q240" s="3689"/>
      <c r="R240" s="3689"/>
      <c r="S240" s="3689"/>
      <c r="T240" s="3689"/>
      <c r="U240" s="3689"/>
      <c r="V240" s="3689"/>
      <c r="W240" s="3689"/>
      <c r="X240" s="3689"/>
      <c r="Y240" s="3689"/>
      <c r="Z240" s="3689"/>
      <c r="AA240" s="3689"/>
      <c r="AB240" s="3689"/>
      <c r="AC240" s="3689"/>
    </row>
    <row r="241" spans="1:29">
      <c r="A241" s="3689"/>
      <c r="B241" s="3689"/>
      <c r="C241" s="3689"/>
      <c r="D241" s="3689"/>
      <c r="E241" s="3689"/>
      <c r="F241" s="3689"/>
      <c r="G241" s="3689"/>
      <c r="H241" s="3689"/>
      <c r="I241" s="3689"/>
      <c r="J241" s="3689"/>
      <c r="K241" s="3690"/>
      <c r="L241" s="3691"/>
      <c r="M241" s="3689"/>
      <c r="N241" s="3689"/>
      <c r="O241" s="3689"/>
      <c r="P241" s="3689"/>
      <c r="Q241" s="3689"/>
      <c r="R241" s="3689"/>
      <c r="S241" s="3689"/>
      <c r="T241" s="3689"/>
      <c r="U241" s="3689"/>
      <c r="V241" s="3689"/>
      <c r="W241" s="3689"/>
      <c r="X241" s="3689"/>
      <c r="Y241" s="3689"/>
      <c r="Z241" s="3689"/>
      <c r="AA241" s="3689"/>
      <c r="AB241" s="3689"/>
      <c r="AC241" s="3689"/>
    </row>
    <row r="242" spans="1:29">
      <c r="A242" s="3689"/>
      <c r="B242" s="3689"/>
      <c r="C242" s="3689"/>
      <c r="D242" s="3689"/>
      <c r="E242" s="3689"/>
      <c r="F242" s="3689"/>
      <c r="G242" s="3689"/>
      <c r="H242" s="3689"/>
      <c r="I242" s="3689"/>
      <c r="J242" s="3689"/>
      <c r="K242" s="3690"/>
      <c r="L242" s="3691"/>
      <c r="M242" s="3689"/>
      <c r="N242" s="3689"/>
      <c r="O242" s="3689"/>
      <c r="P242" s="3689"/>
      <c r="Q242" s="3689"/>
      <c r="R242" s="3689"/>
      <c r="S242" s="3689"/>
      <c r="T242" s="3689"/>
      <c r="U242" s="3689"/>
      <c r="V242" s="3689"/>
      <c r="W242" s="3689"/>
      <c r="X242" s="3689"/>
      <c r="Y242" s="3689"/>
      <c r="Z242" s="3689"/>
      <c r="AA242" s="3689"/>
      <c r="AB242" s="3689"/>
      <c r="AC242" s="3689"/>
    </row>
    <row r="243" spans="1:29">
      <c r="A243" s="3689"/>
      <c r="B243" s="3689"/>
      <c r="C243" s="3689"/>
      <c r="D243" s="3689"/>
      <c r="E243" s="3689"/>
      <c r="F243" s="3689"/>
      <c r="G243" s="3689"/>
      <c r="H243" s="3689"/>
      <c r="I243" s="3689"/>
      <c r="J243" s="3689"/>
      <c r="K243" s="3690"/>
      <c r="L243" s="3691"/>
      <c r="M243" s="3689"/>
      <c r="N243" s="3689"/>
      <c r="O243" s="3689"/>
      <c r="P243" s="3689"/>
      <c r="Q243" s="3689"/>
      <c r="R243" s="3689"/>
      <c r="S243" s="3689"/>
      <c r="T243" s="3689"/>
      <c r="U243" s="3689"/>
      <c r="V243" s="3689"/>
      <c r="W243" s="3689"/>
      <c r="X243" s="3689"/>
      <c r="Y243" s="3689"/>
      <c r="Z243" s="3689"/>
      <c r="AA243" s="3689"/>
      <c r="AB243" s="3689"/>
      <c r="AC243" s="3689"/>
    </row>
    <row r="244" spans="1:29">
      <c r="A244" s="3689"/>
      <c r="B244" s="3689"/>
      <c r="C244" s="3689"/>
      <c r="D244" s="3689"/>
      <c r="E244" s="3689"/>
      <c r="F244" s="3689"/>
      <c r="G244" s="3689"/>
      <c r="H244" s="3689"/>
      <c r="I244" s="3689"/>
      <c r="J244" s="3689"/>
      <c r="K244" s="3690"/>
      <c r="L244" s="3691"/>
      <c r="M244" s="3689"/>
      <c r="N244" s="3689"/>
      <c r="O244" s="3689"/>
      <c r="P244" s="3689"/>
      <c r="Q244" s="3689"/>
      <c r="R244" s="3689"/>
      <c r="S244" s="3689"/>
      <c r="T244" s="3689"/>
      <c r="U244" s="3689"/>
      <c r="V244" s="3689"/>
      <c r="W244" s="3689"/>
      <c r="X244" s="3689"/>
      <c r="Y244" s="3689"/>
      <c r="Z244" s="3689"/>
      <c r="AA244" s="3689"/>
      <c r="AB244" s="3689"/>
      <c r="AC244" s="3689"/>
    </row>
    <row r="245" spans="1:29">
      <c r="A245" s="3689"/>
      <c r="B245" s="3689"/>
      <c r="C245" s="3689"/>
      <c r="D245" s="3689"/>
      <c r="E245" s="3689"/>
      <c r="F245" s="3689"/>
      <c r="G245" s="3689"/>
      <c r="H245" s="3689"/>
      <c r="I245" s="3689"/>
      <c r="J245" s="3689"/>
      <c r="K245" s="3690"/>
      <c r="L245" s="3691"/>
      <c r="M245" s="3689"/>
      <c r="N245" s="3689"/>
      <c r="O245" s="3689"/>
      <c r="P245" s="3689"/>
      <c r="Q245" s="3689"/>
      <c r="R245" s="3689"/>
      <c r="S245" s="3689"/>
      <c r="T245" s="3689"/>
      <c r="U245" s="3689"/>
      <c r="V245" s="3689"/>
      <c r="W245" s="3689"/>
      <c r="X245" s="3689"/>
      <c r="Y245" s="3689"/>
      <c r="Z245" s="3689"/>
      <c r="AA245" s="3689"/>
      <c r="AB245" s="3689"/>
      <c r="AC245" s="3689"/>
    </row>
    <row r="246" spans="1:29">
      <c r="A246" s="3689"/>
      <c r="B246" s="3689"/>
      <c r="C246" s="3689"/>
      <c r="D246" s="3689"/>
      <c r="E246" s="3689"/>
      <c r="F246" s="3689"/>
      <c r="G246" s="3689"/>
      <c r="H246" s="3689"/>
      <c r="I246" s="3689"/>
      <c r="J246" s="3689"/>
      <c r="K246" s="3690"/>
      <c r="L246" s="3691"/>
      <c r="M246" s="3689"/>
      <c r="N246" s="3689"/>
      <c r="O246" s="3689"/>
      <c r="P246" s="3689"/>
      <c r="Q246" s="3689"/>
      <c r="R246" s="3689"/>
      <c r="S246" s="3689"/>
      <c r="T246" s="3689"/>
      <c r="U246" s="3689"/>
      <c r="V246" s="3689"/>
      <c r="W246" s="3689"/>
      <c r="X246" s="3689"/>
      <c r="Y246" s="3689"/>
      <c r="Z246" s="3689"/>
      <c r="AA246" s="3689"/>
      <c r="AB246" s="3689"/>
      <c r="AC246" s="3689"/>
    </row>
    <row r="247" spans="1:29">
      <c r="A247" s="3689"/>
      <c r="B247" s="3689"/>
      <c r="C247" s="3689"/>
      <c r="D247" s="3689"/>
      <c r="E247" s="3689"/>
      <c r="F247" s="3689"/>
      <c r="G247" s="3689"/>
      <c r="H247" s="3689"/>
      <c r="I247" s="3689"/>
      <c r="J247" s="3689"/>
      <c r="K247" s="3690"/>
      <c r="L247" s="3691"/>
      <c r="M247" s="3689"/>
      <c r="N247" s="3689"/>
      <c r="O247" s="3689"/>
      <c r="P247" s="3689"/>
      <c r="Q247" s="3689"/>
      <c r="R247" s="3689"/>
      <c r="S247" s="3689"/>
      <c r="T247" s="3689"/>
      <c r="U247" s="3689"/>
      <c r="V247" s="3689"/>
      <c r="W247" s="3689"/>
      <c r="X247" s="3689"/>
      <c r="Y247" s="3689"/>
      <c r="Z247" s="3689"/>
      <c r="AA247" s="3689"/>
      <c r="AB247" s="3689"/>
      <c r="AC247" s="3689"/>
    </row>
    <row r="248" spans="1:29">
      <c r="A248" s="3689"/>
      <c r="B248" s="3689"/>
      <c r="C248" s="3689"/>
      <c r="D248" s="3689"/>
      <c r="E248" s="3689"/>
      <c r="F248" s="3689"/>
      <c r="G248" s="3689"/>
      <c r="H248" s="3689"/>
      <c r="I248" s="3689"/>
      <c r="J248" s="3689"/>
      <c r="K248" s="3690"/>
      <c r="L248" s="3691"/>
      <c r="M248" s="3689"/>
      <c r="N248" s="3689"/>
      <c r="O248" s="3689"/>
      <c r="P248" s="3689"/>
      <c r="Q248" s="3689"/>
      <c r="R248" s="3689"/>
      <c r="S248" s="3689"/>
      <c r="T248" s="3689"/>
      <c r="U248" s="3689"/>
      <c r="V248" s="3689"/>
      <c r="W248" s="3689"/>
      <c r="X248" s="3689"/>
      <c r="Y248" s="3689"/>
      <c r="Z248" s="3689"/>
      <c r="AA248" s="3689"/>
      <c r="AB248" s="3689"/>
      <c r="AC248" s="3689"/>
    </row>
    <row r="249" spans="1:29">
      <c r="A249" s="3689"/>
      <c r="B249" s="3689"/>
      <c r="C249" s="3689"/>
      <c r="D249" s="3689"/>
      <c r="E249" s="3689"/>
      <c r="F249" s="3689"/>
      <c r="G249" s="3689"/>
      <c r="H249" s="3689"/>
      <c r="I249" s="3689"/>
      <c r="J249" s="3689"/>
      <c r="K249" s="3690"/>
      <c r="L249" s="3691"/>
      <c r="M249" s="3689"/>
      <c r="N249" s="3689"/>
      <c r="O249" s="3689"/>
      <c r="P249" s="3689"/>
      <c r="Q249" s="3689"/>
      <c r="R249" s="3689"/>
      <c r="S249" s="3689"/>
      <c r="T249" s="3689"/>
      <c r="U249" s="3689"/>
      <c r="V249" s="3689"/>
      <c r="W249" s="3689"/>
      <c r="X249" s="3689"/>
      <c r="Y249" s="3689"/>
      <c r="Z249" s="3689"/>
      <c r="AA249" s="3689"/>
      <c r="AB249" s="3689"/>
      <c r="AC249" s="3689"/>
    </row>
    <row r="250" spans="1:29">
      <c r="A250" s="3689"/>
      <c r="B250" s="3689"/>
      <c r="C250" s="3689"/>
      <c r="D250" s="3689"/>
      <c r="E250" s="3689"/>
      <c r="F250" s="3689"/>
      <c r="G250" s="3689"/>
      <c r="H250" s="3689"/>
      <c r="I250" s="3689"/>
      <c r="J250" s="3689"/>
      <c r="K250" s="3690"/>
      <c r="L250" s="3691"/>
      <c r="M250" s="3689"/>
      <c r="N250" s="3689"/>
      <c r="O250" s="3689"/>
      <c r="P250" s="3689"/>
      <c r="Q250" s="3689"/>
      <c r="R250" s="3689"/>
      <c r="S250" s="3689"/>
      <c r="T250" s="3689"/>
      <c r="U250" s="3689"/>
      <c r="V250" s="3689"/>
      <c r="W250" s="3689"/>
      <c r="X250" s="3689"/>
      <c r="Y250" s="3689"/>
      <c r="Z250" s="3689"/>
      <c r="AA250" s="3689"/>
      <c r="AB250" s="3689"/>
      <c r="AC250" s="3689"/>
    </row>
    <row r="251" spans="1:29">
      <c r="A251" s="3689"/>
      <c r="B251" s="3689"/>
      <c r="C251" s="3689"/>
      <c r="D251" s="3689"/>
      <c r="E251" s="3689"/>
      <c r="F251" s="3689"/>
      <c r="G251" s="3689"/>
      <c r="H251" s="3689"/>
      <c r="I251" s="3689"/>
      <c r="J251" s="3689"/>
      <c r="K251" s="3690"/>
      <c r="L251" s="3691"/>
      <c r="M251" s="3689"/>
      <c r="N251" s="3689"/>
      <c r="O251" s="3689"/>
      <c r="P251" s="3689"/>
      <c r="Q251" s="3689"/>
      <c r="R251" s="3689"/>
      <c r="S251" s="3689"/>
      <c r="T251" s="3689"/>
      <c r="U251" s="3689"/>
      <c r="V251" s="3689"/>
      <c r="W251" s="3689"/>
      <c r="X251" s="3689"/>
      <c r="Y251" s="3689"/>
      <c r="Z251" s="3689"/>
      <c r="AA251" s="3689"/>
      <c r="AB251" s="3689"/>
      <c r="AC251" s="3689"/>
    </row>
    <row r="252" spans="1:29">
      <c r="A252" s="3689"/>
      <c r="B252" s="3689"/>
      <c r="C252" s="3689"/>
      <c r="D252" s="3689"/>
      <c r="E252" s="3689"/>
      <c r="F252" s="3689"/>
      <c r="G252" s="3689"/>
      <c r="H252" s="3689"/>
      <c r="I252" s="3689"/>
      <c r="J252" s="3689"/>
      <c r="K252" s="3690"/>
      <c r="L252" s="3691"/>
      <c r="M252" s="3689"/>
      <c r="N252" s="3689"/>
      <c r="O252" s="3689"/>
      <c r="P252" s="3689"/>
      <c r="Q252" s="3689"/>
      <c r="R252" s="3689"/>
      <c r="S252" s="3689"/>
      <c r="T252" s="3689"/>
      <c r="U252" s="3689"/>
      <c r="V252" s="3689"/>
      <c r="W252" s="3689"/>
      <c r="X252" s="3689"/>
      <c r="Y252" s="3689"/>
      <c r="Z252" s="3689"/>
      <c r="AA252" s="3689"/>
      <c r="AB252" s="3689"/>
      <c r="AC252" s="3689"/>
    </row>
    <row r="253" spans="1:29">
      <c r="A253" s="3689"/>
      <c r="B253" s="3689"/>
      <c r="C253" s="3689"/>
      <c r="D253" s="3689"/>
      <c r="E253" s="3689"/>
      <c r="F253" s="3689"/>
      <c r="G253" s="3689"/>
      <c r="H253" s="3689"/>
      <c r="I253" s="3689"/>
      <c r="J253" s="3689"/>
      <c r="K253" s="3690"/>
      <c r="L253" s="3691"/>
      <c r="M253" s="3689"/>
      <c r="N253" s="3689"/>
      <c r="O253" s="3689"/>
      <c r="P253" s="3689"/>
      <c r="Q253" s="3689"/>
      <c r="R253" s="3689"/>
      <c r="S253" s="3689"/>
      <c r="T253" s="3689"/>
      <c r="U253" s="3689"/>
      <c r="V253" s="3689"/>
      <c r="W253" s="3689"/>
      <c r="X253" s="3689"/>
      <c r="Y253" s="3689"/>
      <c r="Z253" s="3689"/>
      <c r="AA253" s="3689"/>
      <c r="AB253" s="3689"/>
      <c r="AC253" s="3689"/>
    </row>
    <row r="254" spans="1:29">
      <c r="A254" s="3689"/>
      <c r="B254" s="3689"/>
      <c r="C254" s="3689"/>
      <c r="D254" s="3689"/>
      <c r="E254" s="3689"/>
      <c r="F254" s="3689"/>
      <c r="G254" s="3689"/>
      <c r="H254" s="3689"/>
      <c r="I254" s="3689"/>
      <c r="J254" s="3689"/>
      <c r="K254" s="3690"/>
      <c r="L254" s="3691"/>
      <c r="M254" s="3689"/>
      <c r="N254" s="3689"/>
      <c r="O254" s="3689"/>
      <c r="P254" s="3689"/>
      <c r="Q254" s="3689"/>
      <c r="R254" s="3689"/>
      <c r="S254" s="3689"/>
      <c r="T254" s="3689"/>
      <c r="U254" s="3689"/>
      <c r="V254" s="3689"/>
      <c r="W254" s="3689"/>
      <c r="X254" s="3689"/>
      <c r="Y254" s="3689"/>
      <c r="Z254" s="3689"/>
      <c r="AA254" s="3689"/>
      <c r="AB254" s="3689"/>
      <c r="AC254" s="3689"/>
    </row>
    <row r="255" spans="1:29">
      <c r="A255" s="3689"/>
      <c r="B255" s="3689"/>
      <c r="C255" s="3689"/>
      <c r="D255" s="3689"/>
      <c r="E255" s="3689"/>
      <c r="F255" s="3689"/>
      <c r="G255" s="3689"/>
      <c r="H255" s="3689"/>
      <c r="I255" s="3689"/>
      <c r="J255" s="3689"/>
      <c r="K255" s="3690"/>
      <c r="L255" s="3691"/>
      <c r="M255" s="3689"/>
      <c r="N255" s="3689"/>
      <c r="O255" s="3689"/>
      <c r="P255" s="3689"/>
      <c r="Q255" s="3689"/>
      <c r="R255" s="3689"/>
      <c r="S255" s="3689"/>
      <c r="T255" s="3689"/>
      <c r="U255" s="3689"/>
      <c r="V255" s="3689"/>
      <c r="W255" s="3689"/>
      <c r="X255" s="3689"/>
      <c r="Y255" s="3689"/>
      <c r="Z255" s="3689"/>
      <c r="AA255" s="3689"/>
      <c r="AB255" s="3689"/>
      <c r="AC255" s="3689"/>
    </row>
    <row r="256" spans="1:29">
      <c r="A256" s="3689"/>
      <c r="B256" s="3689"/>
      <c r="C256" s="3689"/>
      <c r="D256" s="3689"/>
      <c r="E256" s="3689"/>
      <c r="F256" s="3689"/>
      <c r="G256" s="3689"/>
      <c r="H256" s="3689"/>
      <c r="I256" s="3689"/>
      <c r="J256" s="3689"/>
      <c r="K256" s="3690"/>
      <c r="L256" s="3691"/>
      <c r="M256" s="3689"/>
      <c r="N256" s="3689"/>
      <c r="O256" s="3689"/>
      <c r="P256" s="3689"/>
      <c r="Q256" s="3689"/>
      <c r="R256" s="3689"/>
      <c r="S256" s="3689"/>
      <c r="T256" s="3689"/>
      <c r="U256" s="3689"/>
      <c r="V256" s="3689"/>
      <c r="W256" s="3689"/>
      <c r="X256" s="3689"/>
      <c r="Y256" s="3689"/>
      <c r="Z256" s="3689"/>
      <c r="AA256" s="3689"/>
      <c r="AB256" s="3689"/>
      <c r="AC256" s="3689"/>
    </row>
    <row r="257" spans="1:29">
      <c r="A257" s="3689"/>
      <c r="B257" s="3689"/>
      <c r="C257" s="3689"/>
      <c r="D257" s="3689"/>
      <c r="E257" s="3689"/>
      <c r="F257" s="3689"/>
      <c r="G257" s="3689"/>
      <c r="H257" s="3689"/>
      <c r="I257" s="3689"/>
      <c r="J257" s="3689"/>
      <c r="K257" s="3690"/>
      <c r="L257" s="3691"/>
      <c r="M257" s="3689"/>
      <c r="N257" s="3689"/>
      <c r="O257" s="3689"/>
      <c r="P257" s="3689"/>
      <c r="Q257" s="3689"/>
      <c r="R257" s="3689"/>
      <c r="S257" s="3689"/>
      <c r="T257" s="3689"/>
      <c r="U257" s="3689"/>
      <c r="V257" s="3689"/>
      <c r="W257" s="3689"/>
      <c r="X257" s="3689"/>
      <c r="Y257" s="3689"/>
      <c r="Z257" s="3689"/>
      <c r="AA257" s="3689"/>
      <c r="AB257" s="3689"/>
      <c r="AC257" s="3689"/>
    </row>
    <row r="258" spans="1:29">
      <c r="A258" s="3689"/>
      <c r="B258" s="3689"/>
      <c r="C258" s="3689"/>
      <c r="D258" s="3689"/>
      <c r="E258" s="3689"/>
      <c r="F258" s="3689"/>
      <c r="G258" s="3689"/>
      <c r="H258" s="3689"/>
      <c r="I258" s="3689"/>
      <c r="J258" s="3689"/>
      <c r="K258" s="3690"/>
      <c r="L258" s="3691"/>
      <c r="M258" s="3689"/>
      <c r="N258" s="3689"/>
      <c r="O258" s="3689"/>
      <c r="P258" s="3689"/>
      <c r="Q258" s="3689"/>
      <c r="R258" s="3689"/>
      <c r="S258" s="3689"/>
      <c r="T258" s="3689"/>
      <c r="U258" s="3689"/>
      <c r="V258" s="3689"/>
      <c r="W258" s="3689"/>
      <c r="X258" s="3689"/>
      <c r="Y258" s="3689"/>
      <c r="Z258" s="3689"/>
      <c r="AA258" s="3689"/>
      <c r="AB258" s="3689"/>
      <c r="AC258" s="3689"/>
    </row>
    <row r="259" spans="1:29">
      <c r="A259" s="3689"/>
      <c r="B259" s="3689"/>
      <c r="C259" s="3689"/>
      <c r="D259" s="3689"/>
      <c r="E259" s="3689"/>
      <c r="F259" s="3689"/>
      <c r="G259" s="3689"/>
      <c r="H259" s="3689"/>
      <c r="I259" s="3689"/>
      <c r="J259" s="3689"/>
      <c r="K259" s="3690"/>
      <c r="L259" s="3691"/>
      <c r="M259" s="3689"/>
      <c r="N259" s="3689"/>
      <c r="O259" s="3689"/>
      <c r="P259" s="3689"/>
      <c r="Q259" s="3689"/>
      <c r="R259" s="3689"/>
      <c r="S259" s="3689"/>
      <c r="T259" s="3689"/>
      <c r="U259" s="3689"/>
      <c r="V259" s="3689"/>
      <c r="W259" s="3689"/>
      <c r="X259" s="3689"/>
      <c r="Y259" s="3689"/>
      <c r="Z259" s="3689"/>
      <c r="AA259" s="3689"/>
      <c r="AB259" s="3689"/>
      <c r="AC259" s="3689"/>
    </row>
    <row r="260" spans="1:29">
      <c r="A260" s="3689"/>
      <c r="B260" s="3689"/>
      <c r="C260" s="3689"/>
      <c r="D260" s="3689"/>
      <c r="E260" s="3689"/>
      <c r="F260" s="3689"/>
      <c r="G260" s="3689"/>
      <c r="H260" s="3689"/>
      <c r="I260" s="3689"/>
      <c r="J260" s="3689"/>
      <c r="K260" s="3690"/>
      <c r="L260" s="3691"/>
      <c r="M260" s="3689"/>
      <c r="N260" s="3689"/>
      <c r="O260" s="3689"/>
      <c r="P260" s="3689"/>
      <c r="Q260" s="3689"/>
      <c r="R260" s="3689"/>
      <c r="S260" s="3689"/>
      <c r="T260" s="3689"/>
      <c r="U260" s="3689"/>
      <c r="V260" s="3689"/>
      <c r="W260" s="3689"/>
      <c r="X260" s="3689"/>
      <c r="Y260" s="3689"/>
      <c r="Z260" s="3689"/>
      <c r="AA260" s="3689"/>
      <c r="AB260" s="3689"/>
      <c r="AC260" s="3689"/>
    </row>
    <row r="261" spans="1:29">
      <c r="A261" s="3689"/>
      <c r="B261" s="3689"/>
      <c r="C261" s="3689"/>
      <c r="D261" s="3689"/>
      <c r="E261" s="3689"/>
      <c r="F261" s="3689"/>
      <c r="G261" s="3689"/>
      <c r="H261" s="3689"/>
      <c r="I261" s="3689"/>
      <c r="J261" s="3689"/>
      <c r="K261" s="3690"/>
      <c r="L261" s="3691"/>
      <c r="M261" s="3689"/>
      <c r="N261" s="3689"/>
      <c r="O261" s="3689"/>
      <c r="P261" s="3689"/>
      <c r="Q261" s="3689"/>
      <c r="R261" s="3689"/>
      <c r="S261" s="3689"/>
      <c r="T261" s="3689"/>
      <c r="U261" s="3689"/>
      <c r="V261" s="3689"/>
      <c r="W261" s="3689"/>
      <c r="X261" s="3689"/>
      <c r="Y261" s="3689"/>
      <c r="Z261" s="3689"/>
      <c r="AA261" s="3689"/>
      <c r="AB261" s="3689"/>
      <c r="AC261" s="3689"/>
    </row>
    <row r="262" spans="1:29">
      <c r="A262" s="3689"/>
      <c r="B262" s="3689"/>
      <c r="C262" s="3689"/>
      <c r="D262" s="3689"/>
      <c r="E262" s="3689"/>
      <c r="F262" s="3689"/>
      <c r="G262" s="3689"/>
      <c r="H262" s="3689"/>
      <c r="I262" s="3689"/>
      <c r="J262" s="3689"/>
      <c r="K262" s="3690"/>
      <c r="L262" s="3691"/>
      <c r="M262" s="3689"/>
      <c r="N262" s="3689"/>
      <c r="O262" s="3689"/>
      <c r="P262" s="3689"/>
      <c r="Q262" s="3689"/>
      <c r="R262" s="3689"/>
      <c r="S262" s="3689"/>
      <c r="T262" s="3689"/>
      <c r="U262" s="3689"/>
      <c r="V262" s="3689"/>
      <c r="W262" s="3689"/>
      <c r="X262" s="3689"/>
      <c r="Y262" s="3689"/>
      <c r="Z262" s="3689"/>
      <c r="AA262" s="3689"/>
      <c r="AB262" s="3689"/>
      <c r="AC262" s="3689"/>
    </row>
    <row r="263" spans="1:29">
      <c r="A263" s="3689"/>
      <c r="B263" s="3689"/>
      <c r="C263" s="3689"/>
      <c r="D263" s="3689"/>
      <c r="E263" s="3689"/>
      <c r="F263" s="3689"/>
      <c r="G263" s="3689"/>
      <c r="H263" s="3689"/>
      <c r="I263" s="3689"/>
      <c r="J263" s="3689"/>
      <c r="K263" s="3690"/>
      <c r="L263" s="3691"/>
      <c r="M263" s="3689"/>
      <c r="N263" s="3689"/>
      <c r="O263" s="3689"/>
      <c r="P263" s="3689"/>
      <c r="Q263" s="3689"/>
      <c r="R263" s="3689"/>
      <c r="S263" s="3689"/>
      <c r="T263" s="3689"/>
      <c r="U263" s="3689"/>
      <c r="V263" s="3689"/>
      <c r="W263" s="3689"/>
      <c r="X263" s="3689"/>
      <c r="Y263" s="3689"/>
      <c r="Z263" s="3689"/>
      <c r="AA263" s="3689"/>
      <c r="AB263" s="3689"/>
      <c r="AC263" s="3689"/>
    </row>
    <row r="264" spans="1:29">
      <c r="A264" s="3689"/>
      <c r="B264" s="3689"/>
      <c r="C264" s="3689"/>
      <c r="D264" s="3689"/>
      <c r="E264" s="3689"/>
      <c r="F264" s="3689"/>
      <c r="G264" s="3689"/>
      <c r="H264" s="3689"/>
      <c r="I264" s="3689"/>
      <c r="J264" s="3689"/>
      <c r="K264" s="3690"/>
      <c r="L264" s="3691"/>
      <c r="M264" s="3689"/>
      <c r="N264" s="3689"/>
      <c r="O264" s="3689"/>
      <c r="P264" s="3689"/>
      <c r="Q264" s="3689"/>
      <c r="R264" s="3689"/>
      <c r="S264" s="3689"/>
      <c r="T264" s="3689"/>
      <c r="U264" s="3689"/>
      <c r="V264" s="3689"/>
      <c r="W264" s="3689"/>
      <c r="X264" s="3689"/>
      <c r="Y264" s="3689"/>
      <c r="Z264" s="3689"/>
      <c r="AA264" s="3689"/>
      <c r="AB264" s="3689"/>
      <c r="AC264" s="3689"/>
    </row>
    <row r="265" spans="1:29">
      <c r="A265" s="3689"/>
      <c r="B265" s="3689"/>
      <c r="C265" s="3689"/>
      <c r="D265" s="3689"/>
      <c r="E265" s="3689"/>
      <c r="F265" s="3689"/>
      <c r="G265" s="3689"/>
      <c r="H265" s="3689"/>
      <c r="I265" s="3689"/>
      <c r="J265" s="3689"/>
      <c r="K265" s="3690"/>
      <c r="L265" s="3691"/>
      <c r="M265" s="3689"/>
      <c r="N265" s="3689"/>
      <c r="O265" s="3689"/>
      <c r="P265" s="3689"/>
      <c r="Q265" s="3689"/>
      <c r="R265" s="3689"/>
      <c r="S265" s="3689"/>
      <c r="T265" s="3689"/>
      <c r="U265" s="3689"/>
      <c r="V265" s="3689"/>
      <c r="W265" s="3689"/>
      <c r="X265" s="3689"/>
      <c r="Y265" s="3689"/>
      <c r="Z265" s="3689"/>
      <c r="AA265" s="3689"/>
      <c r="AB265" s="3689"/>
      <c r="AC265" s="3689"/>
    </row>
    <row r="266" spans="1:29">
      <c r="A266" s="3689"/>
      <c r="B266" s="3689"/>
      <c r="C266" s="3689"/>
      <c r="D266" s="3689"/>
      <c r="E266" s="3689"/>
      <c r="F266" s="3689"/>
      <c r="G266" s="3689"/>
      <c r="H266" s="3689"/>
      <c r="I266" s="3689"/>
      <c r="J266" s="3689"/>
      <c r="K266" s="3690"/>
      <c r="L266" s="3691"/>
      <c r="M266" s="3689"/>
      <c r="N266" s="3689"/>
      <c r="O266" s="3689"/>
      <c r="P266" s="3689"/>
      <c r="Q266" s="3689"/>
      <c r="R266" s="3689"/>
      <c r="S266" s="3689"/>
      <c r="T266" s="3689"/>
      <c r="U266" s="3689"/>
      <c r="V266" s="3689"/>
      <c r="W266" s="3689"/>
      <c r="X266" s="3689"/>
      <c r="Y266" s="3689"/>
      <c r="Z266" s="3689"/>
      <c r="AA266" s="3689"/>
      <c r="AB266" s="3689"/>
      <c r="AC266" s="3689"/>
    </row>
    <row r="267" spans="1:29">
      <c r="A267" s="3689"/>
      <c r="B267" s="3689"/>
      <c r="C267" s="3689"/>
      <c r="D267" s="3689"/>
      <c r="E267" s="3689"/>
      <c r="F267" s="3689"/>
      <c r="G267" s="3689"/>
      <c r="H267" s="3689"/>
      <c r="I267" s="3689"/>
      <c r="J267" s="3689"/>
      <c r="K267" s="3690"/>
      <c r="L267" s="3691"/>
      <c r="M267" s="3689"/>
      <c r="N267" s="3689"/>
      <c r="O267" s="3689"/>
      <c r="P267" s="3689"/>
      <c r="Q267" s="3689"/>
      <c r="R267" s="3689"/>
      <c r="S267" s="3689"/>
      <c r="T267" s="3689"/>
      <c r="U267" s="3689"/>
      <c r="V267" s="3689"/>
      <c r="W267" s="3689"/>
      <c r="X267" s="3689"/>
      <c r="Y267" s="3689"/>
      <c r="Z267" s="3689"/>
      <c r="AA267" s="3689"/>
      <c r="AB267" s="3689"/>
      <c r="AC267" s="3689"/>
    </row>
    <row r="268" spans="1:29">
      <c r="A268" s="3689"/>
      <c r="B268" s="3689"/>
      <c r="C268" s="3689"/>
      <c r="D268" s="3689"/>
      <c r="E268" s="3689"/>
      <c r="F268" s="3689"/>
      <c r="G268" s="3689"/>
      <c r="H268" s="3689"/>
      <c r="I268" s="3689"/>
      <c r="J268" s="3689"/>
      <c r="K268" s="3690"/>
      <c r="L268" s="3691"/>
      <c r="M268" s="3689"/>
      <c r="N268" s="3689"/>
      <c r="O268" s="3689"/>
      <c r="P268" s="3689"/>
      <c r="Q268" s="3689"/>
      <c r="R268" s="3689"/>
      <c r="S268" s="3689"/>
      <c r="T268" s="3689"/>
      <c r="U268" s="3689"/>
      <c r="V268" s="3689"/>
      <c r="W268" s="3689"/>
      <c r="X268" s="3689"/>
      <c r="Y268" s="3689"/>
      <c r="Z268" s="3689"/>
      <c r="AA268" s="3689"/>
      <c r="AB268" s="3689"/>
      <c r="AC268" s="3689"/>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20" priority="14" stopIfTrue="1" operator="containsText" text="超过">
      <formula>NOT(ISERROR(SEARCH("超过",F52)))</formula>
    </cfRule>
  </conditionalFormatting>
  <conditionalFormatting sqref="J54">
    <cfRule type="containsText" dxfId="19" priority="13" stopIfTrue="1" operator="containsText" text="超过">
      <formula>NOT(ISERROR(SEARCH("超过",J54)))</formula>
    </cfRule>
  </conditionalFormatting>
  <conditionalFormatting sqref="H54">
    <cfRule type="containsText" dxfId="18" priority="12" stopIfTrue="1" operator="containsText" text="超过">
      <formula>NOT(ISERROR(SEARCH("超过",H54)))</formula>
    </cfRule>
  </conditionalFormatting>
  <conditionalFormatting sqref="F54">
    <cfRule type="containsText" dxfId="17" priority="11" stopIfTrue="1" operator="containsText" text="超过">
      <formula>NOT(ISERROR(SEARCH("超过",F54)))</formula>
    </cfRule>
  </conditionalFormatting>
  <conditionalFormatting sqref="F53 H53 J53">
    <cfRule type="containsText" dxfId="16" priority="10" stopIfTrue="1" operator="containsText" text="超过">
      <formula>NOT(ISERROR(SEARCH("超过",F53)))</formula>
    </cfRule>
  </conditionalFormatting>
  <conditionalFormatting sqref="E52">
    <cfRule type="expression" dxfId="15" priority="9" stopIfTrue="1">
      <formula>$F$52="超过30%"</formula>
    </cfRule>
  </conditionalFormatting>
  <conditionalFormatting sqref="G54">
    <cfRule type="expression" dxfId="14" priority="8" stopIfTrue="1">
      <formula>$H$54="超过30%"</formula>
    </cfRule>
  </conditionalFormatting>
  <conditionalFormatting sqref="E53">
    <cfRule type="expression" dxfId="13" priority="7" stopIfTrue="1">
      <formula>$F$53="超过20%"</formula>
    </cfRule>
  </conditionalFormatting>
  <conditionalFormatting sqref="E54">
    <cfRule type="expression" dxfId="12" priority="6" stopIfTrue="1">
      <formula>$F$54="超过30%"</formula>
    </cfRule>
  </conditionalFormatting>
  <conditionalFormatting sqref="G52">
    <cfRule type="expression" dxfId="11" priority="5" stopIfTrue="1">
      <formula>$H$52="超过30%"</formula>
    </cfRule>
  </conditionalFormatting>
  <conditionalFormatting sqref="G53">
    <cfRule type="expression" dxfId="10" priority="4" stopIfTrue="1">
      <formula>$H$53="超过20%"</formula>
    </cfRule>
  </conditionalFormatting>
  <conditionalFormatting sqref="I52">
    <cfRule type="expression" dxfId="9" priority="3" stopIfTrue="1">
      <formula>$J$52="超过30%"</formula>
    </cfRule>
  </conditionalFormatting>
  <conditionalFormatting sqref="I53">
    <cfRule type="expression" dxfId="8" priority="2" stopIfTrue="1">
      <formula>$J$53="超过20%"</formula>
    </cfRule>
  </conditionalFormatting>
  <conditionalFormatting sqref="I54">
    <cfRule type="expression" dxfId="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4" sqref="A4:F4"/>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1" t="s">
        <v>1725</v>
      </c>
      <c r="B1" s="737"/>
      <c r="C1" s="772" t="s">
        <v>2998</v>
      </c>
      <c r="D1" s="3073" t="s">
        <v>3011</v>
      </c>
      <c r="E1" s="2350" t="s">
        <v>870</v>
      </c>
      <c r="F1" s="2351">
        <f ca="1">J53</f>
        <v>32.56</v>
      </c>
      <c r="G1" s="773">
        <f>MATCH(C1,'数据-取费表'!A6:A16,0)+5</f>
        <v>8</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2" t="s">
        <v>467</v>
      </c>
      <c r="B2" s="774">
        <f ca="1">C40+J29+L46</f>
        <v>5043</v>
      </c>
      <c r="C2" s="2041"/>
      <c r="D2" s="2039"/>
      <c r="E2" s="2040"/>
      <c r="F2" s="2040"/>
      <c r="G2" s="1575"/>
      <c r="H2" s="2041"/>
      <c r="I2" s="2041"/>
      <c r="J2" s="2041"/>
      <c r="K2" s="2042"/>
      <c r="L2" s="2041"/>
      <c r="M2" s="2041"/>
    </row>
    <row r="3" spans="1:33" ht="18" customHeight="1" thickBot="1">
      <c r="A3" s="832" t="s">
        <v>519</v>
      </c>
      <c r="B3" s="833">
        <f ca="1">IF(ISERROR(B2*10000/F43),0,ROUND(B2*10000/F43,0))</f>
        <v>1763</v>
      </c>
      <c r="C3" s="2041"/>
      <c r="D3" s="2039"/>
      <c r="E3" s="2040"/>
      <c r="F3" s="2040"/>
      <c r="G3" s="1575"/>
      <c r="H3" s="775" t="s">
        <v>695</v>
      </c>
      <c r="I3" s="1358"/>
      <c r="J3" s="1358"/>
      <c r="K3" s="1576"/>
      <c r="L3" s="1358"/>
      <c r="M3" s="1358"/>
    </row>
    <row r="4" spans="1:33" ht="18" customHeight="1">
      <c r="A4" s="776" t="s">
        <v>630</v>
      </c>
      <c r="B4" s="777" t="s">
        <v>631</v>
      </c>
      <c r="C4" s="777" t="s">
        <v>632</v>
      </c>
      <c r="D4" s="777" t="s">
        <v>633</v>
      </c>
      <c r="E4" s="778" t="s">
        <v>634</v>
      </c>
      <c r="F4" s="779"/>
      <c r="G4" s="1577"/>
      <c r="H4" s="776" t="s">
        <v>630</v>
      </c>
      <c r="I4" s="777" t="s">
        <v>631</v>
      </c>
      <c r="J4" s="777" t="s">
        <v>632</v>
      </c>
      <c r="K4" s="777" t="s">
        <v>633</v>
      </c>
      <c r="L4" s="778" t="s">
        <v>634</v>
      </c>
      <c r="M4" s="779"/>
    </row>
    <row r="5" spans="1:33" ht="18" customHeight="1">
      <c r="A5" s="780">
        <v>1</v>
      </c>
      <c r="B5" s="781" t="s">
        <v>2457</v>
      </c>
      <c r="C5" s="55">
        <f ca="1">C6+C10+C12</f>
        <v>507</v>
      </c>
      <c r="D5" s="2459" t="s">
        <v>2460</v>
      </c>
      <c r="E5" s="2453"/>
      <c r="F5" s="2454"/>
      <c r="G5" s="1577"/>
      <c r="H5" s="780">
        <v>1</v>
      </c>
      <c r="I5" s="781" t="s">
        <v>2457</v>
      </c>
      <c r="J5" s="55">
        <f ca="1">J6+J10+J12</f>
        <v>0</v>
      </c>
      <c r="K5" s="2459" t="s">
        <v>2460</v>
      </c>
      <c r="L5" s="2453"/>
      <c r="M5" s="2454"/>
    </row>
    <row r="6" spans="1:33" ht="18" customHeight="1">
      <c r="A6" s="1814" t="s">
        <v>1824</v>
      </c>
      <c r="B6" s="4091" t="s">
        <v>2462</v>
      </c>
      <c r="C6" s="782">
        <f ca="1">ROUND(F6*F8*F7*(1-F9)/10000,0)</f>
        <v>506</v>
      </c>
      <c r="D6" s="2460" t="s">
        <v>2461</v>
      </c>
      <c r="E6" s="783" t="s">
        <v>637</v>
      </c>
      <c r="F6" s="784">
        <f ca="1">INDIRECT("'数据-取费表'!u"&amp;$G$1)</f>
        <v>0.5</v>
      </c>
      <c r="G6" s="1577"/>
      <c r="H6" s="2467" t="s">
        <v>1824</v>
      </c>
      <c r="I6" s="4091" t="s">
        <v>2462</v>
      </c>
      <c r="J6" s="782">
        <f ca="1">ROUND(M6*M8*M7*(1-M9)/10000,0)</f>
        <v>0</v>
      </c>
      <c r="K6" s="340" t="s">
        <v>636</v>
      </c>
      <c r="L6" s="783" t="s">
        <v>637</v>
      </c>
      <c r="M6" s="784">
        <f ca="1">INDIRECT("'数据-取费表'!z"&amp;$G$1)</f>
        <v>0</v>
      </c>
    </row>
    <row r="7" spans="1:33" ht="18" customHeight="1">
      <c r="A7" s="2463"/>
      <c r="B7" s="4092"/>
      <c r="C7" s="787"/>
      <c r="D7" s="788"/>
      <c r="E7" s="783" t="s">
        <v>638</v>
      </c>
      <c r="F7" s="784">
        <f ca="1">IF(INDIRECT("'数据-取费表'!ah"&amp;$G$1)="",INDIRECT("'数据-取费表'!k"&amp;$G$1),INDIRECT("'数据-取费表'!ah"&amp;$G$1))</f>
        <v>28598.17</v>
      </c>
      <c r="G7" s="1577"/>
      <c r="H7" s="2452"/>
      <c r="I7" s="4092"/>
      <c r="J7" s="787"/>
      <c r="K7" s="788"/>
      <c r="L7" s="783" t="s">
        <v>638</v>
      </c>
      <c r="M7" s="784">
        <f ca="1">F7</f>
        <v>28598.17</v>
      </c>
    </row>
    <row r="8" spans="1:33" ht="18" customHeight="1">
      <c r="A8" s="2456"/>
      <c r="B8" s="4093"/>
      <c r="C8" s="787"/>
      <c r="D8" s="788"/>
      <c r="E8" s="783" t="s">
        <v>639</v>
      </c>
      <c r="F8" s="784">
        <f ca="1">INDIRECT("'数据-取费表'!ai"&amp;$G$1)</f>
        <v>365</v>
      </c>
      <c r="G8" s="1577"/>
      <c r="H8" s="2452"/>
      <c r="I8" s="4093"/>
      <c r="J8" s="787"/>
      <c r="K8" s="788"/>
      <c r="L8" s="783" t="s">
        <v>639</v>
      </c>
      <c r="M8" s="784">
        <f ca="1">INDIRECT("'数据-取费表'!ai"&amp;$G$1)</f>
        <v>365</v>
      </c>
    </row>
    <row r="9" spans="1:33" ht="18" customHeight="1">
      <c r="A9" s="785"/>
      <c r="B9" s="4094"/>
      <c r="C9" s="787"/>
      <c r="D9" s="788"/>
      <c r="E9" s="783" t="s">
        <v>640</v>
      </c>
      <c r="F9" s="793">
        <f ca="1">INDIRECT("'数据-取费表'!w"&amp;$G$1)</f>
        <v>0.03</v>
      </c>
      <c r="G9" s="1577"/>
      <c r="H9" s="2468"/>
      <c r="I9" s="4093"/>
      <c r="J9" s="787"/>
      <c r="K9" s="788"/>
      <c r="L9" s="794" t="s">
        <v>640</v>
      </c>
      <c r="M9" s="795">
        <f ca="1">INDIRECT("'数据-取费表'!ab"&amp;$G$1)</f>
        <v>0</v>
      </c>
    </row>
    <row r="10" spans="1:33" ht="18" customHeight="1">
      <c r="A10" s="1814" t="s">
        <v>1825</v>
      </c>
      <c r="B10" s="2457" t="s">
        <v>2458</v>
      </c>
      <c r="C10" s="798">
        <f ca="1">ROUND(IF(F10="押一",C6/12*F11,IF(F10="押二",C6/12*2*F11,IF(F10="押三",C6/12*3*F11,C11*F11))),0)</f>
        <v>1</v>
      </c>
      <c r="D10" s="2464" t="s">
        <v>2970</v>
      </c>
      <c r="E10" s="2461" t="s">
        <v>2463</v>
      </c>
      <c r="F10" s="2584" t="s">
        <v>3010</v>
      </c>
      <c r="G10" s="1577"/>
      <c r="H10" s="2524" t="s">
        <v>1825</v>
      </c>
      <c r="I10" s="2529" t="s">
        <v>2458</v>
      </c>
      <c r="J10" s="782">
        <f ca="1">ROUND(IF(M10="押一",J6/12*M11,IF(M10="押二",J6/12*2*M11,IF(M10="押三",J6/12*3*M11,J11*M11))),0)</f>
        <v>0</v>
      </c>
      <c r="K10" s="2464" t="s">
        <v>2970</v>
      </c>
      <c r="L10" s="2461" t="s">
        <v>2463</v>
      </c>
      <c r="M10" s="2584"/>
    </row>
    <row r="11" spans="1:33" ht="18" customHeight="1">
      <c r="A11" s="789"/>
      <c r="B11" s="2458" t="s">
        <v>2572</v>
      </c>
      <c r="C11" s="2462"/>
      <c r="D11" s="788"/>
      <c r="E11" s="2461" t="s">
        <v>2455</v>
      </c>
      <c r="F11" s="795">
        <f ca="1">'数据-取费表'!B39</f>
        <v>1.4999999999999999E-2</v>
      </c>
      <c r="G11" s="1577"/>
      <c r="H11" s="2525"/>
      <c r="I11" s="2458" t="s">
        <v>2572</v>
      </c>
      <c r="J11" s="2462"/>
      <c r="K11" s="2526"/>
      <c r="L11" s="2461" t="s">
        <v>2455</v>
      </c>
      <c r="M11" s="2455">
        <f ca="1">'数据-取费表'!B39</f>
        <v>1.4999999999999999E-2</v>
      </c>
    </row>
    <row r="12" spans="1:33" ht="18" customHeight="1" thickBot="1">
      <c r="A12" s="2500" t="s">
        <v>2466</v>
      </c>
      <c r="B12" s="2501" t="s">
        <v>2459</v>
      </c>
      <c r="C12" s="2502"/>
      <c r="D12" s="2503"/>
      <c r="E12" s="2504"/>
      <c r="F12" s="2505"/>
      <c r="G12" s="1577"/>
      <c r="H12" s="2514" t="s">
        <v>2466</v>
      </c>
      <c r="I12" s="2527" t="s">
        <v>2459</v>
      </c>
      <c r="J12" s="2528"/>
      <c r="K12" s="2503"/>
      <c r="L12" s="2504"/>
      <c r="M12" s="2517"/>
    </row>
    <row r="13" spans="1:33" ht="18" customHeight="1" thickTop="1">
      <c r="A13" s="1813">
        <v>2</v>
      </c>
      <c r="B13" s="1811" t="s">
        <v>644</v>
      </c>
      <c r="C13" s="791">
        <f ca="1">ROUND(C29*F13,0)</f>
        <v>6837</v>
      </c>
      <c r="D13" s="1818" t="s">
        <v>2297</v>
      </c>
      <c r="E13" s="1818" t="s">
        <v>643</v>
      </c>
      <c r="F13" s="2499">
        <f ca="1">INDIRECT("'数据-取费表'!y"&amp;$G$1)</f>
        <v>1</v>
      </c>
      <c r="G13" s="1577"/>
      <c r="H13" s="1813">
        <v>2</v>
      </c>
      <c r="I13" s="1811" t="s">
        <v>644</v>
      </c>
      <c r="J13" s="1803">
        <f ca="1">ROUND(J14*J15,0)</f>
        <v>0</v>
      </c>
      <c r="K13" s="1805" t="s">
        <v>642</v>
      </c>
      <c r="L13" s="2515"/>
      <c r="M13" s="2516"/>
    </row>
    <row r="14" spans="1:33" ht="18" customHeight="1">
      <c r="A14" s="1632" t="s">
        <v>1831</v>
      </c>
      <c r="B14" s="783" t="s">
        <v>645</v>
      </c>
      <c r="C14" s="803">
        <f ca="1">INDIRECT("'数据-取费表'!m"&amp;$G$1)+INDIRECT("'数据-取费表'!t"&amp;$G$1)</f>
        <v>5238</v>
      </c>
      <c r="D14" s="3178" t="s">
        <v>646</v>
      </c>
      <c r="E14" s="3177"/>
      <c r="F14" s="804"/>
      <c r="G14" s="1577"/>
      <c r="H14" s="1633" t="s">
        <v>1824</v>
      </c>
      <c r="I14" s="2215" t="s">
        <v>2824</v>
      </c>
      <c r="J14" s="53">
        <f ca="1">C29</f>
        <v>6837</v>
      </c>
      <c r="K14" s="26"/>
      <c r="L14" s="800"/>
      <c r="M14" s="801"/>
    </row>
    <row r="15" spans="1:33" s="2048" customFormat="1" ht="18" customHeight="1" thickBot="1">
      <c r="A15" s="1632" t="s">
        <v>1832</v>
      </c>
      <c r="B15" s="783" t="s">
        <v>647</v>
      </c>
      <c r="C15" s="53">
        <f ca="1">ROUND(C14*F15,0)</f>
        <v>157</v>
      </c>
      <c r="D15" s="805" t="s">
        <v>648</v>
      </c>
      <c r="E15" s="805" t="s">
        <v>649</v>
      </c>
      <c r="F15" s="806">
        <f>'数据-取费表'!B33</f>
        <v>0.03</v>
      </c>
      <c r="G15" s="1578"/>
      <c r="H15" s="2514" t="s">
        <v>1889</v>
      </c>
      <c r="I15" s="2509" t="s">
        <v>643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1833</v>
      </c>
      <c r="B16" s="783" t="s">
        <v>650</v>
      </c>
      <c r="C16" s="53">
        <f ca="1">ROUND(INDIRECT("'数据-取费表'!m"&amp;$G$1)*F16,0)</f>
        <v>0</v>
      </c>
      <c r="D16" s="783" t="s">
        <v>648</v>
      </c>
      <c r="E16" s="783" t="s">
        <v>649</v>
      </c>
      <c r="F16" s="808">
        <f ca="1">IF(INDIRECT("'数据-取费表'!c"&amp;$G$1)="住宅",'数据-取费表'!B34,0)</f>
        <v>0</v>
      </c>
      <c r="G16" s="1577"/>
      <c r="H16" s="1813" t="s">
        <v>1748</v>
      </c>
      <c r="I16" s="1811" t="s">
        <v>651</v>
      </c>
      <c r="J16" s="791">
        <f ca="1">ROUND(J17+J22+J23+J24,0)</f>
        <v>678</v>
      </c>
      <c r="K16" s="1805" t="s">
        <v>652</v>
      </c>
      <c r="L16" s="3180"/>
      <c r="M16" s="2454"/>
    </row>
    <row r="17" spans="1:33" s="2048" customFormat="1" ht="18" customHeight="1">
      <c r="A17" s="1632" t="s">
        <v>1887</v>
      </c>
      <c r="B17" s="783" t="s">
        <v>653</v>
      </c>
      <c r="C17" s="53">
        <f ca="1">ROUND(F17*(F43+INDIRECT("'数据-取费表'!S"&amp;$G$1))/10000,0)</f>
        <v>349</v>
      </c>
      <c r="D17" s="783" t="s">
        <v>654</v>
      </c>
      <c r="E17" s="783" t="s">
        <v>655</v>
      </c>
      <c r="F17" s="56">
        <f>'数据-取费表'!B35</f>
        <v>120</v>
      </c>
      <c r="G17" s="1578"/>
      <c r="H17" s="1633" t="s">
        <v>1824</v>
      </c>
      <c r="I17" s="783" t="s">
        <v>656</v>
      </c>
      <c r="J17" s="53">
        <f ca="1">ROUND(IF(项目基本情况!B11="自然人",J5*M17,J18+J19+J20),0)</f>
        <v>575</v>
      </c>
      <c r="K17" s="3178" t="s">
        <v>657</v>
      </c>
      <c r="L17" s="3179" t="s">
        <v>658</v>
      </c>
      <c r="M17" s="809"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1888</v>
      </c>
      <c r="B18" s="783" t="s">
        <v>659</v>
      </c>
      <c r="C18" s="53">
        <f ca="1">ROUND(C14*F18,0)</f>
        <v>79</v>
      </c>
      <c r="D18" s="783" t="s">
        <v>648</v>
      </c>
      <c r="E18" s="783" t="s">
        <v>649</v>
      </c>
      <c r="F18" s="808">
        <f>'数据-取费表'!B36</f>
        <v>1.4999999999999999E-2</v>
      </c>
      <c r="G18" s="1578"/>
      <c r="H18" s="1632" t="s">
        <v>1831</v>
      </c>
      <c r="I18" s="783" t="s">
        <v>660</v>
      </c>
      <c r="J18" s="53">
        <f ca="1">ROUND(J5*M18/1.05,1)</f>
        <v>0</v>
      </c>
      <c r="K18" s="3179" t="s">
        <v>661</v>
      </c>
      <c r="L18" s="783" t="s">
        <v>649</v>
      </c>
      <c r="M18" s="808">
        <f>'数据-取费表'!B41</f>
        <v>5.5000000000000007E-2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1824</v>
      </c>
      <c r="B19" s="783" t="s">
        <v>662</v>
      </c>
      <c r="C19" s="53">
        <f ca="1">SUM(C14:C18)</f>
        <v>5823</v>
      </c>
      <c r="D19" s="260" t="s">
        <v>663</v>
      </c>
      <c r="E19" s="3181"/>
      <c r="F19" s="56"/>
      <c r="G19" s="1577"/>
      <c r="H19" s="1632" t="s">
        <v>1832</v>
      </c>
      <c r="I19" s="783" t="s">
        <v>664</v>
      </c>
      <c r="J19" s="53">
        <f ca="1">IF(K19="按租金收入计税",ROUND(J5*M19,1),ROUND(C29*F33*0.7,1))</f>
        <v>574.29999999999995</v>
      </c>
      <c r="K19" s="810" t="s">
        <v>665</v>
      </c>
      <c r="L19" s="783" t="s">
        <v>649</v>
      </c>
      <c r="M19" s="808">
        <f>IF(K19="按租金收入计税",'数据-取费表'!B51,'数据-取费表'!B50)</f>
        <v>1.2E-2</v>
      </c>
    </row>
    <row r="20" spans="1:33" s="2048" customFormat="1" ht="18" customHeight="1">
      <c r="A20" s="1633" t="s">
        <v>1889</v>
      </c>
      <c r="B20" s="783" t="s">
        <v>666</v>
      </c>
      <c r="C20" s="53">
        <f ca="1">ROUND(C19*F20,0)</f>
        <v>87</v>
      </c>
      <c r="D20" s="811" t="s">
        <v>667</v>
      </c>
      <c r="E20" s="783" t="s">
        <v>649</v>
      </c>
      <c r="F20" s="808">
        <f>'数据-取费表'!B37</f>
        <v>1.4999999999999999E-2</v>
      </c>
      <c r="G20" s="1578"/>
      <c r="H20" s="1635" t="s">
        <v>1833</v>
      </c>
      <c r="I20" s="340" t="s">
        <v>668</v>
      </c>
      <c r="J20" s="54">
        <f ca="1">ROUND(M20*M21/10000,0)</f>
        <v>1</v>
      </c>
      <c r="K20" s="813" t="s">
        <v>669</v>
      </c>
      <c r="L20" s="783" t="s">
        <v>670</v>
      </c>
      <c r="M20" s="639">
        <f>'数据-取费表'!B52</f>
        <v>3</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1890</v>
      </c>
      <c r="B21" s="783" t="s">
        <v>671</v>
      </c>
      <c r="C21" s="53" t="s">
        <v>1764</v>
      </c>
      <c r="D21" s="811" t="s">
        <v>2298</v>
      </c>
      <c r="E21" s="783" t="s">
        <v>673</v>
      </c>
      <c r="F21" s="808">
        <f>'数据-取费表'!B38</f>
        <v>1.4999999999999999E-2</v>
      </c>
      <c r="G21" s="1578"/>
      <c r="H21" s="2469"/>
      <c r="I21" s="792"/>
      <c r="J21" s="69"/>
      <c r="K21" s="815"/>
      <c r="L21" s="783" t="s">
        <v>674</v>
      </c>
      <c r="M21" s="784">
        <f ca="1">INDIRECT("'数据-取费表'!r"&amp;$G$1)</f>
        <v>4842.59</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1891</v>
      </c>
      <c r="B22" s="783" t="s">
        <v>675</v>
      </c>
      <c r="C22" s="53"/>
      <c r="D22" s="2535" t="str">
        <f>IF(F23&lt;=1,"单利计息。","复利计息。")&amp;"建造成本、管理费用、销售费用产生的利息。"</f>
        <v>复利计息。建造成本、管理费用、销售费用产生的利息。</v>
      </c>
      <c r="E22" s="3181"/>
      <c r="F22" s="56"/>
      <c r="G22" s="1577"/>
      <c r="H22" s="1633" t="s">
        <v>1889</v>
      </c>
      <c r="I22" s="783" t="s">
        <v>676</v>
      </c>
      <c r="J22" s="53">
        <f ca="1">ROUND(J14*M22,0)</f>
        <v>103</v>
      </c>
      <c r="K22" s="3179" t="s">
        <v>677</v>
      </c>
      <c r="L22" s="783" t="s">
        <v>649</v>
      </c>
      <c r="M22" s="816">
        <f ca="1">INDIRECT("'数据-取费表'!Ak"&amp;$G$1)</f>
        <v>1.4999999999999999E-2</v>
      </c>
    </row>
    <row r="23" spans="1:33" s="2048" customFormat="1" ht="18" customHeight="1">
      <c r="A23" s="1632" t="s">
        <v>1831</v>
      </c>
      <c r="B23" s="783" t="s">
        <v>2437</v>
      </c>
      <c r="C23" s="53">
        <f ca="1">ROUND(IF('数据-取费表'!B22&lt;=1,(C19+C20)*F24*F23/2,(C19+C20)*(POWER((1+F24),F23/2)-1)),0)</f>
        <v>281</v>
      </c>
      <c r="D23" s="2534" t="str">
        <f>IF(F23&lt;=1,"(建造成本+管理费用)×利率×(建设周期÷2)","(建造成本+管理费用)×((1+利率)^(建设周期÷2)-1)")</f>
        <v>(建造成本+管理费用)×((1+利率)^(建设周期÷2)-1)</v>
      </c>
      <c r="E23" s="783" t="s">
        <v>678</v>
      </c>
      <c r="F23" s="639">
        <f>'数据-取费表'!B20</f>
        <v>2</v>
      </c>
      <c r="G23" s="1578"/>
      <c r="H23" s="1633" t="s">
        <v>1890</v>
      </c>
      <c r="I23" s="783" t="s">
        <v>679</v>
      </c>
      <c r="J23" s="53">
        <f ca="1">ROUND(J13*M23,0)</f>
        <v>0</v>
      </c>
      <c r="K23" s="3179" t="s">
        <v>680</v>
      </c>
      <c r="L23" s="783" t="s">
        <v>649</v>
      </c>
      <c r="M23" s="817">
        <f ca="1">INDIRECT("'数据-取费表'!Al"&amp;$G$1)</f>
        <v>1.5E-3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1832</v>
      </c>
      <c r="B24" s="783" t="s">
        <v>681</v>
      </c>
      <c r="C24" s="53">
        <f ca="1">ROUND(IF('数据-取费表'!B22&lt;=1,F21*F24*F23/2,F21*(POWER((1+F24),F23/2)-1)),4)</f>
        <v>6.9999999999999999E-4</v>
      </c>
      <c r="D24" s="2534" t="str">
        <f>IF(F23&lt;=1,"销售费用×利率×(建设周期÷2)","销售费用×((1+利率)^(建设周期÷2)-1)")</f>
        <v>销售费用×((1+利率)^(建设周期÷2)-1)</v>
      </c>
      <c r="E24" s="783" t="s">
        <v>682</v>
      </c>
      <c r="F24" s="818">
        <f ca="1">'数据-取费表'!B40</f>
        <v>4.7500000000000001E-2</v>
      </c>
      <c r="G24" s="1578"/>
      <c r="H24" s="2514" t="s">
        <v>1891</v>
      </c>
      <c r="I24" s="2509" t="s">
        <v>666</v>
      </c>
      <c r="J24" s="2507">
        <f ca="1">ROUND(J5*M24,0)</f>
        <v>0</v>
      </c>
      <c r="K24" s="2508" t="s">
        <v>683</v>
      </c>
      <c r="L24" s="2509" t="s">
        <v>649</v>
      </c>
      <c r="M24" s="2505">
        <f ca="1">INDIRECT("'数据-取费表'!Am"&amp;$G$1)</f>
        <v>1.4999999999999999E-2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1840</v>
      </c>
      <c r="B25" s="783" t="s">
        <v>684</v>
      </c>
      <c r="C25" s="53"/>
      <c r="D25" s="260" t="s">
        <v>685</v>
      </c>
      <c r="E25" s="3181"/>
      <c r="F25" s="56"/>
      <c r="G25" s="1577"/>
      <c r="H25" s="1813" t="s">
        <v>1776</v>
      </c>
      <c r="I25" s="2960" t="s">
        <v>2821</v>
      </c>
      <c r="J25" s="791">
        <f ca="1">J5-J16</f>
        <v>-678</v>
      </c>
      <c r="K25" s="2511" t="s">
        <v>700</v>
      </c>
      <c r="L25" s="2512"/>
      <c r="M25" s="2513"/>
    </row>
    <row r="26" spans="1:33" ht="18" customHeight="1">
      <c r="A26" s="1632" t="s">
        <v>1831</v>
      </c>
      <c r="B26" s="783" t="s">
        <v>2438</v>
      </c>
      <c r="C26" s="53">
        <f ca="1">ROUND((C19+C20)*F26,0)</f>
        <v>177</v>
      </c>
      <c r="D26" s="811" t="s">
        <v>701</v>
      </c>
      <c r="E26" s="794" t="s">
        <v>702</v>
      </c>
      <c r="F26" s="793">
        <f ca="1">INDIRECT("'数据-取费表'!q"&amp;$G$1)</f>
        <v>0.03</v>
      </c>
      <c r="G26" s="1577"/>
      <c r="H26" s="2465" t="s">
        <v>1780</v>
      </c>
      <c r="I26" s="2216" t="s">
        <v>2826</v>
      </c>
      <c r="J26" s="782">
        <f ca="1">IF(J5&lt;&gt;0,ROUND(J25*(1-((1+M28)/(1+M26))^M27)/(M26-M28),0),0)</f>
        <v>0</v>
      </c>
      <c r="K26" s="813" t="s">
        <v>704</v>
      </c>
      <c r="L26" s="783" t="s">
        <v>2419</v>
      </c>
      <c r="M26" s="793">
        <f ca="1">INDIRECT("'数据-取费表'!I"&amp;$G$1)</f>
        <v>4.4999999999999998E-2</v>
      </c>
    </row>
    <row r="27" spans="1:33" ht="18" customHeight="1">
      <c r="A27" s="1632" t="s">
        <v>1832</v>
      </c>
      <c r="B27" s="783" t="s">
        <v>686</v>
      </c>
      <c r="C27" s="53">
        <f ca="1">ROUND(F21*F26,4)</f>
        <v>5.0000000000000001E-4</v>
      </c>
      <c r="D27" s="811" t="s">
        <v>706</v>
      </c>
      <c r="E27" s="805"/>
      <c r="F27" s="806"/>
      <c r="G27" s="1577"/>
      <c r="H27" s="2466"/>
      <c r="I27" s="786"/>
      <c r="J27" s="787"/>
      <c r="K27" s="820" t="s">
        <v>707</v>
      </c>
      <c r="L27" s="783" t="s">
        <v>708</v>
      </c>
      <c r="M27" s="821">
        <f ca="1">INDIRECT("'数据-取费表'!ag"&amp;$G$1)</f>
        <v>0</v>
      </c>
    </row>
    <row r="28" spans="1:33" s="2048" customFormat="1" ht="18" customHeight="1">
      <c r="A28" s="1634" t="s">
        <v>1841</v>
      </c>
      <c r="B28" s="783" t="s">
        <v>687</v>
      </c>
      <c r="C28" s="53">
        <f>ROUND(F28/(1+'数据-取费表'!C42),4)</f>
        <v>5.2400000000000002E-2</v>
      </c>
      <c r="D28" s="811" t="s">
        <v>2299</v>
      </c>
      <c r="E28" s="783" t="s">
        <v>649</v>
      </c>
      <c r="F28" s="808">
        <f>'数据-取费表'!B41</f>
        <v>5.5000000000000007E-2</v>
      </c>
      <c r="G28" s="1578"/>
      <c r="H28" s="1813"/>
      <c r="I28" s="790"/>
      <c r="J28" s="791"/>
      <c r="K28" s="815"/>
      <c r="L28" s="783" t="s">
        <v>710</v>
      </c>
      <c r="M28" s="793">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1892</v>
      </c>
      <c r="B29" s="2504" t="s">
        <v>2300</v>
      </c>
      <c r="C29" s="2507">
        <f ca="1">ROUND((C19+C20+C23+C26)/(1-F21-C24-C27-C28),0)</f>
        <v>6837</v>
      </c>
      <c r="D29" s="2508"/>
      <c r="E29" s="2509"/>
      <c r="F29" s="2510"/>
      <c r="G29" s="1578"/>
      <c r="H29" s="822" t="s">
        <v>1787</v>
      </c>
      <c r="I29" s="823" t="s">
        <v>1788</v>
      </c>
      <c r="J29" s="824">
        <f ca="1">ROUND(J26/(1+F40)^F41,0)</f>
        <v>0</v>
      </c>
      <c r="K29" s="825" t="s">
        <v>688</v>
      </c>
      <c r="L29" s="826"/>
      <c r="M29" s="827">
        <f ca="1">INDIRECT("'数据-取费表'!k"&amp;$G$1)</f>
        <v>28598.17</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1748</v>
      </c>
      <c r="B30" s="1811" t="s">
        <v>651</v>
      </c>
      <c r="C30" s="791">
        <f ca="1">ROUND(C31+C36+C37+C38,0)</f>
        <v>209</v>
      </c>
      <c r="D30" s="1805" t="s">
        <v>652</v>
      </c>
      <c r="E30" s="3180"/>
      <c r="F30" s="2454"/>
      <c r="G30" s="2046"/>
      <c r="H30" s="2049"/>
      <c r="I30" s="2050"/>
      <c r="J30" s="2051"/>
      <c r="K30" s="2052"/>
      <c r="L30" s="2053"/>
      <c r="M30" s="2054"/>
    </row>
    <row r="31" spans="1:33" ht="18" customHeight="1">
      <c r="A31" s="1633" t="s">
        <v>1824</v>
      </c>
      <c r="B31" s="783" t="s">
        <v>656</v>
      </c>
      <c r="C31" s="53">
        <f ca="1">ROUND(IF(项目基本情况!B11="自然人",C5*F31,C32+C33+C34),1)</f>
        <v>88.9</v>
      </c>
      <c r="D31" s="3178" t="s">
        <v>657</v>
      </c>
      <c r="E31" s="3179" t="s">
        <v>690</v>
      </c>
      <c r="F31" s="809" t="str">
        <f ca="1">IF(项目基本情况!B11="企业","",IF(INDIRECT("'数据-取费表'!c"&amp;$G$1)="住宅",5%,IF(F6*F7*F8/12/(1+'数据-取费表'!C42)&gt;20000,12%,7%)))</f>
        <v/>
      </c>
      <c r="G31" s="2046"/>
      <c r="H31" s="2049"/>
      <c r="I31" s="2050"/>
      <c r="J31" s="2051"/>
      <c r="K31" s="2052"/>
      <c r="L31" s="2053"/>
      <c r="M31" s="2054"/>
    </row>
    <row r="32" spans="1:33" ht="18" customHeight="1">
      <c r="A32" s="1632" t="s">
        <v>1831</v>
      </c>
      <c r="B32" s="783" t="s">
        <v>660</v>
      </c>
      <c r="C32" s="53">
        <f ca="1">ROUND(C5*F32/1.05,1)</f>
        <v>26.6</v>
      </c>
      <c r="D32" s="3179" t="s">
        <v>661</v>
      </c>
      <c r="E32" s="783" t="s">
        <v>649</v>
      </c>
      <c r="F32" s="808">
        <f>'数据-取费表'!B41</f>
        <v>5.5000000000000007E-2</v>
      </c>
      <c r="G32" s="2046"/>
      <c r="H32" s="2055"/>
      <c r="I32" s="2056"/>
      <c r="J32" s="2057"/>
      <c r="K32" s="2058"/>
      <c r="L32" s="2059"/>
      <c r="M32" s="2060"/>
    </row>
    <row r="33" spans="1:18" ht="18" customHeight="1">
      <c r="A33" s="1632" t="s">
        <v>1832</v>
      </c>
      <c r="B33" s="783" t="s">
        <v>664</v>
      </c>
      <c r="C33" s="53">
        <f ca="1">IF(D33="按租金收入计税",ROUND(C5*F33,1),IF(D33="按房产原值计税",ROUND(C29*F33*0.7,1),INDIRECT("'数据-取费表'!Aj"&amp;$G$1)))</f>
        <v>60.8</v>
      </c>
      <c r="D33" s="810" t="s">
        <v>3008</v>
      </c>
      <c r="E33" s="783" t="s">
        <v>649</v>
      </c>
      <c r="F33" s="808">
        <f>IF(D33="按租金收入计税",'数据-取费表'!B51,'数据-取费表'!B50)</f>
        <v>0.12</v>
      </c>
      <c r="G33" s="2046"/>
      <c r="H33" s="2061"/>
      <c r="I33" s="2061"/>
      <c r="J33" s="2061"/>
      <c r="K33" s="2062"/>
      <c r="L33" s="2061"/>
      <c r="M33" s="2061"/>
    </row>
    <row r="34" spans="1:18" ht="18" customHeight="1">
      <c r="A34" s="1635" t="s">
        <v>1833</v>
      </c>
      <c r="B34" s="340" t="s">
        <v>668</v>
      </c>
      <c r="C34" s="54">
        <f ca="1">ROUND(F34*F35/10000,1)</f>
        <v>1.5</v>
      </c>
      <c r="D34" s="813" t="s">
        <v>669</v>
      </c>
      <c r="E34" s="783" t="s">
        <v>670</v>
      </c>
      <c r="F34" s="639">
        <f>'数据-取费表'!B52</f>
        <v>3</v>
      </c>
      <c r="G34" s="2046"/>
      <c r="H34" s="2049"/>
      <c r="I34" s="834" t="s">
        <v>1813</v>
      </c>
      <c r="J34" s="835"/>
      <c r="K34" s="2064"/>
      <c r="L34" s="2063"/>
      <c r="M34" s="2063"/>
    </row>
    <row r="35" spans="1:18" ht="18" customHeight="1">
      <c r="A35" s="814"/>
      <c r="B35" s="792"/>
      <c r="C35" s="69"/>
      <c r="D35" s="815"/>
      <c r="E35" s="783" t="s">
        <v>674</v>
      </c>
      <c r="F35" s="784">
        <f ca="1">INDIRECT("'数据-取费表'!r"&amp;$G$1)</f>
        <v>4842.59</v>
      </c>
      <c r="G35" s="2046"/>
      <c r="H35" s="2049"/>
      <c r="I35" s="836" t="s">
        <v>1814</v>
      </c>
      <c r="J35" s="837">
        <f ca="1">ROUND(C13*J36,0)</f>
        <v>547</v>
      </c>
      <c r="K35" s="2062"/>
      <c r="L35" s="2061"/>
      <c r="M35" s="2061"/>
    </row>
    <row r="36" spans="1:18" ht="18" customHeight="1">
      <c r="A36" s="1633" t="s">
        <v>1889</v>
      </c>
      <c r="B36" s="783" t="s">
        <v>676</v>
      </c>
      <c r="C36" s="53">
        <f ca="1">ROUND(C29*F36,1)</f>
        <v>102.6</v>
      </c>
      <c r="D36" s="3179" t="s">
        <v>691</v>
      </c>
      <c r="E36" s="783" t="s">
        <v>649</v>
      </c>
      <c r="F36" s="816">
        <f ca="1">INDIRECT("'数据-取费表'!Ak"&amp;$G$1)</f>
        <v>1.4999999999999999E-2</v>
      </c>
      <c r="G36" s="2046"/>
      <c r="H36" s="2061"/>
      <c r="I36" s="838" t="s">
        <v>1815</v>
      </c>
      <c r="J36" s="839">
        <f ca="1">INDIRECT("'数据-取费表'!j"&amp;$G$1)</f>
        <v>0.08</v>
      </c>
      <c r="K36" s="2066"/>
      <c r="L36" s="2061"/>
      <c r="M36" s="2061"/>
    </row>
    <row r="37" spans="1:18" ht="18" customHeight="1">
      <c r="A37" s="1633" t="s">
        <v>1890</v>
      </c>
      <c r="B37" s="783" t="s">
        <v>679</v>
      </c>
      <c r="C37" s="53">
        <f ca="1">ROUND(C13*F37,1)</f>
        <v>10.3</v>
      </c>
      <c r="D37" s="3179" t="s">
        <v>680</v>
      </c>
      <c r="E37" s="783" t="s">
        <v>649</v>
      </c>
      <c r="F37" s="817">
        <f ca="1">INDIRECT("'数据-取费表'!Al"&amp;$G$1)</f>
        <v>1.5E-3</v>
      </c>
      <c r="G37" s="2046"/>
      <c r="H37" s="2061"/>
      <c r="I37" s="840" t="s">
        <v>1816</v>
      </c>
      <c r="J37" s="841"/>
      <c r="K37" s="2066"/>
      <c r="L37" s="2061"/>
      <c r="M37" s="2061"/>
    </row>
    <row r="38" spans="1:18" ht="18" customHeight="1" thickBot="1">
      <c r="A38" s="2514" t="s">
        <v>1891</v>
      </c>
      <c r="B38" s="2509" t="s">
        <v>666</v>
      </c>
      <c r="C38" s="2507">
        <f ca="1">ROUND(C5*F38,1)</f>
        <v>7.6</v>
      </c>
      <c r="D38" s="2508" t="s">
        <v>683</v>
      </c>
      <c r="E38" s="2509" t="s">
        <v>649</v>
      </c>
      <c r="F38" s="2505">
        <f ca="1">INDIRECT("'数据-取费表'!Am"&amp;$G$1)</f>
        <v>1.4999999999999999E-2</v>
      </c>
      <c r="G38" s="2046"/>
      <c r="H38" s="2061"/>
      <c r="I38" s="842" t="s">
        <v>1817</v>
      </c>
      <c r="J38" s="843"/>
      <c r="K38" s="2067"/>
      <c r="L38" s="2061"/>
      <c r="M38" s="2061"/>
    </row>
    <row r="39" spans="1:18" ht="24.6" customHeight="1" thickTop="1">
      <c r="A39" s="1813" t="s">
        <v>1776</v>
      </c>
      <c r="B39" s="2960" t="s">
        <v>2821</v>
      </c>
      <c r="C39" s="791">
        <f ca="1">C5-C30</f>
        <v>298</v>
      </c>
      <c r="D39" s="2511" t="s">
        <v>700</v>
      </c>
      <c r="E39" s="2512"/>
      <c r="F39" s="2513"/>
      <c r="G39" s="2046"/>
      <c r="H39" s="2061"/>
      <c r="I39" s="836" t="s">
        <v>1818</v>
      </c>
      <c r="J39" s="844">
        <f ca="1">ROUND(J35/C39,3)</f>
        <v>1.8360000000000001</v>
      </c>
      <c r="K39" s="2067"/>
      <c r="L39" s="2061"/>
      <c r="M39" s="2061"/>
    </row>
    <row r="40" spans="1:18" ht="18" customHeight="1">
      <c r="A40" s="780" t="s">
        <v>1780</v>
      </c>
      <c r="B40" s="2216" t="s">
        <v>2301</v>
      </c>
      <c r="C40" s="782">
        <f ca="1">ROUND(C39*(1-((1+F42)/(1+F40))^F41)/(F40-F42),0)</f>
        <v>5043</v>
      </c>
      <c r="D40" s="813" t="s">
        <v>704</v>
      </c>
      <c r="E40" s="783" t="s">
        <v>2419</v>
      </c>
      <c r="F40" s="793">
        <f ca="1">INDIRECT("'数据-取费表'!I"&amp;$G$1)</f>
        <v>4.4999999999999998E-2</v>
      </c>
      <c r="G40" s="2046"/>
      <c r="H40" s="2046"/>
      <c r="I40" s="836" t="s">
        <v>1819</v>
      </c>
      <c r="J40" s="844">
        <f ca="1">1-J39</f>
        <v>-0.83600000000000008</v>
      </c>
      <c r="K40" s="2067"/>
      <c r="L40" s="2046"/>
      <c r="M40" s="2046"/>
    </row>
    <row r="41" spans="1:18" ht="18" customHeight="1">
      <c r="A41" s="785"/>
      <c r="B41" s="786"/>
      <c r="C41" s="787"/>
      <c r="D41" s="820" t="s">
        <v>1808</v>
      </c>
      <c r="E41" s="783" t="s">
        <v>2960</v>
      </c>
      <c r="F41" s="821">
        <f ca="1">IF(INDIRECT("'数据-取费表'!af"&amp;$G$1)=0,INDIRECT("'数据-取费表'!ae"&amp;$G$1),INDIRECT("'数据-取费表'!af"&amp;$G$1))</f>
        <v>32.56</v>
      </c>
      <c r="G41" s="2046"/>
      <c r="H41" s="1972"/>
      <c r="I41" s="842" t="s">
        <v>1820</v>
      </c>
      <c r="J41" s="845"/>
      <c r="K41" s="2066"/>
      <c r="L41" s="1972"/>
      <c r="M41" s="1972"/>
    </row>
    <row r="42" spans="1:18" ht="18" customHeight="1">
      <c r="A42" s="789"/>
      <c r="B42" s="790"/>
      <c r="C42" s="791"/>
      <c r="D42" s="815"/>
      <c r="E42" s="783" t="s">
        <v>710</v>
      </c>
      <c r="F42" s="793">
        <f ca="1">INDIRECT("'数据-取费表'!v"&amp;$G$1)</f>
        <v>0</v>
      </c>
      <c r="G42" s="2046"/>
      <c r="H42" s="1972"/>
      <c r="I42" s="846" t="s">
        <v>1821</v>
      </c>
      <c r="J42" s="844">
        <f ca="1">ROUND(C13/C40,3)</f>
        <v>1.3560000000000001</v>
      </c>
      <c r="K42" s="2066"/>
      <c r="L42" s="1972"/>
      <c r="M42" s="1972"/>
    </row>
    <row r="43" spans="1:18" ht="18" customHeight="1" thickBot="1">
      <c r="A43" s="822" t="s">
        <v>1787</v>
      </c>
      <c r="B43" s="823" t="s">
        <v>1810</v>
      </c>
      <c r="C43" s="824">
        <f ca="1">ROUND(C40*10000/F43,0)</f>
        <v>1763</v>
      </c>
      <c r="D43" s="825" t="s">
        <v>1811</v>
      </c>
      <c r="E43" s="826" t="s">
        <v>1812</v>
      </c>
      <c r="F43" s="827">
        <f ca="1">INDIRECT("'数据-取费表'!k"&amp;$G$1)</f>
        <v>28598.17</v>
      </c>
      <c r="G43" s="2046"/>
      <c r="H43" s="1972"/>
      <c r="I43" s="846" t="s">
        <v>1822</v>
      </c>
      <c r="J43" s="847">
        <f ca="1">1-J42</f>
        <v>-0.35600000000000009</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2295</v>
      </c>
      <c r="B46" s="2069"/>
      <c r="C46" s="2537">
        <f ca="1">C67-C40</f>
        <v>-6972</v>
      </c>
      <c r="D46" s="2069"/>
      <c r="E46" s="2069"/>
      <c r="F46" s="2069"/>
      <c r="I46" s="2341" t="s">
        <v>2343</v>
      </c>
      <c r="J46" s="2342"/>
      <c r="K46" s="2343"/>
      <c r="L46" s="3105">
        <f>IF(OR(M47="住宅",D1="土地（套用方法）"),0,IF(L48&gt;J51,L60,J60))</f>
        <v>0</v>
      </c>
      <c r="O46" s="2357" t="s">
        <v>2410</v>
      </c>
      <c r="P46" s="1577"/>
      <c r="Q46" s="1588"/>
      <c r="R46" s="1577"/>
    </row>
    <row r="47" spans="1:18" s="2043" customFormat="1" ht="18" customHeight="1" thickBot="1">
      <c r="A47" s="2335">
        <v>1</v>
      </c>
      <c r="B47" s="2336" t="s">
        <v>635</v>
      </c>
      <c r="C47" s="2537">
        <f ca="1">C48+C52+C54</f>
        <v>0</v>
      </c>
      <c r="D47" s="2069"/>
      <c r="E47" s="2069"/>
      <c r="F47" s="2069"/>
      <c r="I47" s="3095" t="s">
        <v>2344</v>
      </c>
      <c r="J47" s="2344" t="s">
        <v>3009</v>
      </c>
      <c r="K47" s="3102" t="s">
        <v>2349</v>
      </c>
      <c r="L47" s="3106">
        <f ca="1">INDIRECT("'数据-取费表'!d"&amp;$G$1)</f>
        <v>40</v>
      </c>
      <c r="M47" s="1588" t="str">
        <f>IF(ISNUMBER(FIND("住宅",C1)),"住宅","非住宅")</f>
        <v>非住宅</v>
      </c>
      <c r="O47" s="2358" t="s">
        <v>2375</v>
      </c>
      <c r="P47" s="2359" t="s">
        <v>2376</v>
      </c>
      <c r="Q47" s="2360" t="s">
        <v>2377</v>
      </c>
      <c r="R47" s="2359" t="s">
        <v>2378</v>
      </c>
    </row>
    <row r="48" spans="1:18" s="2043" customFormat="1" ht="18" customHeight="1" thickBot="1">
      <c r="A48" s="2605" t="s">
        <v>1870</v>
      </c>
      <c r="B48" s="2606" t="s">
        <v>2537</v>
      </c>
      <c r="C48" s="2337">
        <f ca="1">ROUND(F48*F50*F49*(1-F51)/10000,0)</f>
        <v>0</v>
      </c>
      <c r="D48" s="2338" t="s">
        <v>636</v>
      </c>
      <c r="E48" s="2339" t="s">
        <v>2296</v>
      </c>
      <c r="F48" s="2340"/>
      <c r="G48" s="2074"/>
      <c r="I48" s="3074" t="s">
        <v>2345</v>
      </c>
      <c r="J48" s="2345" t="s">
        <v>2350</v>
      </c>
      <c r="K48" s="3103" t="s">
        <v>2351</v>
      </c>
      <c r="L48" s="1892">
        <f ca="1">INDIRECT("'数据-取费表'!f"&amp;$G$1)</f>
        <v>34.56</v>
      </c>
      <c r="O48" s="2361" t="s">
        <v>2379</v>
      </c>
      <c r="P48" s="2362" t="s">
        <v>2405</v>
      </c>
      <c r="Q48" s="2363">
        <f ca="1">C40+J29</f>
        <v>5043</v>
      </c>
      <c r="R48" s="2362" t="s">
        <v>2380</v>
      </c>
    </row>
    <row r="49" spans="1:18" s="2043" customFormat="1" ht="18" customHeight="1" thickBot="1">
      <c r="A49" s="785"/>
      <c r="B49" s="786"/>
      <c r="C49" s="787"/>
      <c r="D49" s="788"/>
      <c r="E49" s="783" t="s">
        <v>638</v>
      </c>
      <c r="F49" s="784">
        <f ca="1">F7</f>
        <v>28598.17</v>
      </c>
      <c r="G49" s="2074"/>
      <c r="H49" s="2077"/>
      <c r="I49" s="3074" t="s">
        <v>2346</v>
      </c>
      <c r="J49" s="2346">
        <v>2020</v>
      </c>
      <c r="K49" s="3104" t="s">
        <v>2352</v>
      </c>
      <c r="L49" s="2347"/>
      <c r="O49" s="2361" t="s">
        <v>2381</v>
      </c>
      <c r="P49" s="2362" t="s">
        <v>2406</v>
      </c>
      <c r="Q49" s="2363">
        <f ca="1">J60</f>
        <v>212</v>
      </c>
      <c r="R49" s="2362" t="s">
        <v>2382</v>
      </c>
    </row>
    <row r="50" spans="1:18" s="2043" customFormat="1" ht="18" customHeight="1" thickBot="1">
      <c r="A50" s="785"/>
      <c r="B50" s="786"/>
      <c r="C50" s="787"/>
      <c r="D50" s="788"/>
      <c r="E50" s="783" t="s">
        <v>639</v>
      </c>
      <c r="F50" s="784">
        <f ca="1">F8</f>
        <v>365</v>
      </c>
      <c r="G50" s="2079"/>
      <c r="H50" s="2077"/>
      <c r="I50" s="3074" t="s">
        <v>2347</v>
      </c>
      <c r="J50" s="3099">
        <f>SUMPRODUCT((I63:I65=J47)*(J62:L62=J48)*(J63:L65))</f>
        <v>60</v>
      </c>
      <c r="K50" s="3104" t="s">
        <v>2353</v>
      </c>
      <c r="L50" s="2347"/>
      <c r="O50" s="2364" t="s">
        <v>2383</v>
      </c>
      <c r="P50" s="2362" t="s">
        <v>2407</v>
      </c>
      <c r="Q50" s="2363">
        <f ca="1">C29</f>
        <v>6837</v>
      </c>
      <c r="R50" s="2362" t="s">
        <v>2380</v>
      </c>
    </row>
    <row r="51" spans="1:18" s="2043" customFormat="1" ht="18" customHeight="1" thickBot="1">
      <c r="A51" s="785"/>
      <c r="B51" s="786"/>
      <c r="C51" s="787"/>
      <c r="D51" s="788"/>
      <c r="E51" s="783" t="s">
        <v>640</v>
      </c>
      <c r="F51" s="2334"/>
      <c r="H51" s="2077"/>
      <c r="I51" s="3096" t="s">
        <v>2348</v>
      </c>
      <c r="J51" s="3100">
        <f>IF(J49="",J50,J49+J50-YEAR('数据-取费表'!B2))</f>
        <v>61</v>
      </c>
      <c r="K51" s="3074" t="s">
        <v>2354</v>
      </c>
      <c r="L51" s="3107">
        <f ca="1">ROUND(-PV(INDIRECT("'数据-取费表'!h"&amp;$G$1),L48,(C39-C13*J36),0),0)</f>
        <v>-4619</v>
      </c>
      <c r="O51" s="2364" t="s">
        <v>2384</v>
      </c>
      <c r="P51" s="2362" t="s">
        <v>2385</v>
      </c>
      <c r="Q51" s="2365">
        <f ca="1">J58</f>
        <v>0.441</v>
      </c>
      <c r="R51" s="2366"/>
    </row>
    <row r="52" spans="1:18" s="2043" customFormat="1" ht="18" customHeight="1" thickBot="1">
      <c r="A52" s="780" t="s">
        <v>2535</v>
      </c>
      <c r="B52" s="2457" t="s">
        <v>2458</v>
      </c>
      <c r="C52" s="798">
        <f ca="1">ROUND(IF(F52="押一",C48/12*F11,IF(F52="押二",C48/12*2*F11,IF(F52="押三",C48/12*3*F11,C53*F11))),0)</f>
        <v>0</v>
      </c>
      <c r="D52" s="2464" t="s">
        <v>2971</v>
      </c>
      <c r="E52" s="2461" t="s">
        <v>2463</v>
      </c>
      <c r="F52" s="2584"/>
      <c r="I52" s="3097" t="s">
        <v>2421</v>
      </c>
      <c r="J52" s="2348">
        <v>8.5000000000000006E-2</v>
      </c>
      <c r="K52" s="3097" t="s">
        <v>2420</v>
      </c>
      <c r="L52" s="2348"/>
      <c r="O52" s="2364" t="s">
        <v>2386</v>
      </c>
      <c r="P52" s="2362" t="s">
        <v>2387</v>
      </c>
      <c r="Q52" s="2365">
        <f>J52</f>
        <v>8.5000000000000006E-2</v>
      </c>
      <c r="R52" s="2366"/>
    </row>
    <row r="53" spans="1:18" s="2043" customFormat="1" ht="39.75" customHeight="1" thickBot="1">
      <c r="A53" s="785"/>
      <c r="B53" s="2458" t="s">
        <v>2572</v>
      </c>
      <c r="C53" s="2462"/>
      <c r="D53" s="2464"/>
      <c r="E53" s="2461"/>
      <c r="F53" s="799"/>
      <c r="I53" s="3098" t="s">
        <v>2974</v>
      </c>
      <c r="J53" s="3101">
        <f ca="1">IF(M47="住宅",IF(D1="——",MAX(J51,L48),MAX(J51,L48-'数据-取费表'!B20)),IF(D1="——",MIN(J51,L48),MIN(J51,L48-'数据-取费表'!B20)))</f>
        <v>32.56</v>
      </c>
      <c r="K53" s="4102" t="s">
        <v>2962</v>
      </c>
      <c r="L53" s="4103"/>
      <c r="O53" s="2364" t="s">
        <v>2388</v>
      </c>
      <c r="P53" s="2362" t="s">
        <v>2389</v>
      </c>
      <c r="Q53" s="2363">
        <f ca="1">J53</f>
        <v>32.56</v>
      </c>
      <c r="R53" s="2362" t="s">
        <v>2390</v>
      </c>
    </row>
    <row r="54" spans="1:18" s="2043" customFormat="1" ht="18" customHeight="1" thickBot="1">
      <c r="A54" s="2500" t="s">
        <v>2466</v>
      </c>
      <c r="B54" s="2501" t="s">
        <v>2459</v>
      </c>
      <c r="C54" s="2502"/>
      <c r="D54" s="2464"/>
      <c r="E54" s="2461"/>
      <c r="F54" s="799"/>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2391</v>
      </c>
      <c r="P54" s="2362" t="s">
        <v>2408</v>
      </c>
      <c r="Q54" s="2363">
        <f ca="1">Q48+Q49</f>
        <v>5255</v>
      </c>
      <c r="R54" s="2366" t="s">
        <v>2392</v>
      </c>
    </row>
    <row r="55" spans="1:18" s="2043" customFormat="1" ht="18" customHeight="1" thickTop="1" thickBot="1">
      <c r="A55" s="796">
        <v>2</v>
      </c>
      <c r="B55" s="797" t="s">
        <v>644</v>
      </c>
      <c r="C55" s="798">
        <f ca="1">C13</f>
        <v>6837</v>
      </c>
      <c r="D55" s="794"/>
      <c r="E55" s="794"/>
      <c r="F55" s="799"/>
      <c r="I55" s="3110" t="s">
        <v>2355</v>
      </c>
      <c r="J55" s="3049">
        <f ca="1">ROUND(IF(J47="钢混",J57/J50,1-(1-2%)*(J50-J57)/J50),3)</f>
        <v>0.441</v>
      </c>
      <c r="K55" s="3111" t="s">
        <v>2356</v>
      </c>
      <c r="L55" s="2349"/>
      <c r="O55" s="2367" t="s">
        <v>2411</v>
      </c>
      <c r="P55" s="1577"/>
      <c r="Q55" s="1588"/>
      <c r="R55" s="1577"/>
    </row>
    <row r="56" spans="1:18" s="2043" customFormat="1" ht="42.75" customHeight="1" thickBot="1">
      <c r="A56" s="1634"/>
      <c r="B56" s="2215" t="s">
        <v>2300</v>
      </c>
      <c r="C56" s="53">
        <f ca="1">C29</f>
        <v>6837</v>
      </c>
      <c r="D56" s="3179"/>
      <c r="E56" s="783"/>
      <c r="F56" s="808"/>
      <c r="I56" s="3112" t="s">
        <v>2357</v>
      </c>
      <c r="J56" s="3122" t="s">
        <v>2999</v>
      </c>
      <c r="K56" s="3074" t="s">
        <v>2362</v>
      </c>
      <c r="L56" s="1892" t="str">
        <f ca="1">IF(L48&lt;J51,"——",L48-J51)</f>
        <v>——</v>
      </c>
      <c r="O56" s="2358" t="s">
        <v>2375</v>
      </c>
      <c r="P56" s="2359" t="s">
        <v>2376</v>
      </c>
      <c r="Q56" s="2360" t="s">
        <v>2377</v>
      </c>
      <c r="R56" s="2359" t="s">
        <v>2378</v>
      </c>
    </row>
    <row r="57" spans="1:18" s="2043" customFormat="1" ht="28.5" customHeight="1" thickBot="1">
      <c r="A57" s="796" t="s">
        <v>1748</v>
      </c>
      <c r="B57" s="797" t="s">
        <v>651</v>
      </c>
      <c r="C57" s="798">
        <f ca="1">ROUND(C58+C63+C64+C65,0)</f>
        <v>114</v>
      </c>
      <c r="D57" s="26" t="s">
        <v>652</v>
      </c>
      <c r="E57" s="3181"/>
      <c r="F57" s="56"/>
      <c r="I57" s="3113" t="s">
        <v>2358</v>
      </c>
      <c r="J57" s="3114">
        <f ca="1">IF(OR(M47="住宅",J51&lt;L48,J56="是"),"——",J51-L48)</f>
        <v>26.439999999999998</v>
      </c>
      <c r="K57" s="3074" t="s">
        <v>2363</v>
      </c>
      <c r="L57" s="1892" t="str">
        <f ca="1">IF(L48&lt;J51,"——",IF(L55="比较法",L49,IF(L55="基准地价",L50,L51)))</f>
        <v>——</v>
      </c>
      <c r="O57" s="2361" t="s">
        <v>2379</v>
      </c>
      <c r="P57" s="2362" t="s">
        <v>2405</v>
      </c>
      <c r="Q57" s="2363">
        <f ca="1">C40+J29</f>
        <v>5043</v>
      </c>
      <c r="R57" s="2362" t="s">
        <v>2380</v>
      </c>
    </row>
    <row r="58" spans="1:18" s="2043" customFormat="1" ht="28.5" customHeight="1" thickBot="1">
      <c r="A58" s="1633" t="s">
        <v>1824</v>
      </c>
      <c r="B58" s="783" t="s">
        <v>656</v>
      </c>
      <c r="C58" s="53">
        <f ca="1">ROUND(IF(项目基本情况!B11="自然人",C47*F58,C59+C60+C61),1)</f>
        <v>1.5</v>
      </c>
      <c r="D58" s="3178" t="s">
        <v>657</v>
      </c>
      <c r="E58" s="3179" t="s">
        <v>690</v>
      </c>
      <c r="F58" s="809" t="str">
        <f ca="1">IF(项目基本情况!B11="企业","",IF(INDIRECT("'数据-取费表'!c"&amp;$G$1)="住宅",5%,IF(F48*F49*F50/12/(1+'数据-取费表'!C42)&gt;20000,12%,7%)))</f>
        <v/>
      </c>
      <c r="I58" s="3113" t="s">
        <v>2359</v>
      </c>
      <c r="J58" s="3050">
        <f ca="1">IF(J55&lt;0.4,0.4,J55)</f>
        <v>0.441</v>
      </c>
      <c r="K58" s="3074" t="s">
        <v>2364</v>
      </c>
      <c r="L58" s="1892" t="e">
        <f ca="1">ROUND(POWER(1+L52,L47-L48)*(POWER(1+L52,L48)-1)/(POWER(1+L52,L47)-1),4)</f>
        <v>#DIV/0!</v>
      </c>
      <c r="O58" s="2361" t="s">
        <v>2381</v>
      </c>
      <c r="P58" s="2362" t="s">
        <v>2412</v>
      </c>
      <c r="Q58" s="2363">
        <f ca="1">L60</f>
        <v>0</v>
      </c>
      <c r="R58" s="2366" t="s">
        <v>2414</v>
      </c>
    </row>
    <row r="59" spans="1:18" s="2043" customFormat="1" ht="28.5" customHeight="1" thickBot="1">
      <c r="A59" s="1632" t="s">
        <v>1831</v>
      </c>
      <c r="B59" s="783" t="s">
        <v>660</v>
      </c>
      <c r="C59" s="53">
        <f ca="1">ROUND(C47*F59/1.05,1)</f>
        <v>0</v>
      </c>
      <c r="D59" s="3179" t="s">
        <v>661</v>
      </c>
      <c r="E59" s="783" t="s">
        <v>649</v>
      </c>
      <c r="F59" s="808">
        <f t="shared" ref="F59:F65" si="0">F32</f>
        <v>5.5000000000000007E-2</v>
      </c>
      <c r="I59" s="3113" t="s">
        <v>2360</v>
      </c>
      <c r="J59" s="3114">
        <f ca="1">IF(OR(M47="住宅",J51&lt;L48,J56="是"),"——",ROUND(C29*J58,0))</f>
        <v>3015</v>
      </c>
      <c r="K59" s="3074"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2383</v>
      </c>
      <c r="P59" s="2362" t="s">
        <v>2413</v>
      </c>
      <c r="Q59" s="2363">
        <f>IF(L55="比较法",L49,IF(L55="基准地价",L50,0))</f>
        <v>0</v>
      </c>
      <c r="R59" s="2362" t="s">
        <v>2380</v>
      </c>
    </row>
    <row r="60" spans="1:18" s="2043" customFormat="1" ht="18" customHeight="1" thickBot="1">
      <c r="A60" s="1632" t="s">
        <v>1832</v>
      </c>
      <c r="B60" s="783" t="s">
        <v>664</v>
      </c>
      <c r="C60" s="53">
        <f ca="1">IF(D60="按租金收入计税",ROUND(C47*F60,1),IF(D60="按房产原值计税",ROUND(C56*F60*0.7,1),INDIRECT("'数据-取费表'!Aj"&amp;$G$1)))</f>
        <v>0</v>
      </c>
      <c r="D60" s="3179" t="str">
        <f>D33</f>
        <v>按租金收入计税</v>
      </c>
      <c r="E60" s="783" t="s">
        <v>649</v>
      </c>
      <c r="F60" s="808">
        <f t="shared" si="0"/>
        <v>0.12</v>
      </c>
      <c r="I60" s="3115" t="s">
        <v>2361</v>
      </c>
      <c r="J60" s="3116">
        <f ca="1">IF(OR(M47="住宅",J51&lt;L48,J56="是"),"0",ROUND(J59/(1+J52)^J53,0))</f>
        <v>212</v>
      </c>
      <c r="K60" s="3117" t="s">
        <v>2366</v>
      </c>
      <c r="L60" s="3116">
        <f ca="1">IF(OR(M47="住宅",L48&lt;J51),0,ROUND(L57*(L58/L59-1),0))</f>
        <v>0</v>
      </c>
      <c r="O60" s="2364" t="s">
        <v>2384</v>
      </c>
      <c r="P60" s="2362" t="s">
        <v>2393</v>
      </c>
      <c r="Q60" s="2365">
        <f>L52</f>
        <v>0</v>
      </c>
      <c r="R60" s="2366"/>
    </row>
    <row r="61" spans="1:18" s="2043" customFormat="1" ht="18" customHeight="1" thickBot="1">
      <c r="A61" s="1635" t="s">
        <v>1833</v>
      </c>
      <c r="B61" s="340" t="s">
        <v>668</v>
      </c>
      <c r="C61" s="54">
        <f ca="1">ROUND(F61*F62/10000,1)</f>
        <v>1.5</v>
      </c>
      <c r="D61" s="813" t="s">
        <v>669</v>
      </c>
      <c r="E61" s="783" t="s">
        <v>670</v>
      </c>
      <c r="F61" s="639">
        <f t="shared" si="0"/>
        <v>3</v>
      </c>
      <c r="K61" s="2070"/>
      <c r="O61" s="2364" t="s">
        <v>2386</v>
      </c>
      <c r="P61" s="2362" t="s">
        <v>2394</v>
      </c>
      <c r="Q61" s="2363" t="e">
        <f ca="1">L58</f>
        <v>#DIV/0!</v>
      </c>
      <c r="R61" s="2366" t="s">
        <v>2395</v>
      </c>
    </row>
    <row r="62" spans="1:18" s="2043" customFormat="1" ht="15.75" thickBot="1">
      <c r="A62" s="814"/>
      <c r="B62" s="792"/>
      <c r="C62" s="69"/>
      <c r="D62" s="815"/>
      <c r="E62" s="783" t="s">
        <v>674</v>
      </c>
      <c r="F62" s="784">
        <f t="shared" ca="1" si="0"/>
        <v>4842.59</v>
      </c>
      <c r="I62" s="3118" t="s">
        <v>2367</v>
      </c>
      <c r="J62" s="3119" t="s">
        <v>2368</v>
      </c>
      <c r="K62" s="3119" t="s">
        <v>2369</v>
      </c>
      <c r="L62" s="3119" t="s">
        <v>2350</v>
      </c>
      <c r="M62" s="3120" t="s">
        <v>2939</v>
      </c>
      <c r="O62" s="2364" t="s">
        <v>2388</v>
      </c>
      <c r="P62" s="2362" t="str">
        <f>K59</f>
        <v>建设期及建筑物耐用年限下的土地年期修正系数Kn</v>
      </c>
      <c r="Q62" s="2363" t="e">
        <f ca="1">L59</f>
        <v>#DIV/0!</v>
      </c>
      <c r="R62" s="2366" t="s">
        <v>2397</v>
      </c>
    </row>
    <row r="63" spans="1:18" s="2043" customFormat="1" ht="15.75" thickBot="1">
      <c r="A63" s="1633" t="s">
        <v>1889</v>
      </c>
      <c r="B63" s="783" t="s">
        <v>676</v>
      </c>
      <c r="C63" s="53">
        <f ca="1">ROUND(C56*F63,1)</f>
        <v>102.6</v>
      </c>
      <c r="D63" s="3179" t="s">
        <v>691</v>
      </c>
      <c r="E63" s="783" t="s">
        <v>649</v>
      </c>
      <c r="F63" s="816">
        <f t="shared" ca="1" si="0"/>
        <v>1.4999999999999999E-2</v>
      </c>
      <c r="I63" s="3118" t="s">
        <v>2370</v>
      </c>
      <c r="J63" s="3119">
        <v>70</v>
      </c>
      <c r="K63" s="3119">
        <v>50</v>
      </c>
      <c r="L63" s="3119">
        <v>80</v>
      </c>
      <c r="M63" s="3121">
        <v>0.02</v>
      </c>
      <c r="O63" s="2361" t="s">
        <v>2391</v>
      </c>
      <c r="P63" s="2362" t="s">
        <v>2408</v>
      </c>
      <c r="Q63" s="2363">
        <f ca="1">Q57+Q58</f>
        <v>5043</v>
      </c>
      <c r="R63" s="2366" t="s">
        <v>2392</v>
      </c>
    </row>
    <row r="64" spans="1:18" s="2043" customFormat="1" ht="16.5" thickBot="1">
      <c r="A64" s="1633" t="s">
        <v>1890</v>
      </c>
      <c r="B64" s="783" t="s">
        <v>679</v>
      </c>
      <c r="C64" s="53">
        <f ca="1">ROUND(C55*F64,1)</f>
        <v>10.3</v>
      </c>
      <c r="D64" s="3179" t="s">
        <v>680</v>
      </c>
      <c r="E64" s="783" t="s">
        <v>649</v>
      </c>
      <c r="F64" s="817">
        <f t="shared" ca="1" si="0"/>
        <v>1.5E-3</v>
      </c>
      <c r="I64" s="3118" t="s">
        <v>2371</v>
      </c>
      <c r="J64" s="3119">
        <v>50</v>
      </c>
      <c r="K64" s="3119">
        <v>35</v>
      </c>
      <c r="L64" s="3119">
        <v>60</v>
      </c>
      <c r="M64" s="845">
        <v>0</v>
      </c>
      <c r="O64" s="2367" t="s">
        <v>2415</v>
      </c>
      <c r="P64" s="1577"/>
      <c r="Q64" s="1588"/>
      <c r="R64" s="1577"/>
    </row>
    <row r="65" spans="1:18" s="2043" customFormat="1" ht="15.75" thickBot="1">
      <c r="A65" s="1633" t="s">
        <v>1891</v>
      </c>
      <c r="B65" s="783" t="s">
        <v>666</v>
      </c>
      <c r="C65" s="53">
        <f ca="1">ROUND(C47*F65,1)</f>
        <v>0</v>
      </c>
      <c r="D65" s="3179" t="s">
        <v>683</v>
      </c>
      <c r="E65" s="783" t="s">
        <v>649</v>
      </c>
      <c r="F65" s="793">
        <f t="shared" ca="1" si="0"/>
        <v>1.4999999999999999E-2</v>
      </c>
      <c r="I65" s="3118" t="s">
        <v>2372</v>
      </c>
      <c r="J65" s="3119">
        <v>40</v>
      </c>
      <c r="K65" s="3119">
        <v>30</v>
      </c>
      <c r="L65" s="3119">
        <v>50</v>
      </c>
      <c r="M65" s="3121">
        <v>0.02</v>
      </c>
      <c r="O65" s="2358" t="s">
        <v>2375</v>
      </c>
      <c r="P65" s="2359" t="s">
        <v>2376</v>
      </c>
      <c r="Q65" s="2360" t="s">
        <v>2377</v>
      </c>
      <c r="R65" s="2359" t="s">
        <v>2378</v>
      </c>
    </row>
    <row r="66" spans="1:18" s="2043" customFormat="1" ht="24.75" thickBot="1">
      <c r="A66" s="796" t="s">
        <v>1776</v>
      </c>
      <c r="B66" s="2961" t="s">
        <v>2821</v>
      </c>
      <c r="C66" s="798">
        <f ca="1">C47-C57</f>
        <v>-114</v>
      </c>
      <c r="D66" s="3178" t="s">
        <v>700</v>
      </c>
      <c r="E66" s="3176"/>
      <c r="F66" s="819"/>
      <c r="K66" s="2070"/>
      <c r="O66" s="2361" t="s">
        <v>2379</v>
      </c>
      <c r="P66" s="2362" t="s">
        <v>2405</v>
      </c>
      <c r="Q66" s="2363">
        <f ca="1">C40+J29</f>
        <v>5043</v>
      </c>
      <c r="R66" s="2362" t="s">
        <v>2380</v>
      </c>
    </row>
    <row r="67" spans="1:18" s="2043" customFormat="1" ht="20.25" thickBot="1">
      <c r="A67" s="780" t="s">
        <v>1780</v>
      </c>
      <c r="B67" s="2216" t="s">
        <v>2301</v>
      </c>
      <c r="C67" s="782">
        <f ca="1">ROUND(C66*(1-((1+F69)/(1+F67))^F68)/(F67-F69),0)</f>
        <v>-1929</v>
      </c>
      <c r="D67" s="813" t="s">
        <v>704</v>
      </c>
      <c r="E67" s="783" t="s">
        <v>705</v>
      </c>
      <c r="F67" s="793">
        <f ca="1">F40</f>
        <v>4.4999999999999998E-2</v>
      </c>
      <c r="K67" s="2070"/>
      <c r="O67" s="2361" t="s">
        <v>2381</v>
      </c>
      <c r="P67" s="2362" t="s">
        <v>2412</v>
      </c>
      <c r="Q67" s="2363">
        <f ca="1">L60</f>
        <v>0</v>
      </c>
      <c r="R67" s="2366" t="s">
        <v>2414</v>
      </c>
    </row>
    <row r="68" spans="1:18" ht="21.75" thickBot="1">
      <c r="A68" s="785"/>
      <c r="B68" s="786"/>
      <c r="C68" s="787"/>
      <c r="D68" s="820" t="s">
        <v>1808</v>
      </c>
      <c r="E68" s="783" t="s">
        <v>708</v>
      </c>
      <c r="F68" s="821">
        <f ca="1">F41</f>
        <v>32.56</v>
      </c>
      <c r="O68" s="2364" t="s">
        <v>2383</v>
      </c>
      <c r="P68" s="2362" t="s">
        <v>2413</v>
      </c>
      <c r="Q68" s="2368">
        <f ca="1">L51</f>
        <v>-4619</v>
      </c>
      <c r="R68" s="2369" t="s">
        <v>2416</v>
      </c>
    </row>
    <row r="69" spans="1:18" ht="20.25" thickBot="1">
      <c r="A69" s="789"/>
      <c r="B69" s="790"/>
      <c r="C69" s="791"/>
      <c r="D69" s="815"/>
      <c r="E69" s="783" t="s">
        <v>710</v>
      </c>
      <c r="F69" s="2334"/>
      <c r="O69" s="2364" t="s">
        <v>2384</v>
      </c>
      <c r="P69" s="2370" t="s">
        <v>2398</v>
      </c>
      <c r="Q69" s="2363">
        <f ca="1">ROUND(Q70-Q71*Q72,0)</f>
        <v>-249</v>
      </c>
      <c r="R69" s="2366"/>
    </row>
    <row r="70" spans="1:18" ht="15.75" thickBot="1">
      <c r="A70" s="822" t="s">
        <v>1787</v>
      </c>
      <c r="B70" s="823" t="s">
        <v>1810</v>
      </c>
      <c r="C70" s="824">
        <f ca="1">ROUND(C67*10000/F70,0)</f>
        <v>-675</v>
      </c>
      <c r="D70" s="825" t="s">
        <v>1811</v>
      </c>
      <c r="E70" s="826" t="s">
        <v>1812</v>
      </c>
      <c r="F70" s="827">
        <f ca="1">F43</f>
        <v>28598.17</v>
      </c>
      <c r="O70" s="2364" t="s">
        <v>2399</v>
      </c>
      <c r="P70" s="2370" t="s">
        <v>2400</v>
      </c>
      <c r="Q70" s="2363">
        <f ca="1">C39</f>
        <v>298</v>
      </c>
      <c r="R70" s="2362" t="s">
        <v>2380</v>
      </c>
    </row>
    <row r="71" spans="1:18" ht="15.75" thickBot="1">
      <c r="O71" s="2364" t="s">
        <v>2401</v>
      </c>
      <c r="P71" s="2370" t="s">
        <v>2402</v>
      </c>
      <c r="Q71" s="2363">
        <f ca="1">C13</f>
        <v>6837</v>
      </c>
      <c r="R71" s="2362" t="s">
        <v>2380</v>
      </c>
    </row>
    <row r="72" spans="1:18" ht="15.75" thickBot="1">
      <c r="O72" s="2364" t="s">
        <v>2403</v>
      </c>
      <c r="P72" s="2370" t="s">
        <v>2404</v>
      </c>
      <c r="Q72" s="2365">
        <f ca="1">J36</f>
        <v>0.08</v>
      </c>
      <c r="R72" s="2366"/>
    </row>
    <row r="73" spans="1:18" ht="15.75" thickBot="1">
      <c r="O73" s="2364" t="s">
        <v>2386</v>
      </c>
      <c r="P73" s="2362" t="s">
        <v>2393</v>
      </c>
      <c r="Q73" s="2365">
        <f>L52</f>
        <v>0</v>
      </c>
      <c r="R73" s="2366"/>
    </row>
    <row r="74" spans="1:18" ht="20.25" thickBot="1">
      <c r="O74" s="2364" t="s">
        <v>2388</v>
      </c>
      <c r="P74" s="2362" t="s">
        <v>2394</v>
      </c>
      <c r="Q74" s="2363" t="e">
        <f ca="1">L58</f>
        <v>#DIV/0!</v>
      </c>
      <c r="R74" s="2366" t="s">
        <v>2395</v>
      </c>
    </row>
    <row r="75" spans="1:18" ht="15.75" thickBot="1">
      <c r="O75" s="2364" t="s">
        <v>2417</v>
      </c>
      <c r="P75" s="2362" t="str">
        <f>K59</f>
        <v>建设期及建筑物耐用年限下的土地年期修正系数Kn</v>
      </c>
      <c r="Q75" s="2363" t="e">
        <f ca="1">L59</f>
        <v>#DIV/0!</v>
      </c>
      <c r="R75" s="2366" t="s">
        <v>2397</v>
      </c>
    </row>
    <row r="76" spans="1:18" ht="15.75" thickBot="1">
      <c r="O76" s="2361" t="s">
        <v>2391</v>
      </c>
      <c r="P76" s="2362" t="s">
        <v>2408</v>
      </c>
      <c r="Q76" s="2363">
        <f ca="1">Q66+Q67</f>
        <v>5043</v>
      </c>
      <c r="R76" s="2366"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2787</v>
      </c>
      <c r="C1" s="2957">
        <f>项目基本情况!D3</f>
        <v>43647</v>
      </c>
      <c r="H1" s="2891">
        <f>IF(C1&gt;C13,0,MATCH(C1,C$13:C$100,-1))+IF(SUMIF(C13:C100,C1,D13:D100)=0,13,12)</f>
        <v>13</v>
      </c>
      <c r="I1" s="2891">
        <f>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2818</v>
      </c>
      <c r="C2" s="2958">
        <f>'数据-取费表'!B22</f>
        <v>2</v>
      </c>
      <c r="D2" s="2953" t="s">
        <v>2788</v>
      </c>
      <c r="E2" s="2956">
        <f ca="1">INDIRECT("I"&amp;$I$1)/100</f>
        <v>4.7500000000000001E-2</v>
      </c>
      <c r="G2" s="2893"/>
      <c r="H2" s="2893"/>
      <c r="I2" s="2893" t="s">
        <v>2789</v>
      </c>
      <c r="K2" s="2893"/>
      <c r="L2" s="2893"/>
      <c r="M2" s="2893"/>
      <c r="N2" s="2893" t="s">
        <v>2790</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2820</v>
      </c>
      <c r="C3" s="2955">
        <f>'数据-取费表'!B19</f>
        <v>0</v>
      </c>
      <c r="D3" s="2953" t="s">
        <v>2788</v>
      </c>
      <c r="E3" s="2956">
        <f ca="1">INDIRECT("J"&amp;$J$1)/100</f>
        <v>0</v>
      </c>
      <c r="G3" s="2895" t="s">
        <v>2791</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2819</v>
      </c>
      <c r="C4" s="2956">
        <f ca="1">N4/100</f>
        <v>1.4999999999999999E-2</v>
      </c>
      <c r="G4" s="2901" t="s">
        <v>2792</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2793</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2794</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2795</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2796</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2797</v>
      </c>
      <c r="C10" s="2920"/>
      <c r="D10" s="2920"/>
      <c r="E10" s="2920"/>
      <c r="F10" s="2920"/>
      <c r="G10" s="2920"/>
      <c r="H10" s="2920"/>
      <c r="I10" s="2894"/>
      <c r="J10" s="2894"/>
      <c r="K10" s="2920"/>
      <c r="L10" s="2921" t="s">
        <v>2798</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2799</v>
      </c>
      <c r="C11" s="2925" t="s">
        <v>2800</v>
      </c>
      <c r="D11" s="2926" t="s">
        <v>2801</v>
      </c>
      <c r="E11" s="2927"/>
      <c r="F11" s="2926" t="s">
        <v>2802</v>
      </c>
      <c r="G11" s="2928"/>
      <c r="H11" s="2927"/>
      <c r="I11" s="2926" t="s">
        <v>2803</v>
      </c>
      <c r="J11" s="2927"/>
      <c r="K11" s="2923"/>
      <c r="L11" s="2924" t="s">
        <v>2799</v>
      </c>
      <c r="M11" s="2925" t="s">
        <v>2800</v>
      </c>
      <c r="N11" s="2924" t="s">
        <v>2804</v>
      </c>
      <c r="O11" s="2926" t="s">
        <v>2805</v>
      </c>
      <c r="P11" s="2928"/>
      <c r="Q11" s="2928"/>
      <c r="R11" s="2928"/>
      <c r="S11" s="2928"/>
      <c r="T11" s="2927"/>
      <c r="U11" s="2926" t="s">
        <v>2806</v>
      </c>
      <c r="V11" s="2928"/>
      <c r="W11" s="2927"/>
      <c r="X11" s="2924" t="s">
        <v>2807</v>
      </c>
      <c r="Y11" s="2924" t="s">
        <v>2808</v>
      </c>
      <c r="Z11" s="2924" t="s">
        <v>2809</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2810</v>
      </c>
      <c r="E12" s="2933" t="s">
        <v>2811</v>
      </c>
      <c r="F12" s="2933" t="s">
        <v>2812</v>
      </c>
      <c r="G12" s="2933" t="s">
        <v>2813</v>
      </c>
      <c r="H12" s="2933" t="s">
        <v>2795</v>
      </c>
      <c r="I12" s="2934" t="s">
        <v>2814</v>
      </c>
      <c r="J12" s="2934" t="s">
        <v>2814</v>
      </c>
      <c r="K12" s="2930"/>
      <c r="L12" s="2931"/>
      <c r="M12" s="2932"/>
      <c r="N12" s="2931"/>
      <c r="O12" s="2934" t="s">
        <v>2815</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2816</v>
      </c>
      <c r="C13" s="2938">
        <v>42301</v>
      </c>
      <c r="D13" s="2939">
        <v>4.3499999999999996</v>
      </c>
      <c r="E13" s="2939">
        <v>4.3499999999999996</v>
      </c>
      <c r="F13" s="2939">
        <v>4.75</v>
      </c>
      <c r="G13" s="2939">
        <v>4.75</v>
      </c>
      <c r="H13" s="2939">
        <v>4.9000000000000004</v>
      </c>
      <c r="I13" s="2939">
        <v>2.75</v>
      </c>
      <c r="J13" s="2939">
        <v>3.25</v>
      </c>
      <c r="K13" s="2936"/>
      <c r="L13" s="2937" t="s">
        <v>2816</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2817</v>
      </c>
      <c r="Y42" s="2943" t="s">
        <v>2817</v>
      </c>
      <c r="Z42" s="2943" t="s">
        <v>2817</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2817</v>
      </c>
      <c r="Y43" s="2943" t="s">
        <v>2817</v>
      </c>
      <c r="Z43" s="2943" t="s">
        <v>2817</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2817</v>
      </c>
      <c r="Y44" s="2943" t="s">
        <v>2817</v>
      </c>
      <c r="Z44" s="2943" t="s">
        <v>2817</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2817</v>
      </c>
      <c r="Y45" s="2943" t="s">
        <v>2817</v>
      </c>
      <c r="Z45" s="2943" t="s">
        <v>2817</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2817</v>
      </c>
      <c r="Y46" s="2943" t="s">
        <v>2817</v>
      </c>
      <c r="Z46" s="2943" t="s">
        <v>2817</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2817</v>
      </c>
      <c r="Y47" s="2943" t="s">
        <v>2817</v>
      </c>
      <c r="Z47" s="2943" t="s">
        <v>2817</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2817</v>
      </c>
      <c r="Y48" s="2943" t="s">
        <v>2817</v>
      </c>
      <c r="Z48" s="2943" t="s">
        <v>2817</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2817</v>
      </c>
      <c r="Y49" s="2943" t="s">
        <v>2817</v>
      </c>
      <c r="Z49" s="2943" t="s">
        <v>2817</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2817</v>
      </c>
      <c r="Y50" s="2943" t="s">
        <v>2817</v>
      </c>
      <c r="Z50" s="2943" t="s">
        <v>2817</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2817</v>
      </c>
      <c r="V51" s="2943" t="s">
        <v>2817</v>
      </c>
      <c r="W51" s="2943" t="s">
        <v>2817</v>
      </c>
      <c r="X51" s="2943" t="s">
        <v>2817</v>
      </c>
      <c r="Y51" s="2943" t="s">
        <v>2817</v>
      </c>
      <c r="Z51" s="2943" t="s">
        <v>2817</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2817</v>
      </c>
      <c r="J55" s="2943" t="s">
        <v>2817</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N30" sqref="N30"/>
    </sheetView>
  </sheetViews>
  <sheetFormatPr defaultRowHeight="13.5"/>
  <cols>
    <col min="1" max="1" width="30" customWidth="1"/>
    <col min="6" max="6" width="20.625" customWidth="1"/>
    <col min="8" max="8" width="16.5" customWidth="1"/>
    <col min="12" max="13" width="9" style="3334"/>
    <col min="15" max="15" width="23.125" customWidth="1"/>
  </cols>
  <sheetData>
    <row r="1" spans="1:16">
      <c r="A1" s="2892" t="s">
        <v>3051</v>
      </c>
      <c r="B1" s="2892" t="s">
        <v>3052</v>
      </c>
      <c r="C1" s="2892" t="s">
        <v>3053</v>
      </c>
      <c r="D1" s="2892" t="s">
        <v>3054</v>
      </c>
      <c r="E1" s="2892" t="s">
        <v>3055</v>
      </c>
      <c r="F1" s="2892" t="s">
        <v>2032</v>
      </c>
      <c r="G1" s="2892" t="s">
        <v>3056</v>
      </c>
      <c r="H1" s="2892" t="s">
        <v>3057</v>
      </c>
      <c r="I1" s="2892" t="s">
        <v>3058</v>
      </c>
      <c r="J1" s="2892" t="s">
        <v>3059</v>
      </c>
      <c r="K1" s="2892" t="s">
        <v>3060</v>
      </c>
      <c r="L1" s="3331" t="s">
        <v>3319</v>
      </c>
      <c r="M1" s="3332" t="s">
        <v>3320</v>
      </c>
      <c r="N1" s="2892" t="s">
        <v>3061</v>
      </c>
      <c r="O1" s="2892" t="s">
        <v>3062</v>
      </c>
      <c r="P1" s="2892" t="s">
        <v>3063</v>
      </c>
    </row>
    <row r="2" spans="1:16" s="3194" customFormat="1">
      <c r="A2" s="3193" t="s">
        <v>3064</v>
      </c>
      <c r="B2" s="3193" t="s">
        <v>3065</v>
      </c>
      <c r="C2" s="3193" t="s">
        <v>3066</v>
      </c>
      <c r="D2" s="3193">
        <v>26682.38</v>
      </c>
      <c r="E2" s="3193">
        <v>40023.57</v>
      </c>
      <c r="F2" s="3193" t="s">
        <v>3067</v>
      </c>
      <c r="G2" s="3193" t="s">
        <v>3068</v>
      </c>
      <c r="H2" s="3193" t="s">
        <v>3069</v>
      </c>
      <c r="I2" s="3193">
        <v>5843.4</v>
      </c>
      <c r="J2" s="3193">
        <v>5843.4</v>
      </c>
      <c r="K2" s="3193">
        <v>1459.99</v>
      </c>
      <c r="L2" s="3333">
        <f>J2*10000/(D2/666.67)/10000</f>
        <v>145.99970010171504</v>
      </c>
      <c r="M2" s="3333">
        <f>J2*10000/D2</f>
        <v>2189.9845516029677</v>
      </c>
      <c r="N2" s="3193">
        <v>0</v>
      </c>
      <c r="O2" s="3193" t="s">
        <v>3070</v>
      </c>
      <c r="P2" s="3193" t="s">
        <v>3071</v>
      </c>
    </row>
    <row r="3" spans="1:16" s="3196" customFormat="1">
      <c r="A3" s="3195" t="s">
        <v>3072</v>
      </c>
      <c r="B3" s="3195" t="s">
        <v>3065</v>
      </c>
      <c r="C3" s="3195" t="s">
        <v>3066</v>
      </c>
      <c r="D3" s="3195">
        <v>22239.25</v>
      </c>
      <c r="E3" s="3195">
        <v>33358.879999999997</v>
      </c>
      <c r="F3" s="3195" t="s">
        <v>3073</v>
      </c>
      <c r="G3" s="3195" t="s">
        <v>3068</v>
      </c>
      <c r="H3" s="3195" t="s">
        <v>3069</v>
      </c>
      <c r="I3" s="3195" t="s">
        <v>2817</v>
      </c>
      <c r="J3" s="3195">
        <v>4870.5600000000004</v>
      </c>
      <c r="K3" s="3195">
        <v>1460.04</v>
      </c>
      <c r="L3" s="3333">
        <f t="shared" ref="L3:L24" si="0">J3*10000/(D3/666.67)/10000</f>
        <v>146.0056537518127</v>
      </c>
      <c r="M3" s="3333">
        <f t="shared" ref="M3:M24" si="1">J3*10000/D3</f>
        <v>2190.0738559079109</v>
      </c>
      <c r="N3" s="3195" t="s">
        <v>2817</v>
      </c>
      <c r="O3" s="3195" t="s">
        <v>3070</v>
      </c>
      <c r="P3" s="3195" t="s">
        <v>3074</v>
      </c>
    </row>
    <row r="4" spans="1:16">
      <c r="A4" s="2892" t="s">
        <v>3075</v>
      </c>
      <c r="B4" s="2892" t="s">
        <v>3065</v>
      </c>
      <c r="C4" s="2892" t="s">
        <v>3076</v>
      </c>
      <c r="D4" s="2892">
        <v>42944.5</v>
      </c>
      <c r="E4" s="2892">
        <v>64416.75</v>
      </c>
      <c r="F4" s="2892" t="s">
        <v>3067</v>
      </c>
      <c r="G4" s="2892" t="s">
        <v>3068</v>
      </c>
      <c r="H4" s="2892" t="s">
        <v>3069</v>
      </c>
      <c r="I4" s="2892">
        <v>9791.2900000000009</v>
      </c>
      <c r="J4" s="2892">
        <v>9791.2900000000009</v>
      </c>
      <c r="K4" s="2892">
        <v>1519.99</v>
      </c>
      <c r="L4" s="3333">
        <f t="shared" si="0"/>
        <v>151.99989065654509</v>
      </c>
      <c r="M4" s="3333">
        <f t="shared" si="1"/>
        <v>2279.9869599133767</v>
      </c>
      <c r="N4" s="2892">
        <v>0</v>
      </c>
      <c r="O4" s="2892" t="s">
        <v>3070</v>
      </c>
      <c r="P4" s="2892" t="s">
        <v>3071</v>
      </c>
    </row>
    <row r="5" spans="1:16" s="3196" customFormat="1">
      <c r="A5" s="3195" t="s">
        <v>3077</v>
      </c>
      <c r="B5" s="3195" t="s">
        <v>3065</v>
      </c>
      <c r="C5" s="3195" t="s">
        <v>3076</v>
      </c>
      <c r="D5" s="3195">
        <v>12614.93</v>
      </c>
      <c r="E5" s="3195">
        <v>37844.79</v>
      </c>
      <c r="F5" s="3195" t="s">
        <v>3078</v>
      </c>
      <c r="G5" s="3195" t="s">
        <v>3079</v>
      </c>
      <c r="H5" s="3195" t="s">
        <v>3069</v>
      </c>
      <c r="I5" s="3195">
        <v>3803.38</v>
      </c>
      <c r="J5" s="3195">
        <v>5013.8</v>
      </c>
      <c r="K5" s="3195">
        <v>1324.82</v>
      </c>
      <c r="L5" s="3333">
        <f t="shared" si="0"/>
        <v>264.96778388782178</v>
      </c>
      <c r="M5" s="3333">
        <f t="shared" si="1"/>
        <v>3974.496885832898</v>
      </c>
      <c r="N5" s="3195">
        <v>31.82</v>
      </c>
      <c r="O5" s="3195" t="s">
        <v>3080</v>
      </c>
      <c r="P5" s="3195" t="s">
        <v>3071</v>
      </c>
    </row>
    <row r="6" spans="1:16">
      <c r="A6" s="2892" t="s">
        <v>3081</v>
      </c>
      <c r="B6" s="2892" t="s">
        <v>3065</v>
      </c>
      <c r="C6" s="2892" t="s">
        <v>3066</v>
      </c>
      <c r="D6" s="2892">
        <v>4477.2700000000004</v>
      </c>
      <c r="E6" s="2892">
        <v>6715.91</v>
      </c>
      <c r="F6" s="2892" t="s">
        <v>3073</v>
      </c>
      <c r="G6" s="2892" t="s">
        <v>3068</v>
      </c>
      <c r="H6" s="2892" t="s">
        <v>3069</v>
      </c>
      <c r="I6" s="2892" t="s">
        <v>2817</v>
      </c>
      <c r="J6" s="2892">
        <v>981.12</v>
      </c>
      <c r="K6" s="2892">
        <v>1460.89</v>
      </c>
      <c r="L6" s="3333">
        <f t="shared" si="0"/>
        <v>146.08975344350461</v>
      </c>
      <c r="M6" s="3333">
        <f t="shared" si="1"/>
        <v>2191.3353449758442</v>
      </c>
      <c r="N6" s="2892" t="s">
        <v>2817</v>
      </c>
      <c r="O6" s="2892" t="s">
        <v>3070</v>
      </c>
      <c r="P6" s="2892" t="s">
        <v>3074</v>
      </c>
    </row>
    <row r="7" spans="1:16">
      <c r="A7" s="2892" t="s">
        <v>3082</v>
      </c>
      <c r="B7" s="2892" t="s">
        <v>3065</v>
      </c>
      <c r="C7" s="2892" t="s">
        <v>3066</v>
      </c>
      <c r="D7" s="2892">
        <v>89357.33</v>
      </c>
      <c r="E7" s="2892">
        <v>178714.7</v>
      </c>
      <c r="F7" s="2892" t="s">
        <v>3083</v>
      </c>
      <c r="G7" s="2892" t="s">
        <v>3068</v>
      </c>
      <c r="H7" s="2892" t="s">
        <v>3084</v>
      </c>
      <c r="I7" s="2892">
        <v>23188.11</v>
      </c>
      <c r="J7" s="2892">
        <v>23190</v>
      </c>
      <c r="K7" s="2892">
        <v>1297.5899999999999</v>
      </c>
      <c r="L7" s="3333">
        <f t="shared" si="0"/>
        <v>173.01409184898426</v>
      </c>
      <c r="M7" s="3333">
        <f t="shared" si="1"/>
        <v>2595.1984017427558</v>
      </c>
      <c r="N7" s="2892">
        <v>0.01</v>
      </c>
      <c r="O7" s="2892" t="s">
        <v>3085</v>
      </c>
      <c r="P7" s="2892" t="s">
        <v>3086</v>
      </c>
    </row>
    <row r="8" spans="1:16" s="3194" customFormat="1">
      <c r="A8" s="3193" t="s">
        <v>3087</v>
      </c>
      <c r="B8" s="3193" t="s">
        <v>3065</v>
      </c>
      <c r="C8" s="3193" t="s">
        <v>3066</v>
      </c>
      <c r="D8" s="3193">
        <v>32866.69</v>
      </c>
      <c r="E8" s="3193">
        <v>82166.73</v>
      </c>
      <c r="F8" s="3193" t="s">
        <v>3088</v>
      </c>
      <c r="G8" s="3193" t="s">
        <v>3068</v>
      </c>
      <c r="H8" s="3193" t="s">
        <v>3084</v>
      </c>
      <c r="I8" s="3193">
        <v>10648.75</v>
      </c>
      <c r="J8" s="3193">
        <v>10650</v>
      </c>
      <c r="K8" s="3193">
        <v>1296.1500000000001</v>
      </c>
      <c r="L8" s="3333">
        <f t="shared" si="0"/>
        <v>216.02526752770055</v>
      </c>
      <c r="M8" s="3333">
        <f t="shared" si="1"/>
        <v>3240.3628111014523</v>
      </c>
      <c r="N8" s="3193">
        <v>0.01</v>
      </c>
      <c r="O8" s="3193" t="s">
        <v>3085</v>
      </c>
      <c r="P8" s="3193" t="s">
        <v>3086</v>
      </c>
    </row>
    <row r="9" spans="1:16">
      <c r="A9" s="2892" t="s">
        <v>3089</v>
      </c>
      <c r="B9" s="2892" t="s">
        <v>3065</v>
      </c>
      <c r="C9" s="2892" t="s">
        <v>3066</v>
      </c>
      <c r="D9" s="2892">
        <v>20245.22</v>
      </c>
      <c r="E9" s="2892">
        <v>40490.44</v>
      </c>
      <c r="F9" s="2892" t="s">
        <v>3083</v>
      </c>
      <c r="G9" s="2892" t="s">
        <v>3068</v>
      </c>
      <c r="H9" s="2892" t="s">
        <v>3084</v>
      </c>
      <c r="I9" s="2892">
        <v>5253.6</v>
      </c>
      <c r="J9" s="2892">
        <v>5255</v>
      </c>
      <c r="K9" s="2892">
        <v>1297.83</v>
      </c>
      <c r="L9" s="3333">
        <f t="shared" si="0"/>
        <v>173.04582760770194</v>
      </c>
      <c r="M9" s="3333">
        <f t="shared" si="1"/>
        <v>2595.6744357433508</v>
      </c>
      <c r="N9" s="2892">
        <v>0.03</v>
      </c>
      <c r="O9" s="2892" t="s">
        <v>3085</v>
      </c>
      <c r="P9" s="2892" t="s">
        <v>3086</v>
      </c>
    </row>
    <row r="10" spans="1:16" s="3196" customFormat="1">
      <c r="A10" s="3195" t="s">
        <v>3090</v>
      </c>
      <c r="B10" s="3195" t="s">
        <v>3065</v>
      </c>
      <c r="C10" s="3195" t="s">
        <v>3066</v>
      </c>
      <c r="D10" s="3195">
        <v>39277.699999999997</v>
      </c>
      <c r="E10" s="3195">
        <v>78555.399999999994</v>
      </c>
      <c r="F10" s="3195" t="s">
        <v>3083</v>
      </c>
      <c r="G10" s="3195" t="s">
        <v>3068</v>
      </c>
      <c r="H10" s="3195" t="s">
        <v>3091</v>
      </c>
      <c r="I10" s="3195" t="s">
        <v>2817</v>
      </c>
      <c r="J10" s="3195">
        <v>11665.47</v>
      </c>
      <c r="K10" s="3195">
        <v>1485</v>
      </c>
      <c r="L10" s="3333">
        <f t="shared" si="0"/>
        <v>198.00087288461393</v>
      </c>
      <c r="M10" s="3333">
        <f t="shared" si="1"/>
        <v>2969.9982432779925</v>
      </c>
      <c r="N10" s="3195" t="s">
        <v>2817</v>
      </c>
      <c r="O10" s="3195" t="s">
        <v>3092</v>
      </c>
      <c r="P10" s="3195" t="s">
        <v>3086</v>
      </c>
    </row>
    <row r="11" spans="1:16">
      <c r="A11" s="2892" t="s">
        <v>3093</v>
      </c>
      <c r="B11" s="2892" t="s">
        <v>3065</v>
      </c>
      <c r="C11" s="2892" t="s">
        <v>3076</v>
      </c>
      <c r="D11" s="2892">
        <v>83247.759999999995</v>
      </c>
      <c r="E11" s="2892">
        <v>166495.5</v>
      </c>
      <c r="F11" s="2892" t="s">
        <v>3083</v>
      </c>
      <c r="G11" s="2892" t="s">
        <v>3079</v>
      </c>
      <c r="H11" s="2892" t="s">
        <v>3091</v>
      </c>
      <c r="I11" s="2892" t="s">
        <v>2817</v>
      </c>
      <c r="J11" s="2892">
        <v>24724.58</v>
      </c>
      <c r="K11" s="2892">
        <v>1485</v>
      </c>
      <c r="L11" s="3333">
        <f t="shared" si="0"/>
        <v>198.00095220099621</v>
      </c>
      <c r="M11" s="3333">
        <f t="shared" si="1"/>
        <v>2969.9994330177778</v>
      </c>
      <c r="N11" s="2892" t="s">
        <v>2817</v>
      </c>
      <c r="O11" s="2892" t="s">
        <v>3092</v>
      </c>
      <c r="P11" s="2892" t="s">
        <v>3086</v>
      </c>
    </row>
    <row r="12" spans="1:16">
      <c r="A12" s="2892" t="s">
        <v>3094</v>
      </c>
      <c r="B12" s="2892" t="s">
        <v>3065</v>
      </c>
      <c r="C12" s="2892" t="s">
        <v>3066</v>
      </c>
      <c r="D12" s="2892">
        <v>23919.13</v>
      </c>
      <c r="E12" s="2892">
        <v>47838.26</v>
      </c>
      <c r="F12" s="2892" t="s">
        <v>3083</v>
      </c>
      <c r="G12" s="2892" t="s">
        <v>3079</v>
      </c>
      <c r="H12" s="2892" t="s">
        <v>3091</v>
      </c>
      <c r="I12" s="2892" t="s">
        <v>2817</v>
      </c>
      <c r="J12" s="2892">
        <v>7893.6</v>
      </c>
      <c r="K12" s="2892">
        <v>1650.05</v>
      </c>
      <c r="L12" s="3333">
        <f t="shared" si="0"/>
        <v>220.0091020032919</v>
      </c>
      <c r="M12" s="3333">
        <f t="shared" si="1"/>
        <v>3300.1200294492314</v>
      </c>
      <c r="N12" s="2892" t="s">
        <v>2817</v>
      </c>
      <c r="O12" s="2892" t="s">
        <v>3095</v>
      </c>
      <c r="P12" s="2892" t="s">
        <v>3086</v>
      </c>
    </row>
    <row r="13" spans="1:16">
      <c r="A13" s="2892" t="s">
        <v>3096</v>
      </c>
      <c r="B13" s="2892" t="s">
        <v>3065</v>
      </c>
      <c r="C13" s="2892" t="s">
        <v>3066</v>
      </c>
      <c r="D13" s="2892">
        <v>19528.439999999999</v>
      </c>
      <c r="E13" s="2892">
        <v>39056.879999999997</v>
      </c>
      <c r="F13" s="2892" t="s">
        <v>3083</v>
      </c>
      <c r="G13" s="2892" t="s">
        <v>3068</v>
      </c>
      <c r="H13" s="2892" t="s">
        <v>3091</v>
      </c>
      <c r="I13" s="2892" t="s">
        <v>2817</v>
      </c>
      <c r="J13" s="2892">
        <v>5799.94</v>
      </c>
      <c r="K13" s="2892">
        <v>1485</v>
      </c>
      <c r="L13" s="3333">
        <f t="shared" si="0"/>
        <v>198.00076195538404</v>
      </c>
      <c r="M13" s="3333">
        <f t="shared" si="1"/>
        <v>2969.9965793478636</v>
      </c>
      <c r="N13" s="2892" t="s">
        <v>2817</v>
      </c>
      <c r="O13" s="2892" t="s">
        <v>3092</v>
      </c>
      <c r="P13" s="2892" t="s">
        <v>3086</v>
      </c>
    </row>
    <row r="14" spans="1:16">
      <c r="A14" s="2892" t="s">
        <v>3097</v>
      </c>
      <c r="B14" s="2892" t="s">
        <v>3065</v>
      </c>
      <c r="C14" s="2892" t="s">
        <v>3076</v>
      </c>
      <c r="D14" s="2892">
        <v>3524</v>
      </c>
      <c r="E14" s="2892">
        <v>15505.6</v>
      </c>
      <c r="F14" s="2892" t="s">
        <v>3098</v>
      </c>
      <c r="G14" s="2892" t="s">
        <v>3068</v>
      </c>
      <c r="H14" s="2892" t="s">
        <v>3091</v>
      </c>
      <c r="I14" s="2892" t="s">
        <v>2817</v>
      </c>
      <c r="J14" s="2892">
        <v>740.03</v>
      </c>
      <c r="K14" s="2892">
        <v>477.26</v>
      </c>
      <c r="L14" s="3333">
        <f t="shared" si="0"/>
        <v>139.99880820090806</v>
      </c>
      <c r="M14" s="3333">
        <f t="shared" si="1"/>
        <v>2099.9716231555053</v>
      </c>
      <c r="N14" s="2892" t="s">
        <v>2817</v>
      </c>
      <c r="O14" s="2892" t="s">
        <v>3099</v>
      </c>
      <c r="P14" s="2892" t="s">
        <v>3086</v>
      </c>
    </row>
    <row r="15" spans="1:16">
      <c r="A15" s="2892" t="s">
        <v>3100</v>
      </c>
      <c r="B15" s="2892" t="s">
        <v>3065</v>
      </c>
      <c r="C15" s="2892" t="s">
        <v>3066</v>
      </c>
      <c r="D15" s="2892">
        <v>67123.490000000005</v>
      </c>
      <c r="E15" s="2892">
        <v>167808.7</v>
      </c>
      <c r="F15" s="2892" t="s">
        <v>3088</v>
      </c>
      <c r="G15" s="2892" t="s">
        <v>3068</v>
      </c>
      <c r="H15" s="2892" t="s">
        <v>3091</v>
      </c>
      <c r="I15" s="2892" t="s">
        <v>2817</v>
      </c>
      <c r="J15" s="2892">
        <v>19935.68</v>
      </c>
      <c r="K15" s="2892">
        <v>1188</v>
      </c>
      <c r="L15" s="3333">
        <f t="shared" si="0"/>
        <v>198.00102446401399</v>
      </c>
      <c r="M15" s="3333">
        <f t="shared" si="1"/>
        <v>2970.0005169576252</v>
      </c>
      <c r="N15" s="2892" t="s">
        <v>2817</v>
      </c>
      <c r="O15" s="2892" t="s">
        <v>3092</v>
      </c>
      <c r="P15" s="2892" t="s">
        <v>3086</v>
      </c>
    </row>
    <row r="16" spans="1:16" s="3194" customFormat="1">
      <c r="A16" s="3193" t="s">
        <v>3101</v>
      </c>
      <c r="B16" s="3193" t="s">
        <v>3065</v>
      </c>
      <c r="C16" s="3193" t="s">
        <v>3066</v>
      </c>
      <c r="D16" s="3193">
        <v>35913.18</v>
      </c>
      <c r="E16" s="3193">
        <v>71826.36</v>
      </c>
      <c r="F16" s="3193" t="s">
        <v>3083</v>
      </c>
      <c r="G16" s="3193" t="s">
        <v>3079</v>
      </c>
      <c r="H16" s="3193" t="s">
        <v>3091</v>
      </c>
      <c r="I16" s="3193" t="s">
        <v>2817</v>
      </c>
      <c r="J16" s="3193">
        <v>10666.2</v>
      </c>
      <c r="K16" s="3193">
        <v>1485</v>
      </c>
      <c r="L16" s="3333">
        <f t="shared" si="0"/>
        <v>198.00072157352815</v>
      </c>
      <c r="M16" s="3333">
        <f t="shared" si="1"/>
        <v>2969.9959736230544</v>
      </c>
      <c r="N16" s="3193" t="s">
        <v>2817</v>
      </c>
      <c r="O16" s="3193" t="s">
        <v>3092</v>
      </c>
      <c r="P16" s="3193" t="s">
        <v>3086</v>
      </c>
    </row>
    <row r="17" spans="1:16">
      <c r="A17" s="2892" t="s">
        <v>3102</v>
      </c>
      <c r="B17" s="2892" t="s">
        <v>3065</v>
      </c>
      <c r="C17" s="2892" t="s">
        <v>3066</v>
      </c>
      <c r="D17" s="2892">
        <v>22072.560000000001</v>
      </c>
      <c r="E17" s="2892">
        <v>44145.120000000003</v>
      </c>
      <c r="F17" s="2892" t="s">
        <v>3083</v>
      </c>
      <c r="G17" s="2892" t="s">
        <v>3068</v>
      </c>
      <c r="H17" s="2892" t="s">
        <v>3091</v>
      </c>
      <c r="I17" s="2892" t="s">
        <v>2817</v>
      </c>
      <c r="J17" s="2892">
        <v>6555.55</v>
      </c>
      <c r="K17" s="2892">
        <v>1485</v>
      </c>
      <c r="L17" s="3333">
        <f t="shared" si="0"/>
        <v>198.00098033485921</v>
      </c>
      <c r="M17" s="3333">
        <f t="shared" si="1"/>
        <v>2969.9998550236128</v>
      </c>
      <c r="N17" s="2892" t="s">
        <v>2817</v>
      </c>
      <c r="O17" s="2892" t="s">
        <v>3092</v>
      </c>
      <c r="P17" s="2892" t="s">
        <v>3086</v>
      </c>
    </row>
    <row r="18" spans="1:16">
      <c r="A18" s="2892" t="s">
        <v>3103</v>
      </c>
      <c r="B18" s="2892" t="s">
        <v>3065</v>
      </c>
      <c r="C18" s="2892" t="s">
        <v>3066</v>
      </c>
      <c r="D18" s="2892">
        <v>25480</v>
      </c>
      <c r="E18" s="2892">
        <v>50960</v>
      </c>
      <c r="F18" s="2892" t="s">
        <v>3083</v>
      </c>
      <c r="G18" s="2892" t="s">
        <v>3068</v>
      </c>
      <c r="H18" s="2892" t="s">
        <v>3091</v>
      </c>
      <c r="I18" s="2892" t="s">
        <v>2817</v>
      </c>
      <c r="J18" s="2892">
        <v>7567.56</v>
      </c>
      <c r="K18" s="2892">
        <v>1485</v>
      </c>
      <c r="L18" s="3333">
        <f t="shared" si="0"/>
        <v>198.00099</v>
      </c>
      <c r="M18" s="3333">
        <f t="shared" si="1"/>
        <v>2970</v>
      </c>
      <c r="N18" s="2892" t="s">
        <v>2817</v>
      </c>
      <c r="O18" s="2892" t="s">
        <v>3092</v>
      </c>
      <c r="P18" s="2892" t="s">
        <v>3086</v>
      </c>
    </row>
    <row r="19" spans="1:16">
      <c r="A19" s="2892" t="s">
        <v>3104</v>
      </c>
      <c r="B19" s="2892" t="s">
        <v>3065</v>
      </c>
      <c r="C19" s="2892" t="s">
        <v>3066</v>
      </c>
      <c r="D19" s="2892">
        <v>38411.5</v>
      </c>
      <c r="E19" s="2892">
        <v>99869.9</v>
      </c>
      <c r="F19" s="2892" t="s">
        <v>3105</v>
      </c>
      <c r="G19" s="2892" t="s">
        <v>3068</v>
      </c>
      <c r="H19" s="2892" t="s">
        <v>3106</v>
      </c>
      <c r="I19" s="2892">
        <v>6683.92</v>
      </c>
      <c r="J19" s="2892">
        <v>6683.92</v>
      </c>
      <c r="K19" s="2892">
        <v>669.25</v>
      </c>
      <c r="L19" s="3333">
        <f t="shared" si="0"/>
        <v>116.00611656404983</v>
      </c>
      <c r="M19" s="3333">
        <f t="shared" si="1"/>
        <v>1740.0830480455072</v>
      </c>
      <c r="N19" s="2892">
        <v>0</v>
      </c>
      <c r="O19" s="2892" t="s">
        <v>3107</v>
      </c>
      <c r="P19" s="2892" t="s">
        <v>3086</v>
      </c>
    </row>
    <row r="20" spans="1:16">
      <c r="A20" s="2892" t="s">
        <v>3108</v>
      </c>
      <c r="B20" s="2892" t="s">
        <v>3065</v>
      </c>
      <c r="C20" s="2892" t="s">
        <v>3076</v>
      </c>
      <c r="D20" s="2892">
        <v>2077.66</v>
      </c>
      <c r="E20" s="2892">
        <v>3843.67</v>
      </c>
      <c r="F20" s="2892" t="s">
        <v>3109</v>
      </c>
      <c r="G20" s="2892" t="s">
        <v>3068</v>
      </c>
      <c r="H20" s="2892" t="s">
        <v>3110</v>
      </c>
      <c r="I20" s="2892" t="s">
        <v>2817</v>
      </c>
      <c r="J20" s="2892">
        <v>312.95</v>
      </c>
      <c r="K20" s="2892">
        <v>814.22</v>
      </c>
      <c r="L20" s="3333">
        <f t="shared" si="0"/>
        <v>100.41795890569198</v>
      </c>
      <c r="M20" s="3333">
        <f t="shared" si="1"/>
        <v>1506.2618522761184</v>
      </c>
      <c r="N20" s="2892" t="s">
        <v>2817</v>
      </c>
      <c r="O20" s="2892" t="s">
        <v>3111</v>
      </c>
      <c r="P20" s="2892" t="s">
        <v>3086</v>
      </c>
    </row>
    <row r="21" spans="1:16">
      <c r="A21" s="2892" t="s">
        <v>3112</v>
      </c>
      <c r="B21" s="2892" t="s">
        <v>3065</v>
      </c>
      <c r="C21" s="2892" t="s">
        <v>3066</v>
      </c>
      <c r="D21" s="2892">
        <v>44558</v>
      </c>
      <c r="E21" s="2892">
        <v>89116</v>
      </c>
      <c r="F21" s="2892" t="s">
        <v>3113</v>
      </c>
      <c r="G21" s="2892" t="s">
        <v>3068</v>
      </c>
      <c r="H21" s="2892" t="s">
        <v>3114</v>
      </c>
      <c r="I21" s="2892" t="s">
        <v>2817</v>
      </c>
      <c r="J21" s="2892">
        <v>6684</v>
      </c>
      <c r="K21" s="2892">
        <v>750.02</v>
      </c>
      <c r="L21" s="3333">
        <f t="shared" si="0"/>
        <v>100.00498855424391</v>
      </c>
      <c r="M21" s="3333">
        <f t="shared" si="1"/>
        <v>1500.0673279770187</v>
      </c>
      <c r="N21" s="2892" t="s">
        <v>2817</v>
      </c>
      <c r="O21" s="2892" t="s">
        <v>3115</v>
      </c>
      <c r="P21" s="2892" t="s">
        <v>3086</v>
      </c>
    </row>
    <row r="22" spans="1:16">
      <c r="A22" s="2892" t="s">
        <v>3116</v>
      </c>
      <c r="B22" s="2892" t="s">
        <v>3065</v>
      </c>
      <c r="C22" s="2892" t="s">
        <v>3066</v>
      </c>
      <c r="D22" s="2892">
        <v>26335</v>
      </c>
      <c r="E22" s="2892">
        <v>52670</v>
      </c>
      <c r="F22" s="2892" t="s">
        <v>3113</v>
      </c>
      <c r="G22" s="2892" t="s">
        <v>3068</v>
      </c>
      <c r="H22" s="2892" t="s">
        <v>3114</v>
      </c>
      <c r="I22" s="2892" t="s">
        <v>2817</v>
      </c>
      <c r="J22" s="2892">
        <v>3950</v>
      </c>
      <c r="K22" s="2892">
        <v>749.95</v>
      </c>
      <c r="L22" s="3333">
        <f t="shared" si="0"/>
        <v>99.994171254983854</v>
      </c>
      <c r="M22" s="3333">
        <f t="shared" si="1"/>
        <v>1499.9050692994115</v>
      </c>
      <c r="N22" s="2892" t="s">
        <v>2817</v>
      </c>
      <c r="O22" s="2892" t="s">
        <v>3115</v>
      </c>
      <c r="P22" s="2892" t="s">
        <v>3086</v>
      </c>
    </row>
    <row r="23" spans="1:16">
      <c r="A23" s="2892" t="s">
        <v>3117</v>
      </c>
      <c r="B23" s="2892" t="s">
        <v>3065</v>
      </c>
      <c r="C23" s="2892" t="s">
        <v>3066</v>
      </c>
      <c r="D23" s="2892">
        <v>6375</v>
      </c>
      <c r="E23" s="2892">
        <v>27795</v>
      </c>
      <c r="F23" s="2892" t="s">
        <v>3118</v>
      </c>
      <c r="G23" s="2892" t="s">
        <v>3068</v>
      </c>
      <c r="H23" s="2892" t="s">
        <v>3119</v>
      </c>
      <c r="I23" s="2892">
        <v>1185.74</v>
      </c>
      <c r="J23" s="2892">
        <v>1185.75</v>
      </c>
      <c r="K23" s="2892">
        <v>426.61</v>
      </c>
      <c r="L23" s="3333">
        <f t="shared" si="0"/>
        <v>124.00062</v>
      </c>
      <c r="M23" s="3333">
        <f t="shared" si="1"/>
        <v>1860</v>
      </c>
      <c r="N23" s="2892">
        <v>0</v>
      </c>
      <c r="O23" s="2892" t="s">
        <v>3120</v>
      </c>
      <c r="P23" s="2892" t="s">
        <v>3086</v>
      </c>
    </row>
    <row r="24" spans="1:16">
      <c r="A24" s="2892" t="s">
        <v>3121</v>
      </c>
      <c r="B24" s="2892" t="s">
        <v>3065</v>
      </c>
      <c r="C24" s="2892" t="s">
        <v>3076</v>
      </c>
      <c r="D24" s="2892">
        <v>5635</v>
      </c>
      <c r="E24" s="2892">
        <v>30992.5</v>
      </c>
      <c r="F24" s="2892" t="s">
        <v>3122</v>
      </c>
      <c r="G24" s="2892" t="s">
        <v>3068</v>
      </c>
      <c r="H24" s="2892" t="s">
        <v>3123</v>
      </c>
      <c r="I24" s="2892">
        <v>890.28</v>
      </c>
      <c r="J24" s="2892">
        <v>890.28</v>
      </c>
      <c r="K24" s="2892">
        <v>287.25</v>
      </c>
      <c r="L24" s="3333">
        <f t="shared" si="0"/>
        <v>105.32794456078084</v>
      </c>
      <c r="M24" s="3333">
        <f t="shared" si="1"/>
        <v>1579.9112688553682</v>
      </c>
      <c r="N24" s="2892">
        <v>0</v>
      </c>
      <c r="O24" s="2892" t="s">
        <v>3124</v>
      </c>
      <c r="P24" s="2892" t="s">
        <v>3086</v>
      </c>
    </row>
  </sheetData>
  <phoneticPr fontId="228"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
  <sheetViews>
    <sheetView workbookViewId="0">
      <selection activeCell="F5" sqref="F5"/>
    </sheetView>
  </sheetViews>
  <sheetFormatPr defaultRowHeight="13.5"/>
  <sheetData>
    <row r="2" spans="2:6">
      <c r="B2">
        <v>126451.6</v>
      </c>
      <c r="C2">
        <v>2.6</v>
      </c>
      <c r="D2">
        <f>B2*C2</f>
        <v>328774.16000000003</v>
      </c>
    </row>
    <row r="3" spans="2:6">
      <c r="F3" t="e">
        <f>'数据-汇总表'!I7*'数据-汇总表'!D3+#REF!*#REF!</f>
        <v>#REF!</v>
      </c>
    </row>
    <row r="4" spans="2:6">
      <c r="B4">
        <v>38411.5</v>
      </c>
      <c r="C4">
        <v>2.6</v>
      </c>
      <c r="D4">
        <f>B4*C4</f>
        <v>99869.900000000009</v>
      </c>
    </row>
  </sheetData>
  <phoneticPr fontId="22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157</vt:i4>
      </vt:variant>
    </vt:vector>
  </HeadingPairs>
  <TitlesOfParts>
    <vt:vector size="204" baseType="lpstr">
      <vt:lpstr>致函链接</vt:lpstr>
      <vt:lpstr>预评函-封皮</vt:lpstr>
      <vt:lpstr>预评函-1</vt:lpstr>
      <vt:lpstr>预评函-1 (储备)</vt:lpstr>
      <vt:lpstr>预评函-2</vt:lpstr>
      <vt:lpstr>预评函-3</vt:lpstr>
      <vt:lpstr>使用说明</vt:lpstr>
      <vt:lpstr>估价师及机构信息</vt:lpstr>
      <vt:lpstr>不动产比较法-(商业) (2)</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不动产比较法-(商业)</vt:lpstr>
      <vt:lpstr>不动产收益法 (车库)</vt:lpstr>
      <vt:lpstr>存贷款利率</vt:lpstr>
      <vt:lpstr>Sheet2</vt:lpstr>
      <vt:lpstr>Sheet1</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'不动产比较法-(商业)'!住宅朝向</vt:lpstr>
      <vt:lpstr>'不动产比较法-(商业) (2)'!住宅朝向</vt:lpstr>
      <vt:lpstr>住宅朝向</vt:lpstr>
      <vt:lpstr>'不动产比较法-(商业)'!住宅房型</vt:lpstr>
      <vt:lpstr>'不动产比较法-(商业) (2)'!住宅房型</vt:lpstr>
      <vt:lpstr>住宅房型</vt:lpstr>
      <vt:lpstr>'不动产比较法-(商业)'!住宅公共部分装修</vt:lpstr>
      <vt:lpstr>'不动产比较法-(商业) (2)'!住宅公共部分装修</vt:lpstr>
      <vt:lpstr>住宅公共部分装修</vt:lpstr>
      <vt:lpstr>'不动产比较法-(商业)'!住宅基础设施水平</vt:lpstr>
      <vt:lpstr>'不动产比较法-(商业) (2)'!住宅基础设施水平</vt:lpstr>
      <vt:lpstr>住宅基础设施水平</vt:lpstr>
      <vt:lpstr>'不动产比较法-(商业)'!住宅建筑结构</vt:lpstr>
      <vt:lpstr>'不动产比较法-(商业) (2)'!住宅建筑结构</vt:lpstr>
      <vt:lpstr>住宅建筑结构</vt:lpstr>
      <vt:lpstr>'不动产比较法-(商业)'!住宅建筑类型</vt:lpstr>
      <vt:lpstr>'不动产比较法-(商业) (2)'!住宅建筑类型</vt:lpstr>
      <vt:lpstr>住宅建筑类型</vt:lpstr>
      <vt:lpstr>'不动产比较法-(商业)'!住宅建筑品质</vt:lpstr>
      <vt:lpstr>'不动产比较法-(商业) (2)'!住宅建筑品质</vt:lpstr>
      <vt:lpstr>住宅建筑品质</vt:lpstr>
      <vt:lpstr>'不动产比较法-(商业)'!住宅交易情况</vt:lpstr>
      <vt:lpstr>'不动产比较法-(商业) (2)'!住宅交易情况</vt:lpstr>
      <vt:lpstr>住宅交易情况</vt:lpstr>
      <vt:lpstr>'不动产比较法-(商业)'!住宅楼层</vt:lpstr>
      <vt:lpstr>'不动产比较法-(商业) (2)'!住宅楼层</vt:lpstr>
      <vt:lpstr>住宅楼层</vt:lpstr>
      <vt:lpstr>'不动产比较法-(商业)'!住宅内部装修</vt:lpstr>
      <vt:lpstr>'不动产比较法-(商业) (2)'!住宅内部装修</vt:lpstr>
      <vt:lpstr>住宅内部装修</vt:lpstr>
      <vt:lpstr>'不动产比较法-(商业)'!住宅物业管理</vt:lpstr>
      <vt:lpstr>'不动产比较法-(商业) (2)'!住宅物业管理</vt:lpstr>
      <vt:lpstr>住宅物业管理</vt:lpstr>
      <vt:lpstr>'不动产比较法-(商业)'!住宅用途</vt:lpstr>
      <vt:lpstr>'不动产比较法-(商业) (2)'!住宅用途</vt:lpstr>
      <vt:lpstr>住宅用途</vt:lpstr>
      <vt:lpstr>'不动产比较法-(商业)'!住宅主力户型面积</vt:lpstr>
      <vt:lpstr>'不动产比较法-(商业)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2019-07-10T12:51:28Z</dcterms:modified>
</cp:coreProperties>
</file>